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20482947cd97eee/Documents/Job Search/"/>
    </mc:Choice>
  </mc:AlternateContent>
  <xr:revisionPtr revIDLastSave="120" documentId="8_{09DAC3FB-D053-42D4-A003-F2BA0737BF58}" xr6:coauthVersionLast="47" xr6:coauthVersionMax="47" xr10:uidLastSave="{7407DBBB-574A-41C6-8B70-CAFF5A6B21C9}"/>
  <bookViews>
    <workbookView xWindow="1950" yWindow="1950" windowWidth="21600" windowHeight="11295" tabRatio="806" firstSheet="4" activeTab="8" xr2:uid="{161577C2-CAB6-4D8C-A877-B034C4CF053C}"/>
  </bookViews>
  <sheets>
    <sheet name="Error Checks" sheetId="13" r:id="rId1"/>
    <sheet name="Summary_Income_Stmt" sheetId="1" r:id="rId2"/>
    <sheet name="Revenue" sheetId="4" r:id="rId3"/>
    <sheet name="Expense" sheetId="5" r:id="rId4"/>
    <sheet name="Headcount" sheetId="8" r:id="rId5"/>
    <sheet name="Balance_Sheet" sheetId="10" r:id="rId6"/>
    <sheet name="Cash_Flow_Stmt" sheetId="11" r:id="rId7"/>
    <sheet name="Ratios" sheetId="16" r:id="rId8"/>
    <sheet name="Unit_Economics" sheetId="15" r:id="rId9"/>
    <sheet name="REF" sheetId="21" r:id="rId10"/>
  </sheets>
  <externalReferences>
    <externalReference r:id="rId11"/>
  </externalReferences>
  <definedNames>
    <definedName name="data_array">OFFSET(#REF!,0,0,COUNTA(#REF!),1)</definedName>
    <definedName name="data_array_old">OFFSET(#REF!,0,0,COUNTA(#REF!),1)</definedName>
    <definedName name="data_lookup">OFFSET(#REF!,0,0,COUNTA(#REF!),1)</definedName>
    <definedName name="scenario_options">'[1]Long-Range-Plan'!$H$10:$L$10</definedName>
    <definedName name="selected_scenario">'[1]Long-Range-Plan'!$F$10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8" i="15" l="1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AD48" i="15"/>
  <c r="AC48" i="15"/>
  <c r="AB48" i="15"/>
  <c r="Y48" i="15"/>
  <c r="X48" i="15"/>
  <c r="W48" i="15"/>
  <c r="R48" i="15"/>
  <c r="Q48" i="15"/>
  <c r="P48" i="15"/>
  <c r="M48" i="15"/>
  <c r="L48" i="15"/>
  <c r="K48" i="15"/>
  <c r="F48" i="15"/>
  <c r="AF47" i="15"/>
  <c r="AE47" i="15"/>
  <c r="AD47" i="15"/>
  <c r="AC47" i="15"/>
  <c r="AB47" i="15"/>
  <c r="T47" i="15"/>
  <c r="S47" i="15"/>
  <c r="R47" i="15"/>
  <c r="Q47" i="15"/>
  <c r="P47" i="15"/>
  <c r="H47" i="15"/>
  <c r="G47" i="15"/>
  <c r="F47" i="15"/>
  <c r="AH46" i="15"/>
  <c r="AH48" i="15" s="1"/>
  <c r="AG46" i="15"/>
  <c r="AG48" i="15" s="1"/>
  <c r="AF46" i="15"/>
  <c r="AF48" i="15" s="1"/>
  <c r="AE46" i="15"/>
  <c r="AE48" i="15" s="1"/>
  <c r="AD46" i="15"/>
  <c r="AC46" i="15"/>
  <c r="AB46" i="15"/>
  <c r="AA46" i="15"/>
  <c r="AA47" i="15" s="1"/>
  <c r="Z46" i="15"/>
  <c r="Z47" i="15" s="1"/>
  <c r="Y46" i="15"/>
  <c r="Y47" i="15" s="1"/>
  <c r="X46" i="15"/>
  <c r="X47" i="15" s="1"/>
  <c r="W46" i="15"/>
  <c r="W47" i="15" s="1"/>
  <c r="V46" i="15"/>
  <c r="V48" i="15" s="1"/>
  <c r="U46" i="15"/>
  <c r="U47" i="15" s="1"/>
  <c r="T46" i="15"/>
  <c r="T48" i="15" s="1"/>
  <c r="S46" i="15"/>
  <c r="S48" i="15" s="1"/>
  <c r="R46" i="15"/>
  <c r="Q46" i="15"/>
  <c r="P46" i="15"/>
  <c r="O46" i="15"/>
  <c r="O47" i="15" s="1"/>
  <c r="N46" i="15"/>
  <c r="N47" i="15" s="1"/>
  <c r="M46" i="15"/>
  <c r="M47" i="15" s="1"/>
  <c r="L46" i="15"/>
  <c r="L47" i="15" s="1"/>
  <c r="K46" i="15"/>
  <c r="K47" i="15" s="1"/>
  <c r="J46" i="15"/>
  <c r="J48" i="15" s="1"/>
  <c r="I46" i="15"/>
  <c r="I48" i="15" s="1"/>
  <c r="H46" i="15"/>
  <c r="H48" i="15" s="1"/>
  <c r="G46" i="15"/>
  <c r="G48" i="15" s="1"/>
  <c r="F46" i="15"/>
  <c r="E48" i="15"/>
  <c r="E53" i="15" s="1"/>
  <c r="E47" i="15"/>
  <c r="E52" i="15" s="1"/>
  <c r="E46" i="15"/>
  <c r="X44" i="15"/>
  <c r="W44" i="15"/>
  <c r="L44" i="15"/>
  <c r="K44" i="15"/>
  <c r="AH43" i="15"/>
  <c r="AH44" i="15" s="1"/>
  <c r="AG43" i="15"/>
  <c r="AG44" i="15" s="1"/>
  <c r="AF43" i="15"/>
  <c r="AF44" i="15" s="1"/>
  <c r="AE43" i="15"/>
  <c r="AD43" i="15"/>
  <c r="AC43" i="15"/>
  <c r="AC44" i="15" s="1"/>
  <c r="AB43" i="15"/>
  <c r="AB44" i="15" s="1"/>
  <c r="AA43" i="15"/>
  <c r="Z43" i="15"/>
  <c r="Y43" i="15"/>
  <c r="X43" i="15"/>
  <c r="W43" i="15"/>
  <c r="V43" i="15"/>
  <c r="V44" i="15" s="1"/>
  <c r="U43" i="15"/>
  <c r="U44" i="15" s="1"/>
  <c r="T43" i="15"/>
  <c r="T44" i="15" s="1"/>
  <c r="S43" i="15"/>
  <c r="R43" i="15"/>
  <c r="Q43" i="15"/>
  <c r="Q44" i="15" s="1"/>
  <c r="P43" i="15"/>
  <c r="P44" i="15" s="1"/>
  <c r="O43" i="15"/>
  <c r="N43" i="15"/>
  <c r="M43" i="15"/>
  <c r="L43" i="15"/>
  <c r="K43" i="15"/>
  <c r="J43" i="15"/>
  <c r="J44" i="15" s="1"/>
  <c r="I43" i="15"/>
  <c r="I44" i="15" s="1"/>
  <c r="H43" i="15"/>
  <c r="H44" i="15" s="1"/>
  <c r="G43" i="15"/>
  <c r="F43" i="15"/>
  <c r="AH42" i="15"/>
  <c r="AG42" i="15"/>
  <c r="X42" i="15"/>
  <c r="W42" i="15"/>
  <c r="V42" i="15"/>
  <c r="U42" i="15"/>
  <c r="L42" i="15"/>
  <c r="K42" i="15"/>
  <c r="J42" i="15"/>
  <c r="I42" i="15"/>
  <c r="AH41" i="15"/>
  <c r="AG41" i="15"/>
  <c r="AF41" i="15"/>
  <c r="AE41" i="15"/>
  <c r="AD41" i="15"/>
  <c r="AD42" i="15" s="1"/>
  <c r="AC41" i="15"/>
  <c r="AC42" i="15" s="1"/>
  <c r="AB41" i="15"/>
  <c r="AB42" i="15" s="1"/>
  <c r="AA41" i="15"/>
  <c r="AA42" i="15" s="1"/>
  <c r="AA44" i="15" s="1"/>
  <c r="Z41" i="15"/>
  <c r="Y41" i="15"/>
  <c r="X41" i="15"/>
  <c r="W41" i="15"/>
  <c r="V41" i="15"/>
  <c r="U41" i="15"/>
  <c r="T41" i="15"/>
  <c r="S41" i="15"/>
  <c r="R41" i="15"/>
  <c r="R42" i="15" s="1"/>
  <c r="Q41" i="15"/>
  <c r="Q42" i="15" s="1"/>
  <c r="P41" i="15"/>
  <c r="P42" i="15" s="1"/>
  <c r="O41" i="15"/>
  <c r="O42" i="15" s="1"/>
  <c r="O44" i="15" s="1"/>
  <c r="N41" i="15"/>
  <c r="M41" i="15"/>
  <c r="L41" i="15"/>
  <c r="K41" i="15"/>
  <c r="J41" i="15"/>
  <c r="I41" i="15"/>
  <c r="H41" i="15"/>
  <c r="G41" i="15"/>
  <c r="F41" i="15"/>
  <c r="F42" i="15" s="1"/>
  <c r="AH40" i="15"/>
  <c r="AG40" i="15"/>
  <c r="AF40" i="15"/>
  <c r="AF42" i="15" s="1"/>
  <c r="AE40" i="15"/>
  <c r="AE42" i="15" s="1"/>
  <c r="AD40" i="15"/>
  <c r="AC40" i="15"/>
  <c r="AB40" i="15"/>
  <c r="AA40" i="15"/>
  <c r="Z40" i="15"/>
  <c r="Z42" i="15" s="1"/>
  <c r="Z44" i="15" s="1"/>
  <c r="Y40" i="15"/>
  <c r="Y42" i="15" s="1"/>
  <c r="Y44" i="15" s="1"/>
  <c r="X40" i="15"/>
  <c r="W40" i="15"/>
  <c r="V40" i="15"/>
  <c r="U40" i="15"/>
  <c r="T40" i="15"/>
  <c r="T42" i="15" s="1"/>
  <c r="S40" i="15"/>
  <c r="S42" i="15" s="1"/>
  <c r="R40" i="15"/>
  <c r="Q40" i="15"/>
  <c r="P40" i="15"/>
  <c r="O40" i="15"/>
  <c r="N40" i="15"/>
  <c r="N42" i="15" s="1"/>
  <c r="N44" i="15" s="1"/>
  <c r="M40" i="15"/>
  <c r="M42" i="15" s="1"/>
  <c r="M44" i="15" s="1"/>
  <c r="L40" i="15"/>
  <c r="K40" i="15"/>
  <c r="J40" i="15"/>
  <c r="I40" i="15"/>
  <c r="H40" i="15"/>
  <c r="H42" i="15" s="1"/>
  <c r="G40" i="15"/>
  <c r="G42" i="15" s="1"/>
  <c r="F40" i="15"/>
  <c r="E43" i="15"/>
  <c r="E42" i="15"/>
  <c r="E44" i="15" s="1"/>
  <c r="E41" i="15"/>
  <c r="E40" i="15"/>
  <c r="X37" i="15"/>
  <c r="W37" i="15"/>
  <c r="L37" i="15"/>
  <c r="K37" i="15"/>
  <c r="AH36" i="15"/>
  <c r="AG36" i="15"/>
  <c r="AF36" i="15"/>
  <c r="AE36" i="15"/>
  <c r="AD36" i="15"/>
  <c r="AC36" i="15"/>
  <c r="AC37" i="15" s="1"/>
  <c r="AB36" i="15"/>
  <c r="AA36" i="15"/>
  <c r="Z36" i="15"/>
  <c r="Y36" i="15"/>
  <c r="X36" i="15"/>
  <c r="W36" i="15"/>
  <c r="V36" i="15"/>
  <c r="U36" i="15"/>
  <c r="T36" i="15"/>
  <c r="S36" i="15"/>
  <c r="R36" i="15"/>
  <c r="Q36" i="15"/>
  <c r="Q37" i="15" s="1"/>
  <c r="P36" i="15"/>
  <c r="O36" i="15"/>
  <c r="N36" i="15"/>
  <c r="M36" i="15"/>
  <c r="L36" i="15"/>
  <c r="K36" i="15"/>
  <c r="J36" i="15"/>
  <c r="I36" i="15"/>
  <c r="H36" i="15"/>
  <c r="G36" i="15"/>
  <c r="F36" i="15"/>
  <c r="AH34" i="15"/>
  <c r="AH37" i="15" s="1"/>
  <c r="AG34" i="15"/>
  <c r="AG37" i="15" s="1"/>
  <c r="AC34" i="15"/>
  <c r="Y34" i="15"/>
  <c r="Y37" i="15" s="1"/>
  <c r="X34" i="15"/>
  <c r="W34" i="15"/>
  <c r="V34" i="15"/>
  <c r="V37" i="15" s="1"/>
  <c r="U34" i="15"/>
  <c r="U37" i="15" s="1"/>
  <c r="Q34" i="15"/>
  <c r="M34" i="15"/>
  <c r="M37" i="15" s="1"/>
  <c r="L34" i="15"/>
  <c r="K34" i="15"/>
  <c r="J34" i="15"/>
  <c r="J37" i="15" s="1"/>
  <c r="I34" i="15"/>
  <c r="I37" i="15" s="1"/>
  <c r="AH33" i="15"/>
  <c r="AG33" i="15"/>
  <c r="AF33" i="15"/>
  <c r="AF34" i="15" s="1"/>
  <c r="AF37" i="15" s="1"/>
  <c r="AE33" i="15"/>
  <c r="AE34" i="15" s="1"/>
  <c r="AE37" i="15" s="1"/>
  <c r="AD33" i="15"/>
  <c r="AD34" i="15" s="1"/>
  <c r="AD37" i="15" s="1"/>
  <c r="AC33" i="15"/>
  <c r="AB33" i="15"/>
  <c r="AB34" i="15" s="1"/>
  <c r="AB37" i="15" s="1"/>
  <c r="AA33" i="15"/>
  <c r="AA34" i="15" s="1"/>
  <c r="AA37" i="15" s="1"/>
  <c r="Z33" i="15"/>
  <c r="Z34" i="15" s="1"/>
  <c r="Z37" i="15" s="1"/>
  <c r="Y33" i="15"/>
  <c r="X33" i="15"/>
  <c r="W33" i="15"/>
  <c r="V33" i="15"/>
  <c r="U33" i="15"/>
  <c r="T33" i="15"/>
  <c r="T34" i="15" s="1"/>
  <c r="T37" i="15" s="1"/>
  <c r="S33" i="15"/>
  <c r="S34" i="15" s="1"/>
  <c r="S37" i="15" s="1"/>
  <c r="R33" i="15"/>
  <c r="R34" i="15" s="1"/>
  <c r="R37" i="15" s="1"/>
  <c r="Q33" i="15"/>
  <c r="P33" i="15"/>
  <c r="P34" i="15" s="1"/>
  <c r="P37" i="15" s="1"/>
  <c r="O33" i="15"/>
  <c r="O34" i="15" s="1"/>
  <c r="O37" i="15" s="1"/>
  <c r="N33" i="15"/>
  <c r="N34" i="15" s="1"/>
  <c r="N37" i="15" s="1"/>
  <c r="M33" i="15"/>
  <c r="L33" i="15"/>
  <c r="K33" i="15"/>
  <c r="J33" i="15"/>
  <c r="I33" i="15"/>
  <c r="H33" i="15"/>
  <c r="H34" i="15" s="1"/>
  <c r="H37" i="15" s="1"/>
  <c r="G33" i="15"/>
  <c r="G34" i="15" s="1"/>
  <c r="G37" i="15" s="1"/>
  <c r="F33" i="15"/>
  <c r="F34" i="15" s="1"/>
  <c r="F37" i="15" s="1"/>
  <c r="AH30" i="15"/>
  <c r="AG30" i="15"/>
  <c r="AF30" i="15"/>
  <c r="AE30" i="15"/>
  <c r="AA30" i="15"/>
  <c r="W30" i="15"/>
  <c r="V30" i="15"/>
  <c r="U30" i="15"/>
  <c r="T30" i="15"/>
  <c r="S30" i="15"/>
  <c r="O30" i="15"/>
  <c r="K30" i="15"/>
  <c r="J30" i="15"/>
  <c r="I30" i="15"/>
  <c r="H30" i="15"/>
  <c r="G30" i="15"/>
  <c r="AH29" i="15"/>
  <c r="AG29" i="15"/>
  <c r="AF29" i="15"/>
  <c r="AE29" i="15"/>
  <c r="AD29" i="15"/>
  <c r="AD30" i="15" s="1"/>
  <c r="AC29" i="15"/>
  <c r="AC30" i="15" s="1"/>
  <c r="AB29" i="15"/>
  <c r="AB30" i="15" s="1"/>
  <c r="AA29" i="15"/>
  <c r="Z29" i="15"/>
  <c r="Z30" i="15" s="1"/>
  <c r="Y29" i="15"/>
  <c r="Y30" i="15" s="1"/>
  <c r="X29" i="15"/>
  <c r="X30" i="15" s="1"/>
  <c r="W29" i="15"/>
  <c r="V29" i="15"/>
  <c r="U29" i="15"/>
  <c r="T29" i="15"/>
  <c r="S29" i="15"/>
  <c r="R29" i="15"/>
  <c r="R30" i="15" s="1"/>
  <c r="Q29" i="15"/>
  <c r="Q30" i="15" s="1"/>
  <c r="P29" i="15"/>
  <c r="P30" i="15" s="1"/>
  <c r="O29" i="15"/>
  <c r="N29" i="15"/>
  <c r="N30" i="15" s="1"/>
  <c r="M29" i="15"/>
  <c r="M30" i="15" s="1"/>
  <c r="L29" i="15"/>
  <c r="L30" i="15" s="1"/>
  <c r="K29" i="15"/>
  <c r="J29" i="15"/>
  <c r="I29" i="15"/>
  <c r="H29" i="15"/>
  <c r="G29" i="15"/>
  <c r="F29" i="15"/>
  <c r="F30" i="15" s="1"/>
  <c r="E37" i="15"/>
  <c r="E36" i="15"/>
  <c r="E34" i="15"/>
  <c r="E33" i="15"/>
  <c r="E29" i="15"/>
  <c r="Z24" i="15"/>
  <c r="M24" i="15"/>
  <c r="AE23" i="15"/>
  <c r="AD23" i="15"/>
  <c r="S23" i="15"/>
  <c r="R23" i="15"/>
  <c r="G23" i="15"/>
  <c r="F23" i="15"/>
  <c r="AH21" i="15"/>
  <c r="AH24" i="15" s="1"/>
  <c r="AG21" i="15"/>
  <c r="AG24" i="15" s="1"/>
  <c r="AF21" i="15"/>
  <c r="AE21" i="15"/>
  <c r="AE24" i="15" s="1"/>
  <c r="AD21" i="15"/>
  <c r="AC21" i="15"/>
  <c r="AB21" i="15"/>
  <c r="AB23" i="15" s="1"/>
  <c r="AA21" i="15"/>
  <c r="Z21" i="15"/>
  <c r="Z23" i="15" s="1"/>
  <c r="Y21" i="15"/>
  <c r="X21" i="15"/>
  <c r="W21" i="15"/>
  <c r="W20" i="15" s="1"/>
  <c r="V21" i="15"/>
  <c r="V20" i="15" s="1"/>
  <c r="U21" i="15"/>
  <c r="U24" i="15" s="1"/>
  <c r="T21" i="15"/>
  <c r="S21" i="15"/>
  <c r="R21" i="15"/>
  <c r="Q21" i="15"/>
  <c r="Q23" i="15" s="1"/>
  <c r="P21" i="15"/>
  <c r="P23" i="15" s="1"/>
  <c r="O21" i="15"/>
  <c r="O23" i="15" s="1"/>
  <c r="N21" i="15"/>
  <c r="N23" i="15" s="1"/>
  <c r="M21" i="15"/>
  <c r="L21" i="15"/>
  <c r="K21" i="15"/>
  <c r="K20" i="15" s="1"/>
  <c r="J21" i="15"/>
  <c r="J20" i="15" s="1"/>
  <c r="I21" i="15"/>
  <c r="I24" i="15" s="1"/>
  <c r="H21" i="15"/>
  <c r="G21" i="15"/>
  <c r="F21" i="15"/>
  <c r="AC20" i="15"/>
  <c r="AB20" i="15"/>
  <c r="P20" i="15"/>
  <c r="O20" i="15"/>
  <c r="N20" i="15"/>
  <c r="AH19" i="15"/>
  <c r="AG19" i="15"/>
  <c r="AG18" i="15" s="1"/>
  <c r="AF19" i="15"/>
  <c r="AE19" i="15"/>
  <c r="AE18" i="15" s="1"/>
  <c r="AD19" i="15"/>
  <c r="AC19" i="15"/>
  <c r="AB19" i="15"/>
  <c r="AA19" i="15"/>
  <c r="AA20" i="15" s="1"/>
  <c r="Z19" i="15"/>
  <c r="Z20" i="15" s="1"/>
  <c r="Y19" i="15"/>
  <c r="Y18" i="15" s="1"/>
  <c r="X19" i="15"/>
  <c r="X18" i="15" s="1"/>
  <c r="W19" i="15"/>
  <c r="V19" i="15"/>
  <c r="U19" i="15"/>
  <c r="U18" i="15" s="1"/>
  <c r="T19" i="15"/>
  <c r="S19" i="15"/>
  <c r="S18" i="15" s="1"/>
  <c r="R19" i="15"/>
  <c r="Q19" i="15"/>
  <c r="P19" i="15"/>
  <c r="O19" i="15"/>
  <c r="N19" i="15"/>
  <c r="N18" i="15" s="1"/>
  <c r="M19" i="15"/>
  <c r="M18" i="15" s="1"/>
  <c r="L19" i="15"/>
  <c r="K19" i="15"/>
  <c r="J19" i="15"/>
  <c r="I19" i="15"/>
  <c r="I18" i="15" s="1"/>
  <c r="H19" i="15"/>
  <c r="G19" i="15"/>
  <c r="G18" i="15" s="1"/>
  <c r="F19" i="15"/>
  <c r="W18" i="15"/>
  <c r="AH17" i="15"/>
  <c r="AG17" i="15"/>
  <c r="AF17" i="15"/>
  <c r="AE17" i="15"/>
  <c r="AE16" i="15" s="1"/>
  <c r="AD17" i="15"/>
  <c r="AD16" i="15" s="1"/>
  <c r="AC17" i="15"/>
  <c r="AC16" i="15" s="1"/>
  <c r="AB17" i="15"/>
  <c r="AB16" i="15" s="1"/>
  <c r="AA17" i="15"/>
  <c r="AA24" i="15" s="1"/>
  <c r="Z17" i="15"/>
  <c r="Y17" i="15"/>
  <c r="X17" i="15"/>
  <c r="X16" i="15" s="1"/>
  <c r="W17" i="15"/>
  <c r="W16" i="15" s="1"/>
  <c r="V17" i="15"/>
  <c r="V16" i="15" s="1"/>
  <c r="U17" i="15"/>
  <c r="T17" i="15"/>
  <c r="S17" i="15"/>
  <c r="S16" i="15" s="1"/>
  <c r="R17" i="15"/>
  <c r="R16" i="15" s="1"/>
  <c r="Q17" i="15"/>
  <c r="Q16" i="15" s="1"/>
  <c r="P17" i="15"/>
  <c r="P18" i="15" s="1"/>
  <c r="O17" i="15"/>
  <c r="O24" i="15" s="1"/>
  <c r="N17" i="15"/>
  <c r="M17" i="15"/>
  <c r="L17" i="15"/>
  <c r="L16" i="15" s="1"/>
  <c r="K17" i="15"/>
  <c r="K18" i="15" s="1"/>
  <c r="J17" i="15"/>
  <c r="J16" i="15" s="1"/>
  <c r="I17" i="15"/>
  <c r="H17" i="15"/>
  <c r="G17" i="15"/>
  <c r="G16" i="15" s="1"/>
  <c r="F17" i="15"/>
  <c r="F16" i="15" s="1"/>
  <c r="Y16" i="15"/>
  <c r="M16" i="15"/>
  <c r="AH15" i="15"/>
  <c r="AH16" i="15" s="1"/>
  <c r="AG15" i="15"/>
  <c r="AG16" i="15" s="1"/>
  <c r="AF15" i="15"/>
  <c r="AE15" i="15"/>
  <c r="AD15" i="15"/>
  <c r="AC15" i="15"/>
  <c r="AB15" i="15"/>
  <c r="AA15" i="15"/>
  <c r="AA23" i="15" s="1"/>
  <c r="Z15" i="15"/>
  <c r="Z16" i="15" s="1"/>
  <c r="Y15" i="15"/>
  <c r="X15" i="15"/>
  <c r="W15" i="15"/>
  <c r="V15" i="15"/>
  <c r="U15" i="15"/>
  <c r="U16" i="15" s="1"/>
  <c r="T15" i="15"/>
  <c r="S15" i="15"/>
  <c r="R15" i="15"/>
  <c r="Q15" i="15"/>
  <c r="P15" i="15"/>
  <c r="O15" i="15"/>
  <c r="N15" i="15"/>
  <c r="N16" i="15" s="1"/>
  <c r="M15" i="15"/>
  <c r="L15" i="15"/>
  <c r="K15" i="15"/>
  <c r="K16" i="15" s="1"/>
  <c r="J15" i="15"/>
  <c r="I15" i="15"/>
  <c r="I16" i="15" s="1"/>
  <c r="H15" i="15"/>
  <c r="G15" i="15"/>
  <c r="F15" i="15"/>
  <c r="E21" i="15"/>
  <c r="E19" i="15"/>
  <c r="E17" i="15"/>
  <c r="E24" i="15" s="1"/>
  <c r="E15" i="15"/>
  <c r="E23" i="15" s="1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21" i="13"/>
  <c r="E16" i="13"/>
  <c r="E15" i="13"/>
  <c r="E20" i="13"/>
  <c r="E19" i="13"/>
  <c r="E18" i="13"/>
  <c r="AH38" i="16"/>
  <c r="AG38" i="16"/>
  <c r="AF38" i="16"/>
  <c r="AE38" i="16"/>
  <c r="AD38" i="16"/>
  <c r="AC38" i="16"/>
  <c r="AB38" i="16"/>
  <c r="AA38" i="16"/>
  <c r="Z38" i="16"/>
  <c r="Y38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AH37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AH36" i="16"/>
  <c r="AG36" i="16"/>
  <c r="AF36" i="16"/>
  <c r="AE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AH35" i="16"/>
  <c r="AG35" i="16"/>
  <c r="AF35" i="16"/>
  <c r="AE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AH34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AH33" i="16"/>
  <c r="AG33" i="16"/>
  <c r="AF33" i="16"/>
  <c r="AE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AH32" i="16"/>
  <c r="AG32" i="16"/>
  <c r="AF32" i="16"/>
  <c r="AE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8" i="16"/>
  <c r="E37" i="16"/>
  <c r="E36" i="16"/>
  <c r="E34" i="16"/>
  <c r="E35" i="16"/>
  <c r="E33" i="16"/>
  <c r="E32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I50" i="16"/>
  <c r="H50" i="16"/>
  <c r="G50" i="16"/>
  <c r="F50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AH48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51" i="16"/>
  <c r="E50" i="16"/>
  <c r="E49" i="16"/>
  <c r="E48" i="16"/>
  <c r="E47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AH43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AH42" i="16"/>
  <c r="AG42" i="16"/>
  <c r="AF42" i="16"/>
  <c r="AE42" i="16"/>
  <c r="AD42" i="16"/>
  <c r="AC42" i="16"/>
  <c r="AB42" i="16"/>
  <c r="AA42" i="16"/>
  <c r="Z42" i="16"/>
  <c r="Y42" i="16"/>
  <c r="X42" i="16"/>
  <c r="W42" i="16"/>
  <c r="V42" i="16"/>
  <c r="U42" i="16"/>
  <c r="T42" i="16"/>
  <c r="S42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F42" i="16"/>
  <c r="AH41" i="16"/>
  <c r="AG41" i="16"/>
  <c r="AF41" i="16"/>
  <c r="AE41" i="16"/>
  <c r="AD41" i="16"/>
  <c r="AC41" i="16"/>
  <c r="AB41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4" i="16"/>
  <c r="E42" i="16"/>
  <c r="E43" i="16"/>
  <c r="E41" i="16"/>
  <c r="N48" i="15" l="1"/>
  <c r="Z48" i="15"/>
  <c r="O48" i="15"/>
  <c r="AA48" i="15"/>
  <c r="V47" i="15"/>
  <c r="I47" i="15"/>
  <c r="AH47" i="15"/>
  <c r="J47" i="15"/>
  <c r="AG47" i="15"/>
  <c r="U48" i="15"/>
  <c r="F44" i="15"/>
  <c r="R44" i="15"/>
  <c r="AD44" i="15"/>
  <c r="G44" i="15"/>
  <c r="S44" i="15"/>
  <c r="AE44" i="15"/>
  <c r="Q20" i="15"/>
  <c r="L20" i="15"/>
  <c r="X20" i="15"/>
  <c r="K24" i="15"/>
  <c r="E30" i="15"/>
  <c r="Z18" i="15"/>
  <c r="Y20" i="15"/>
  <c r="M23" i="15"/>
  <c r="Y23" i="15"/>
  <c r="L24" i="15"/>
  <c r="E16" i="15"/>
  <c r="H16" i="15"/>
  <c r="T16" i="15"/>
  <c r="AF16" i="15"/>
  <c r="AA18" i="15"/>
  <c r="E18" i="15"/>
  <c r="F20" i="15"/>
  <c r="R18" i="15"/>
  <c r="AD20" i="15"/>
  <c r="N24" i="15"/>
  <c r="O18" i="15"/>
  <c r="J24" i="15"/>
  <c r="E20" i="15"/>
  <c r="AF18" i="15"/>
  <c r="AC24" i="15"/>
  <c r="L18" i="15"/>
  <c r="F24" i="15"/>
  <c r="R24" i="15"/>
  <c r="AD24" i="15"/>
  <c r="W24" i="15"/>
  <c r="O16" i="15"/>
  <c r="H18" i="15"/>
  <c r="V24" i="15"/>
  <c r="V18" i="15"/>
  <c r="AH18" i="15"/>
  <c r="X24" i="15"/>
  <c r="AA16" i="15"/>
  <c r="T18" i="15"/>
  <c r="Q24" i="15"/>
  <c r="J18" i="15"/>
  <c r="M20" i="15"/>
  <c r="H24" i="15"/>
  <c r="T24" i="15"/>
  <c r="AF24" i="15"/>
  <c r="AC23" i="15"/>
  <c r="Y24" i="15"/>
  <c r="AB18" i="15"/>
  <c r="Q18" i="15"/>
  <c r="G20" i="15"/>
  <c r="AE20" i="15"/>
  <c r="U23" i="15"/>
  <c r="P24" i="15"/>
  <c r="P16" i="15"/>
  <c r="F18" i="15"/>
  <c r="AD18" i="15"/>
  <c r="H20" i="15"/>
  <c r="T20" i="15"/>
  <c r="AF20" i="15"/>
  <c r="J23" i="15"/>
  <c r="V23" i="15"/>
  <c r="AH23" i="15"/>
  <c r="R20" i="15"/>
  <c r="AC18" i="15"/>
  <c r="S20" i="15"/>
  <c r="I23" i="15"/>
  <c r="AG23" i="15"/>
  <c r="AB24" i="15"/>
  <c r="I20" i="15"/>
  <c r="U20" i="15"/>
  <c r="AG20" i="15"/>
  <c r="K23" i="15"/>
  <c r="W23" i="15"/>
  <c r="H23" i="15"/>
  <c r="T23" i="15"/>
  <c r="AF23" i="15"/>
  <c r="L23" i="15"/>
  <c r="X23" i="15"/>
  <c r="G24" i="15"/>
  <c r="S24" i="15"/>
  <c r="AH20" i="15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3" i="16"/>
  <c r="E22" i="16"/>
  <c r="E21" i="16"/>
  <c r="E20" i="16"/>
  <c r="AD144" i="5"/>
  <c r="AE144" i="5"/>
  <c r="BI144" i="5" s="1" a="1"/>
  <c r="BI144" i="5" s="1"/>
  <c r="AF144" i="5"/>
  <c r="BL144" i="5" a="1"/>
  <c r="BL144" i="5" s="1"/>
  <c r="BK144" i="5" a="1"/>
  <c r="BK144" i="5" s="1"/>
  <c r="BJ144" i="5" a="1"/>
  <c r="BJ144" i="5" s="1"/>
  <c r="BH144" i="5" a="1"/>
  <c r="BH144" i="5" s="1"/>
  <c r="BG144" i="5" a="1"/>
  <c r="BG144" i="5" s="1"/>
  <c r="BF144" i="5" a="1"/>
  <c r="BF144" i="5" s="1"/>
  <c r="BE144" i="5" a="1"/>
  <c r="BE144" i="5" s="1"/>
  <c r="BD144" i="5" a="1"/>
  <c r="BD144" i="5" s="1"/>
  <c r="BC144" i="5" a="1"/>
  <c r="BC144" i="5" s="1"/>
  <c r="BB144" i="5" a="1"/>
  <c r="BB144" i="5" s="1"/>
  <c r="BA144" i="5" a="1"/>
  <c r="BA144" i="5" s="1"/>
  <c r="BL143" i="5" a="1"/>
  <c r="BL143" i="5" s="1"/>
  <c r="BK143" i="5" a="1"/>
  <c r="BK143" i="5" s="1"/>
  <c r="BJ143" i="5" a="1"/>
  <c r="BJ143" i="5" s="1"/>
  <c r="BI143" i="5" a="1"/>
  <c r="BI143" i="5" s="1"/>
  <c r="BH143" i="5" a="1"/>
  <c r="BH143" i="5" s="1"/>
  <c r="BF143" i="5" a="1"/>
  <c r="BF143" i="5" s="1"/>
  <c r="BE143" i="5" a="1"/>
  <c r="BE143" i="5" s="1"/>
  <c r="BD143" i="5" a="1"/>
  <c r="BD143" i="5" s="1"/>
  <c r="BC143" i="5" a="1"/>
  <c r="BC143" i="5" s="1"/>
  <c r="BB143" i="5" a="1"/>
  <c r="BB143" i="5" s="1"/>
  <c r="BA143" i="5" a="1"/>
  <c r="BA143" i="5" s="1"/>
  <c r="BG143" i="5" a="1"/>
  <c r="BG143" i="5" s="1"/>
  <c r="BK142" i="5" a="1"/>
  <c r="BK142" i="5" s="1"/>
  <c r="BJ142" i="5" a="1"/>
  <c r="BJ142" i="5" s="1"/>
  <c r="BI142" i="5" a="1"/>
  <c r="BI142" i="5" s="1"/>
  <c r="BH142" i="5" a="1"/>
  <c r="BH142" i="5" s="1"/>
  <c r="BG142" i="5" a="1"/>
  <c r="BG142" i="5" s="1"/>
  <c r="BL142" i="5" a="1"/>
  <c r="BL142" i="5" s="1"/>
  <c r="AZ141" i="5"/>
  <c r="BA141" i="5"/>
  <c r="BB140" i="5"/>
  <c r="BB141" i="5" s="1"/>
  <c r="BL74" i="4" a="1"/>
  <c r="BL74" i="4" s="1"/>
  <c r="BK74" i="4" a="1"/>
  <c r="BK74" i="4" s="1"/>
  <c r="BJ74" i="4" a="1"/>
  <c r="BJ74" i="4" s="1"/>
  <c r="BI74" i="4" a="1"/>
  <c r="BI74" i="4" s="1"/>
  <c r="BH74" i="4" a="1"/>
  <c r="BH74" i="4" s="1"/>
  <c r="BG74" i="4" a="1"/>
  <c r="BG74" i="4" s="1"/>
  <c r="BF74" i="4" a="1"/>
  <c r="BF74" i="4" s="1"/>
  <c r="BE74" i="4" a="1"/>
  <c r="BE74" i="4" s="1"/>
  <c r="BD74" i="4" a="1"/>
  <c r="BD74" i="4" s="1"/>
  <c r="BC74" i="4" a="1"/>
  <c r="BC74" i="4" s="1"/>
  <c r="BB74" i="4" a="1"/>
  <c r="BB74" i="4" s="1"/>
  <c r="BA74" i="4" a="1"/>
  <c r="BA74" i="4" s="1"/>
  <c r="BL73" i="4" a="1"/>
  <c r="BL73" i="4" s="1"/>
  <c r="BK73" i="4" a="1"/>
  <c r="BK73" i="4" s="1"/>
  <c r="BJ73" i="4" a="1"/>
  <c r="BJ73" i="4" s="1"/>
  <c r="BI73" i="4" a="1"/>
  <c r="BI73" i="4" s="1"/>
  <c r="BH73" i="4" a="1"/>
  <c r="BH73" i="4" s="1"/>
  <c r="BG73" i="4" a="1"/>
  <c r="BG73" i="4" s="1"/>
  <c r="BF73" i="4" a="1"/>
  <c r="BF73" i="4" s="1"/>
  <c r="BE73" i="4" a="1"/>
  <c r="BE73" i="4" s="1"/>
  <c r="BD73" i="4" a="1"/>
  <c r="BD73" i="4" s="1"/>
  <c r="BC73" i="4" a="1"/>
  <c r="BC73" i="4" s="1"/>
  <c r="BB73" i="4" a="1"/>
  <c r="BB73" i="4" s="1"/>
  <c r="BA73" i="4" a="1"/>
  <c r="BA73" i="4" s="1"/>
  <c r="BL72" i="4" a="1"/>
  <c r="BL72" i="4" s="1"/>
  <c r="BK72" i="4" a="1"/>
  <c r="BK72" i="4" s="1"/>
  <c r="BJ72" i="4" a="1"/>
  <c r="BJ72" i="4" s="1"/>
  <c r="BI72" i="4" a="1"/>
  <c r="BI72" i="4" s="1"/>
  <c r="BH72" i="4" a="1"/>
  <c r="BH72" i="4" s="1"/>
  <c r="BG72" i="4" a="1"/>
  <c r="BG72" i="4" s="1"/>
  <c r="AZ7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BA71" i="4"/>
  <c r="BB70" i="4"/>
  <c r="BB71" i="4" s="1"/>
  <c r="AZ49" i="4"/>
  <c r="BL53" i="4" a="1"/>
  <c r="BL53" i="4" s="1"/>
  <c r="BK53" i="4" a="1"/>
  <c r="BK53" i="4" s="1"/>
  <c r="BJ53" i="4" a="1"/>
  <c r="BJ53" i="4" s="1"/>
  <c r="BI53" i="4" a="1"/>
  <c r="BI53" i="4" s="1"/>
  <c r="BH53" i="4" a="1"/>
  <c r="BH53" i="4" s="1"/>
  <c r="BG53" i="4" a="1"/>
  <c r="BG53" i="4" s="1"/>
  <c r="BF53" i="4" a="1"/>
  <c r="BF53" i="4" s="1"/>
  <c r="BE53" i="4" a="1"/>
  <c r="BE53" i="4" s="1"/>
  <c r="BD53" i="4" a="1"/>
  <c r="BD53" i="4" s="1"/>
  <c r="BC53" i="4" a="1"/>
  <c r="BC53" i="4" s="1"/>
  <c r="BB53" i="4" a="1"/>
  <c r="BB53" i="4" s="1"/>
  <c r="BA53" i="4" a="1"/>
  <c r="BA53" i="4" s="1"/>
  <c r="BL52" i="4" a="1"/>
  <c r="BL52" i="4" s="1"/>
  <c r="BK52" i="4" a="1"/>
  <c r="BK52" i="4" s="1"/>
  <c r="BJ52" i="4" a="1"/>
  <c r="BJ52" i="4" s="1"/>
  <c r="BI52" i="4" a="1"/>
  <c r="BI52" i="4" s="1"/>
  <c r="BH52" i="4" a="1"/>
  <c r="BH52" i="4" s="1"/>
  <c r="BG52" i="4" a="1"/>
  <c r="BG52" i="4" s="1"/>
  <c r="BF52" i="4" a="1"/>
  <c r="BF52" i="4" s="1"/>
  <c r="BE52" i="4" a="1"/>
  <c r="BE52" i="4" s="1"/>
  <c r="BD52" i="4" a="1"/>
  <c r="BD52" i="4" s="1"/>
  <c r="BC52" i="4" a="1"/>
  <c r="BC52" i="4" s="1"/>
  <c r="BB52" i="4" a="1"/>
  <c r="BB52" i="4" s="1"/>
  <c r="BA52" i="4" a="1"/>
  <c r="BA52" i="4" s="1"/>
  <c r="BL51" i="4" a="1"/>
  <c r="BL51" i="4" s="1"/>
  <c r="BK51" i="4" a="1"/>
  <c r="BK51" i="4" s="1"/>
  <c r="BJ51" i="4" a="1"/>
  <c r="BJ51" i="4" s="1"/>
  <c r="BI51" i="4" a="1"/>
  <c r="BI51" i="4" s="1"/>
  <c r="BH51" i="4" a="1"/>
  <c r="BH51" i="4" s="1"/>
  <c r="BG51" i="4" a="1"/>
  <c r="BG51" i="4" s="1"/>
  <c r="BC49" i="4"/>
  <c r="BD49" i="4" s="1"/>
  <c r="BE49" i="4" s="1"/>
  <c r="BF49" i="4" s="1"/>
  <c r="BG49" i="4" s="1"/>
  <c r="BH49" i="4" s="1"/>
  <c r="BI49" i="4" s="1"/>
  <c r="BJ49" i="4" s="1"/>
  <c r="BK49" i="4" s="1"/>
  <c r="BL49" i="4" s="1"/>
  <c r="BB49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Q124" i="4" s="1"/>
  <c r="AT76" i="10"/>
  <c r="AT90" i="10"/>
  <c r="AT65" i="10"/>
  <c r="AT84" i="10"/>
  <c r="AT99" i="10"/>
  <c r="AT112" i="10"/>
  <c r="AT155" i="10"/>
  <c r="AT161" i="10"/>
  <c r="AT170" i="10"/>
  <c r="AT195" i="10"/>
  <c r="AW181" i="8"/>
  <c r="AV181" i="8"/>
  <c r="AU181" i="8"/>
  <c r="AS181" i="8"/>
  <c r="AR181" i="8"/>
  <c r="AQ181" i="8"/>
  <c r="AP181" i="8"/>
  <c r="AO181" i="8"/>
  <c r="AN181" i="8"/>
  <c r="AM181" i="8"/>
  <c r="AL181" i="8"/>
  <c r="AK181" i="8"/>
  <c r="AJ181" i="8"/>
  <c r="AT35" i="8"/>
  <c r="AT37" i="8" s="1"/>
  <c r="AT28" i="8"/>
  <c r="AT23" i="8"/>
  <c r="AT122" i="5"/>
  <c r="AH68" i="16"/>
  <c r="AS4" i="11"/>
  <c r="AR4" i="11"/>
  <c r="AQ4" i="11"/>
  <c r="AP4" i="11"/>
  <c r="AO4" i="11"/>
  <c r="AN4" i="11"/>
  <c r="AM4" i="11"/>
  <c r="AL4" i="11"/>
  <c r="AK4" i="11"/>
  <c r="AJ4" i="11"/>
  <c r="AS3" i="11"/>
  <c r="AR3" i="11"/>
  <c r="AR10" i="11" s="1"/>
  <c r="AR14" i="11" s="1"/>
  <c r="AQ3" i="11"/>
  <c r="AP3" i="11"/>
  <c r="AO3" i="11"/>
  <c r="AN3" i="11"/>
  <c r="AM3" i="11"/>
  <c r="AL3" i="11"/>
  <c r="AK3" i="11"/>
  <c r="AJ3" i="11"/>
  <c r="AS4" i="10"/>
  <c r="AR4" i="10"/>
  <c r="AQ4" i="10"/>
  <c r="AP4" i="10"/>
  <c r="AO4" i="10"/>
  <c r="AN4" i="10"/>
  <c r="AM4" i="10"/>
  <c r="AL4" i="10"/>
  <c r="AK4" i="10"/>
  <c r="AJ4" i="10"/>
  <c r="AS3" i="10"/>
  <c r="AS10" i="10" s="1"/>
  <c r="AS14" i="10" s="1"/>
  <c r="AR3" i="10"/>
  <c r="AR10" i="10" s="1"/>
  <c r="AR14" i="10" s="1"/>
  <c r="AQ3" i="10"/>
  <c r="AP3" i="10"/>
  <c r="AO3" i="10"/>
  <c r="AN3" i="10"/>
  <c r="AM3" i="10"/>
  <c r="AL3" i="10"/>
  <c r="AK3" i="10"/>
  <c r="AJ3" i="10"/>
  <c r="AQ6" i="5"/>
  <c r="AP6" i="5"/>
  <c r="AO6" i="5"/>
  <c r="AN6" i="5"/>
  <c r="AM6" i="5"/>
  <c r="AL6" i="5"/>
  <c r="AK6" i="5"/>
  <c r="AJ6" i="5"/>
  <c r="AQ5" i="5"/>
  <c r="AP5" i="5"/>
  <c r="AO5" i="5"/>
  <c r="AN5" i="5"/>
  <c r="AM5" i="5"/>
  <c r="AL5" i="5"/>
  <c r="AK5" i="5"/>
  <c r="AJ5" i="5"/>
  <c r="AU5" i="5" s="1"/>
  <c r="AS4" i="5"/>
  <c r="AR4" i="5"/>
  <c r="AQ4" i="5"/>
  <c r="AP4" i="5"/>
  <c r="AO4" i="5"/>
  <c r="AN4" i="5"/>
  <c r="AM4" i="5"/>
  <c r="AL4" i="5"/>
  <c r="AK4" i="5"/>
  <c r="AJ4" i="5"/>
  <c r="AS3" i="5"/>
  <c r="AR3" i="5"/>
  <c r="AQ3" i="5"/>
  <c r="AP3" i="5"/>
  <c r="AO3" i="5"/>
  <c r="AN3" i="5"/>
  <c r="AM3" i="5"/>
  <c r="AL3" i="5"/>
  <c r="AK3" i="5"/>
  <c r="AJ3" i="5"/>
  <c r="AQ6" i="1"/>
  <c r="AP6" i="1"/>
  <c r="AO6" i="1"/>
  <c r="AN6" i="1"/>
  <c r="AM6" i="1"/>
  <c r="AL6" i="1"/>
  <c r="AK6" i="1"/>
  <c r="AJ6" i="1"/>
  <c r="AQ5" i="1"/>
  <c r="AP5" i="1"/>
  <c r="AO5" i="1"/>
  <c r="AN5" i="1"/>
  <c r="AM5" i="1"/>
  <c r="AL5" i="1"/>
  <c r="AK5" i="1"/>
  <c r="AJ5" i="1"/>
  <c r="AU5" i="1" s="1"/>
  <c r="AS4" i="1"/>
  <c r="AR4" i="1"/>
  <c r="AQ4" i="1"/>
  <c r="AP4" i="1"/>
  <c r="AO4" i="1"/>
  <c r="AN4" i="1"/>
  <c r="AM4" i="1"/>
  <c r="AL4" i="1"/>
  <c r="AK4" i="1"/>
  <c r="AJ4" i="1"/>
  <c r="AS3" i="1"/>
  <c r="AR3" i="1"/>
  <c r="AR10" i="1" s="1"/>
  <c r="AQ3" i="1"/>
  <c r="AP3" i="1"/>
  <c r="AO3" i="1"/>
  <c r="AN3" i="1"/>
  <c r="AM3" i="1"/>
  <c r="AL3" i="1"/>
  <c r="AK3" i="1"/>
  <c r="AJ3" i="1"/>
  <c r="AS4" i="4"/>
  <c r="AR4" i="4"/>
  <c r="AQ4" i="4"/>
  <c r="AP4" i="4"/>
  <c r="AO4" i="4"/>
  <c r="AN4" i="4"/>
  <c r="AM4" i="4"/>
  <c r="AL4" i="4"/>
  <c r="AK4" i="4"/>
  <c r="AJ4" i="4"/>
  <c r="AS3" i="4"/>
  <c r="AS10" i="4" s="1"/>
  <c r="AS14" i="4" s="1"/>
  <c r="AR3" i="4"/>
  <c r="AQ3" i="4"/>
  <c r="AP3" i="4"/>
  <c r="AO3" i="4"/>
  <c r="AN3" i="4"/>
  <c r="AM3" i="4"/>
  <c r="AL3" i="4"/>
  <c r="AK3" i="4"/>
  <c r="AJ3" i="4"/>
  <c r="AS4" i="16"/>
  <c r="AR4" i="16"/>
  <c r="AQ4" i="16"/>
  <c r="AP4" i="16"/>
  <c r="AO4" i="16"/>
  <c r="AN4" i="16"/>
  <c r="AM4" i="16"/>
  <c r="AL4" i="16"/>
  <c r="AK4" i="16"/>
  <c r="AJ4" i="16"/>
  <c r="AS3" i="16"/>
  <c r="AS10" i="16" s="1"/>
  <c r="AS14" i="16" s="1"/>
  <c r="AR3" i="16"/>
  <c r="AR10" i="16" s="1"/>
  <c r="AR14" i="16" s="1"/>
  <c r="AQ3" i="16"/>
  <c r="AP3" i="16"/>
  <c r="AO3" i="16"/>
  <c r="AN3" i="16"/>
  <c r="AM3" i="16"/>
  <c r="AL3" i="16"/>
  <c r="AK3" i="16"/>
  <c r="AJ3" i="16"/>
  <c r="AQ6" i="8"/>
  <c r="AP6" i="8"/>
  <c r="AO6" i="8"/>
  <c r="AN6" i="8"/>
  <c r="AM6" i="8"/>
  <c r="AL6" i="8"/>
  <c r="AK6" i="8"/>
  <c r="AJ6" i="8"/>
  <c r="AQ5" i="8"/>
  <c r="AP5" i="8"/>
  <c r="AO5" i="8"/>
  <c r="AN5" i="8"/>
  <c r="AM5" i="8"/>
  <c r="AL5" i="8"/>
  <c r="AK5" i="8"/>
  <c r="AJ5" i="8"/>
  <c r="AU5" i="8" s="1"/>
  <c r="AU20" i="8" s="1"/>
  <c r="AS4" i="8"/>
  <c r="AR4" i="8"/>
  <c r="AQ4" i="8"/>
  <c r="AP4" i="8"/>
  <c r="AO4" i="8"/>
  <c r="AN4" i="8"/>
  <c r="AM4" i="8"/>
  <c r="AL4" i="8"/>
  <c r="AK4" i="8"/>
  <c r="AJ4" i="8"/>
  <c r="AS3" i="8"/>
  <c r="AR3" i="8"/>
  <c r="AR10" i="8" s="1"/>
  <c r="AR19" i="8" s="1"/>
  <c r="AQ3" i="8"/>
  <c r="AP3" i="8"/>
  <c r="AO3" i="8"/>
  <c r="AN3" i="8"/>
  <c r="AM3" i="8"/>
  <c r="AL3" i="8"/>
  <c r="AK3" i="8"/>
  <c r="AJ3" i="8"/>
  <c r="N4" i="21"/>
  <c r="N5" i="21" s="1"/>
  <c r="N6" i="21" s="1"/>
  <c r="N7" i="21" s="1"/>
  <c r="N8" i="21" s="1"/>
  <c r="N9" i="21" s="1"/>
  <c r="N10" i="21" s="1"/>
  <c r="H4" i="21"/>
  <c r="J3" i="21"/>
  <c r="I3" i="21"/>
  <c r="BC140" i="5" l="1"/>
  <c r="BC70" i="4"/>
  <c r="AR81" i="11"/>
  <c r="AR49" i="11"/>
  <c r="AR232" i="10"/>
  <c r="AS232" i="10"/>
  <c r="AR221" i="10"/>
  <c r="AS221" i="10"/>
  <c r="AR215" i="10"/>
  <c r="AS215" i="10"/>
  <c r="AR64" i="10"/>
  <c r="AS64" i="10"/>
  <c r="AR55" i="10"/>
  <c r="AS55" i="10"/>
  <c r="AS75" i="10"/>
  <c r="AR72" i="10"/>
  <c r="AS72" i="10"/>
  <c r="AS83" i="10"/>
  <c r="AR75" i="10"/>
  <c r="AR83" i="10"/>
  <c r="AR89" i="10"/>
  <c r="AS89" i="10"/>
  <c r="AR95" i="10"/>
  <c r="AS95" i="10"/>
  <c r="AR98" i="10"/>
  <c r="AS98" i="10"/>
  <c r="AR104" i="10"/>
  <c r="AS104" i="10"/>
  <c r="AR120" i="10"/>
  <c r="AS120" i="10"/>
  <c r="AR117" i="10"/>
  <c r="AS117" i="10"/>
  <c r="AR111" i="10"/>
  <c r="AS111" i="10"/>
  <c r="AR131" i="10"/>
  <c r="AS131" i="10"/>
  <c r="AR140" i="10"/>
  <c r="AS140" i="10"/>
  <c r="AR148" i="10"/>
  <c r="AS148" i="10"/>
  <c r="AR154" i="10"/>
  <c r="AS154" i="10"/>
  <c r="AR160" i="10"/>
  <c r="AS160" i="10"/>
  <c r="AR169" i="10"/>
  <c r="AS169" i="10"/>
  <c r="AR200" i="10"/>
  <c r="AR179" i="10"/>
  <c r="AS179" i="10"/>
  <c r="AS200" i="10"/>
  <c r="AR194" i="10"/>
  <c r="AS194" i="10"/>
  <c r="AR189" i="10"/>
  <c r="AS189" i="10"/>
  <c r="AR48" i="10"/>
  <c r="AS48" i="10"/>
  <c r="AJ184" i="8" a="1"/>
  <c r="AJ184" i="8" s="1"/>
  <c r="AL184" i="8" a="1"/>
  <c r="AL184" i="8" s="1"/>
  <c r="AN169" i="8" a="1"/>
  <c r="AN169" i="8" s="1"/>
  <c r="AK184" i="8" a="1"/>
  <c r="AK184" i="8" s="1"/>
  <c r="AU184" i="8"/>
  <c r="AM184" i="8" a="1"/>
  <c r="AM184" i="8" s="1"/>
  <c r="AK180" i="8" a="1"/>
  <c r="AK180" i="8" s="1"/>
  <c r="AJ180" i="8" a="1"/>
  <c r="AJ180" i="8" s="1"/>
  <c r="AL180" i="8" a="1"/>
  <c r="AL180" i="8" s="1"/>
  <c r="AM176" i="8" a="1"/>
  <c r="AM176" i="8" s="1"/>
  <c r="AU180" i="8"/>
  <c r="AQ172" i="8" a="1"/>
  <c r="AQ172" i="8" s="1"/>
  <c r="AM180" i="8" a="1"/>
  <c r="AM180" i="8" s="1"/>
  <c r="AJ178" i="8" a="1"/>
  <c r="AJ178" i="8" s="1"/>
  <c r="AK178" i="8" a="1"/>
  <c r="AK178" i="8" s="1"/>
  <c r="AL178" i="8" a="1"/>
  <c r="AL178" i="8" s="1"/>
  <c r="AJ176" i="8" a="1"/>
  <c r="AJ176" i="8" s="1"/>
  <c r="AK176" i="8" a="1"/>
  <c r="AK176" i="8" s="1"/>
  <c r="AO169" i="8" a="1"/>
  <c r="AO169" i="8" s="1"/>
  <c r="AL176" i="8" a="1"/>
  <c r="AL176" i="8" s="1"/>
  <c r="AU176" i="8"/>
  <c r="AR172" i="8" a="1"/>
  <c r="AR172" i="8" s="1"/>
  <c r="AP170" i="8" a="1"/>
  <c r="AP170" i="8" s="1"/>
  <c r="AL169" i="8" a="1"/>
  <c r="AL169" i="8" s="1"/>
  <c r="AU169" i="8"/>
  <c r="AU178" i="8"/>
  <c r="AM170" i="8" a="1"/>
  <c r="AM170" i="8" s="1"/>
  <c r="AM169" i="8" a="1"/>
  <c r="AM169" i="8" s="1"/>
  <c r="AM171" i="8" a="1"/>
  <c r="AM171" i="8" s="1"/>
  <c r="AQ171" i="8" a="1"/>
  <c r="AQ171" i="8" s="1"/>
  <c r="AM178" i="8" a="1"/>
  <c r="AM178" i="8" s="1"/>
  <c r="AP169" i="8" a="1"/>
  <c r="AP169" i="8" s="1"/>
  <c r="AQ170" i="8" a="1"/>
  <c r="AQ170" i="8" s="1"/>
  <c r="AJ172" i="8" a="1"/>
  <c r="AJ172" i="8" s="1"/>
  <c r="AN172" i="8" a="1"/>
  <c r="AN172" i="8" s="1"/>
  <c r="AJ166" i="8" a="1"/>
  <c r="AJ166" i="8" s="1"/>
  <c r="AQ169" i="8" a="1"/>
  <c r="AQ169" i="8" s="1"/>
  <c r="AJ171" i="8" a="1"/>
  <c r="AJ171" i="8" s="1"/>
  <c r="AN171" i="8" a="1"/>
  <c r="AN171" i="8" s="1"/>
  <c r="AR171" i="8" a="1"/>
  <c r="AR171" i="8" s="1"/>
  <c r="AJ170" i="8" a="1"/>
  <c r="AJ170" i="8" s="1"/>
  <c r="AN170" i="8" a="1"/>
  <c r="AN170" i="8" s="1"/>
  <c r="AR170" i="8" a="1"/>
  <c r="AR170" i="8" s="1"/>
  <c r="AK172" i="8" a="1"/>
  <c r="AK172" i="8" s="1"/>
  <c r="AO172" i="8" a="1"/>
  <c r="AO172" i="8" s="1"/>
  <c r="AS172" i="8" a="1"/>
  <c r="AS172" i="8" s="1"/>
  <c r="AL164" i="8" a="1"/>
  <c r="AL164" i="8" s="1"/>
  <c r="AJ169" i="8" a="1"/>
  <c r="AJ169" i="8" s="1"/>
  <c r="AR169" i="8" a="1"/>
  <c r="AR169" i="8" s="1"/>
  <c r="AK171" i="8" a="1"/>
  <c r="AK171" i="8" s="1"/>
  <c r="AO171" i="8" a="1"/>
  <c r="AO171" i="8" s="1"/>
  <c r="AS171" i="8" a="1"/>
  <c r="AS171" i="8" s="1"/>
  <c r="AK170" i="8" a="1"/>
  <c r="AK170" i="8" s="1"/>
  <c r="AO170" i="8" a="1"/>
  <c r="AO170" i="8" s="1"/>
  <c r="AS170" i="8" a="1"/>
  <c r="AS170" i="8" s="1"/>
  <c r="AL172" i="8" a="1"/>
  <c r="AL172" i="8" s="1"/>
  <c r="AP172" i="8" a="1"/>
  <c r="AP172" i="8" s="1"/>
  <c r="AU172" i="8"/>
  <c r="AN150" i="8" a="1"/>
  <c r="AN150" i="8" s="1"/>
  <c r="AK169" i="8" a="1"/>
  <c r="AK169" i="8" s="1"/>
  <c r="AS169" i="8" a="1"/>
  <c r="AS169" i="8" s="1"/>
  <c r="AL171" i="8" a="1"/>
  <c r="AL171" i="8" s="1"/>
  <c r="AP171" i="8" a="1"/>
  <c r="AP171" i="8" s="1"/>
  <c r="AU171" i="8"/>
  <c r="AL170" i="8" a="1"/>
  <c r="AL170" i="8" s="1"/>
  <c r="AU170" i="8"/>
  <c r="AM172" i="8" a="1"/>
  <c r="AM172" i="8" s="1"/>
  <c r="AJ164" i="8" a="1"/>
  <c r="AJ164" i="8" s="1"/>
  <c r="AK164" i="8" a="1"/>
  <c r="AK164" i="8" s="1"/>
  <c r="AU164" i="8"/>
  <c r="AM164" i="8" a="1"/>
  <c r="AM164" i="8" s="1"/>
  <c r="AL161" i="8" a="1"/>
  <c r="AL161" i="8" s="1"/>
  <c r="AK166" i="8" a="1"/>
  <c r="AK166" i="8" s="1"/>
  <c r="AL166" i="8" a="1"/>
  <c r="AL166" i="8" s="1"/>
  <c r="AU166" i="8"/>
  <c r="AJ161" i="8" a="1"/>
  <c r="AJ161" i="8" s="1"/>
  <c r="AM166" i="8" a="1"/>
  <c r="AM166" i="8" s="1"/>
  <c r="AK161" i="8" a="1"/>
  <c r="AK161" i="8" s="1"/>
  <c r="AS155" i="8" a="1"/>
  <c r="AS155" i="8" s="1"/>
  <c r="AU161" i="8"/>
  <c r="AM161" i="8" a="1"/>
  <c r="AM161" i="8" s="1"/>
  <c r="AR152" i="8" a="1"/>
  <c r="AR152" i="8" s="1"/>
  <c r="AN155" i="8" a="1"/>
  <c r="AN155" i="8" s="1"/>
  <c r="AK155" i="8" a="1"/>
  <c r="AK155" i="8" s="1"/>
  <c r="AL150" i="8" a="1"/>
  <c r="AL150" i="8" s="1"/>
  <c r="AJ155" i="8" a="1"/>
  <c r="AJ155" i="8" s="1"/>
  <c r="AM155" i="8" a="1"/>
  <c r="AM155" i="8" s="1"/>
  <c r="AO150" i="8" a="1"/>
  <c r="AO150" i="8" s="1"/>
  <c r="AR155" i="8" a="1"/>
  <c r="AR155" i="8" s="1"/>
  <c r="AO155" i="8" a="1"/>
  <c r="AO155" i="8" s="1"/>
  <c r="AP148" i="8" a="1"/>
  <c r="AP148" i="8" s="1"/>
  <c r="AQ148" i="8" a="1"/>
  <c r="AQ148" i="8" s="1"/>
  <c r="AM150" i="8" a="1"/>
  <c r="AM150" i="8" s="1"/>
  <c r="AL155" i="8" a="1"/>
  <c r="AL155" i="8" s="1"/>
  <c r="AP155" i="8" a="1"/>
  <c r="AP155" i="8" s="1"/>
  <c r="AU155" i="8"/>
  <c r="AQ151" i="8" a="1"/>
  <c r="AQ151" i="8" s="1"/>
  <c r="AQ155" i="8" a="1"/>
  <c r="AQ155" i="8" s="1"/>
  <c r="AM151" i="8" a="1"/>
  <c r="AM151" i="8" s="1"/>
  <c r="AQ150" i="8" a="1"/>
  <c r="AQ150" i="8" s="1"/>
  <c r="AN152" i="8" a="1"/>
  <c r="AN152" i="8" s="1"/>
  <c r="AJ148" i="8" a="1"/>
  <c r="AJ148" i="8" s="1"/>
  <c r="AJ151" i="8" a="1"/>
  <c r="AJ151" i="8" s="1"/>
  <c r="AN151" i="8" a="1"/>
  <c r="AN151" i="8" s="1"/>
  <c r="AR151" i="8" a="1"/>
  <c r="AR151" i="8" s="1"/>
  <c r="AJ150" i="8" a="1"/>
  <c r="AJ150" i="8" s="1"/>
  <c r="AR150" i="8" a="1"/>
  <c r="AR150" i="8" s="1"/>
  <c r="AK152" i="8" a="1"/>
  <c r="AK152" i="8" s="1"/>
  <c r="AO152" i="8" a="1"/>
  <c r="AO152" i="8" s="1"/>
  <c r="AS152" i="8" a="1"/>
  <c r="AS152" i="8" s="1"/>
  <c r="AK151" i="8" a="1"/>
  <c r="AK151" i="8" s="1"/>
  <c r="AO151" i="8" a="1"/>
  <c r="AO151" i="8" s="1"/>
  <c r="AS151" i="8" a="1"/>
  <c r="AS151" i="8" s="1"/>
  <c r="AJ152" i="8" a="1"/>
  <c r="AJ152" i="8" s="1"/>
  <c r="AK150" i="8" a="1"/>
  <c r="AK150" i="8" s="1"/>
  <c r="AS150" i="8" a="1"/>
  <c r="AS150" i="8" s="1"/>
  <c r="AL152" i="8" a="1"/>
  <c r="AL152" i="8" s="1"/>
  <c r="AP152" i="8" a="1"/>
  <c r="AP152" i="8" s="1"/>
  <c r="AU152" i="8"/>
  <c r="AN131" i="8" a="1"/>
  <c r="AN131" i="8" s="1"/>
  <c r="AL151" i="8" a="1"/>
  <c r="AL151" i="8" s="1"/>
  <c r="AP151" i="8" a="1"/>
  <c r="AP151" i="8" s="1"/>
  <c r="AU151" i="8"/>
  <c r="AP150" i="8" a="1"/>
  <c r="AP150" i="8" s="1"/>
  <c r="AU150" i="8"/>
  <c r="AM152" i="8" a="1"/>
  <c r="AM152" i="8" s="1"/>
  <c r="AQ152" i="8" a="1"/>
  <c r="AQ152" i="8" s="1"/>
  <c r="AN148" i="8" a="1"/>
  <c r="AN148" i="8" s="1"/>
  <c r="AR148" i="8" a="1"/>
  <c r="AR148" i="8" s="1"/>
  <c r="AK148" i="8" a="1"/>
  <c r="AK148" i="8" s="1"/>
  <c r="AO148" i="8" a="1"/>
  <c r="AO148" i="8" s="1"/>
  <c r="AS148" i="8" a="1"/>
  <c r="AS148" i="8" s="1"/>
  <c r="AL148" i="8" a="1"/>
  <c r="AL148" i="8" s="1"/>
  <c r="AU148" i="8"/>
  <c r="AM148" i="8" a="1"/>
  <c r="AM148" i="8" s="1"/>
  <c r="AO131" i="8" a="1"/>
  <c r="AO131" i="8" s="1"/>
  <c r="AS131" i="8" a="1"/>
  <c r="AS131" i="8" s="1"/>
  <c r="AQ131" i="8" a="1"/>
  <c r="AQ131" i="8" s="1"/>
  <c r="AP131" i="8" a="1"/>
  <c r="AP131" i="8" s="1"/>
  <c r="AK131" i="8" a="1"/>
  <c r="AK131" i="8" s="1"/>
  <c r="AL131" i="8" a="1"/>
  <c r="AL131" i="8" s="1"/>
  <c r="AJ131" i="8" a="1"/>
  <c r="AJ131" i="8" s="1"/>
  <c r="AM131" i="8" a="1"/>
  <c r="AM131" i="8" s="1"/>
  <c r="AU131" i="8" a="1"/>
  <c r="AU131" i="8" s="1"/>
  <c r="AR131" i="8" a="1"/>
  <c r="AR131" i="8" s="1"/>
  <c r="AQ136" i="8" a="1"/>
  <c r="AQ136" i="8" s="1"/>
  <c r="AL136" i="8" a="1"/>
  <c r="AL136" i="8" s="1"/>
  <c r="AN136" i="8" a="1"/>
  <c r="AN136" i="8" s="1"/>
  <c r="AP136" i="8" a="1"/>
  <c r="AP136" i="8" s="1"/>
  <c r="AJ133" i="8" a="1"/>
  <c r="AJ133" i="8" s="1"/>
  <c r="AJ136" i="8" a="1"/>
  <c r="AJ136" i="8" s="1"/>
  <c r="AR136" i="8" a="1"/>
  <c r="AR136" i="8" s="1"/>
  <c r="AK118" i="8" a="1"/>
  <c r="AK118" i="8" s="1"/>
  <c r="AM133" i="8" a="1"/>
  <c r="AM133" i="8" s="1"/>
  <c r="AK136" i="8" a="1"/>
  <c r="AK136" i="8" s="1"/>
  <c r="AO136" i="8" a="1"/>
  <c r="AO136" i="8" s="1"/>
  <c r="AS136" i="8" a="1"/>
  <c r="AS136" i="8" s="1"/>
  <c r="AU136" i="8"/>
  <c r="AP133" i="8" a="1"/>
  <c r="AP133" i="8" s="1"/>
  <c r="AM136" i="8" a="1"/>
  <c r="AM136" i="8" s="1"/>
  <c r="AN133" i="8" a="1"/>
  <c r="AN133" i="8" s="1"/>
  <c r="AR133" i="8" a="1"/>
  <c r="AR133" i="8" s="1"/>
  <c r="AK133" i="8" a="1"/>
  <c r="AK133" i="8" s="1"/>
  <c r="AO133" i="8" a="1"/>
  <c r="AO133" i="8" s="1"/>
  <c r="AS133" i="8" a="1"/>
  <c r="AS133" i="8" s="1"/>
  <c r="AL133" i="8" a="1"/>
  <c r="AL133" i="8" s="1"/>
  <c r="AU133" i="8"/>
  <c r="AQ133" i="8" a="1"/>
  <c r="AQ133" i="8" s="1"/>
  <c r="AM118" i="8" a="1"/>
  <c r="AM118" i="8" s="1"/>
  <c r="AL118" i="8" a="1"/>
  <c r="AL118" i="8" s="1"/>
  <c r="AS109" i="8" a="1"/>
  <c r="AS109" i="8" s="1"/>
  <c r="AJ114" i="8" a="1"/>
  <c r="AJ114" i="8" s="1"/>
  <c r="AP114" i="8" a="1"/>
  <c r="AP114" i="8" s="1"/>
  <c r="AL127" i="8" a="1"/>
  <c r="AL127" i="8" s="1"/>
  <c r="AP127" i="8" a="1"/>
  <c r="AP127" i="8" s="1"/>
  <c r="AN124" i="8" a="1"/>
  <c r="AN124" i="8" s="1"/>
  <c r="AQ127" i="8" a="1"/>
  <c r="AQ127" i="8" s="1"/>
  <c r="AM127" i="8" a="1"/>
  <c r="AM127" i="8" s="1"/>
  <c r="AU127" i="8"/>
  <c r="AO118" i="8" a="1"/>
  <c r="AO118" i="8" s="1"/>
  <c r="AP124" i="8" a="1"/>
  <c r="AP124" i="8" s="1"/>
  <c r="AJ127" i="8" a="1"/>
  <c r="AJ127" i="8" s="1"/>
  <c r="AN127" i="8" a="1"/>
  <c r="AN127" i="8" s="1"/>
  <c r="AR127" i="8" a="1"/>
  <c r="AR127" i="8" s="1"/>
  <c r="AL119" i="8" a="1"/>
  <c r="AL119" i="8" s="1"/>
  <c r="AM121" i="8" a="1"/>
  <c r="AM121" i="8" s="1"/>
  <c r="AK127" i="8" a="1"/>
  <c r="AK127" i="8" s="1"/>
  <c r="AO127" i="8" a="1"/>
  <c r="AO127" i="8" s="1"/>
  <c r="AS127" i="8" a="1"/>
  <c r="AS127" i="8" s="1"/>
  <c r="AJ124" i="8" a="1"/>
  <c r="AJ124" i="8" s="1"/>
  <c r="AR124" i="8" a="1"/>
  <c r="AR124" i="8" s="1"/>
  <c r="AK124" i="8" a="1"/>
  <c r="AK124" i="8" s="1"/>
  <c r="AO124" i="8" a="1"/>
  <c r="AO124" i="8" s="1"/>
  <c r="AS124" i="8" a="1"/>
  <c r="AS124" i="8" s="1"/>
  <c r="AN107" i="8" a="1"/>
  <c r="AN107" i="8" s="1"/>
  <c r="AL124" i="8" a="1"/>
  <c r="AL124" i="8" s="1"/>
  <c r="AU124" i="8"/>
  <c r="AP119" i="8" a="1"/>
  <c r="AP119" i="8" s="1"/>
  <c r="AQ121" i="8" a="1"/>
  <c r="AQ121" i="8" s="1"/>
  <c r="AM124" i="8" a="1"/>
  <c r="AM124" i="8" s="1"/>
  <c r="AQ124" i="8" a="1"/>
  <c r="AQ124" i="8" s="1"/>
  <c r="AP118" i="8" a="1"/>
  <c r="AP118" i="8" s="1"/>
  <c r="AU118" i="8"/>
  <c r="AM120" i="8" a="1"/>
  <c r="AM120" i="8" s="1"/>
  <c r="AQ120" i="8" a="1"/>
  <c r="AQ120" i="8" s="1"/>
  <c r="AM119" i="8" a="1"/>
  <c r="AM119" i="8" s="1"/>
  <c r="AQ119" i="8" a="1"/>
  <c r="AQ119" i="8" s="1"/>
  <c r="AJ121" i="8" a="1"/>
  <c r="AJ121" i="8" s="1"/>
  <c r="AN121" i="8" a="1"/>
  <c r="AN121" i="8" s="1"/>
  <c r="AR121" i="8" a="1"/>
  <c r="AR121" i="8" s="1"/>
  <c r="AQ118" i="8" a="1"/>
  <c r="AQ118" i="8" s="1"/>
  <c r="AJ120" i="8" a="1"/>
  <c r="AJ120" i="8" s="1"/>
  <c r="AN120" i="8" a="1"/>
  <c r="AN120" i="8" s="1"/>
  <c r="AR120" i="8" a="1"/>
  <c r="AR120" i="8" s="1"/>
  <c r="AJ119" i="8" a="1"/>
  <c r="AJ119" i="8" s="1"/>
  <c r="AN119" i="8" a="1"/>
  <c r="AN119" i="8" s="1"/>
  <c r="AR119" i="8" a="1"/>
  <c r="AR119" i="8" s="1"/>
  <c r="AK121" i="8" a="1"/>
  <c r="AK121" i="8" s="1"/>
  <c r="AO121" i="8" a="1"/>
  <c r="AO121" i="8" s="1"/>
  <c r="AS121" i="8" a="1"/>
  <c r="AS121" i="8" s="1"/>
  <c r="AJ118" i="8" a="1"/>
  <c r="AJ118" i="8" s="1"/>
  <c r="AN118" i="8" a="1"/>
  <c r="AN118" i="8" s="1"/>
  <c r="AR118" i="8" a="1"/>
  <c r="AR118" i="8" s="1"/>
  <c r="AK120" i="8" a="1"/>
  <c r="AK120" i="8" s="1"/>
  <c r="AO120" i="8" a="1"/>
  <c r="AO120" i="8" s="1"/>
  <c r="AS120" i="8" a="1"/>
  <c r="AS120" i="8" s="1"/>
  <c r="AK119" i="8" a="1"/>
  <c r="AK119" i="8" s="1"/>
  <c r="AO119" i="8" a="1"/>
  <c r="AO119" i="8" s="1"/>
  <c r="AS119" i="8" a="1"/>
  <c r="AS119" i="8" s="1"/>
  <c r="AL121" i="8" a="1"/>
  <c r="AL121" i="8" s="1"/>
  <c r="AP121" i="8" a="1"/>
  <c r="AP121" i="8" s="1"/>
  <c r="AU121" i="8"/>
  <c r="AS118" i="8" a="1"/>
  <c r="AS118" i="8" s="1"/>
  <c r="AL120" i="8" a="1"/>
  <c r="AL120" i="8" s="1"/>
  <c r="AP120" i="8" a="1"/>
  <c r="AP120" i="8" s="1"/>
  <c r="AU120" i="8"/>
  <c r="AU119" i="8"/>
  <c r="AM114" i="8" a="1"/>
  <c r="AM114" i="8" s="1"/>
  <c r="AL114" i="8" a="1"/>
  <c r="AL114" i="8" s="1"/>
  <c r="AO109" i="8" a="1"/>
  <c r="AO109" i="8" s="1"/>
  <c r="AP111" i="8" a="1"/>
  <c r="AP111" i="8" s="1"/>
  <c r="AU114" i="8"/>
  <c r="AQ113" i="8" a="1"/>
  <c r="AQ113" i="8" s="1"/>
  <c r="AQ114" i="8" a="1"/>
  <c r="AQ114" i="8" s="1"/>
  <c r="AN114" i="8" a="1"/>
  <c r="AN114" i="8" s="1"/>
  <c r="AR114" i="8" a="1"/>
  <c r="AR114" i="8" s="1"/>
  <c r="AJ107" i="8" a="1"/>
  <c r="AJ107" i="8" s="1"/>
  <c r="AK109" i="8" a="1"/>
  <c r="AK109" i="8" s="1"/>
  <c r="AL111" i="8" a="1"/>
  <c r="AL111" i="8" s="1"/>
  <c r="AM113" i="8" a="1"/>
  <c r="AM113" i="8" s="1"/>
  <c r="AK114" i="8" a="1"/>
  <c r="AK114" i="8" s="1"/>
  <c r="AO114" i="8" a="1"/>
  <c r="AO114" i="8" s="1"/>
  <c r="AS114" i="8" a="1"/>
  <c r="AS114" i="8" s="1"/>
  <c r="AM104" i="8" a="1"/>
  <c r="AM104" i="8" s="1"/>
  <c r="AQ104" i="8" a="1"/>
  <c r="AQ104" i="8" s="1"/>
  <c r="AJ106" i="8" a="1"/>
  <c r="AJ106" i="8" s="1"/>
  <c r="AN106" i="8" a="1"/>
  <c r="AN106" i="8" s="1"/>
  <c r="AR106" i="8" a="1"/>
  <c r="AR106" i="8" s="1"/>
  <c r="AK108" i="8" a="1"/>
  <c r="AK108" i="8" s="1"/>
  <c r="AO108" i="8" a="1"/>
  <c r="AO108" i="8" s="1"/>
  <c r="AS108" i="8" a="1"/>
  <c r="AS108" i="8" s="1"/>
  <c r="AL110" i="8" a="1"/>
  <c r="AL110" i="8" s="1"/>
  <c r="AP110" i="8" a="1"/>
  <c r="AP110" i="8" s="1"/>
  <c r="AU110" i="8"/>
  <c r="AM112" i="8" a="1"/>
  <c r="AM112" i="8" s="1"/>
  <c r="AQ112" i="8" a="1"/>
  <c r="AQ112" i="8" s="1"/>
  <c r="AJ105" i="8" a="1"/>
  <c r="AJ105" i="8" s="1"/>
  <c r="AN105" i="8" a="1"/>
  <c r="AN105" i="8" s="1"/>
  <c r="AR105" i="8" a="1"/>
  <c r="AR105" i="8" s="1"/>
  <c r="AK107" i="8" a="1"/>
  <c r="AK107" i="8" s="1"/>
  <c r="AO107" i="8" a="1"/>
  <c r="AO107" i="8" s="1"/>
  <c r="AS107" i="8" a="1"/>
  <c r="AS107" i="8" s="1"/>
  <c r="AL109" i="8" a="1"/>
  <c r="AL109" i="8" s="1"/>
  <c r="AP109" i="8" a="1"/>
  <c r="AP109" i="8" s="1"/>
  <c r="AU109" i="8"/>
  <c r="AM111" i="8" a="1"/>
  <c r="AM111" i="8" s="1"/>
  <c r="AQ111" i="8" a="1"/>
  <c r="AQ111" i="8" s="1"/>
  <c r="AJ113" i="8" a="1"/>
  <c r="AJ113" i="8" s="1"/>
  <c r="AN113" i="8" a="1"/>
  <c r="AN113" i="8" s="1"/>
  <c r="AR113" i="8" a="1"/>
  <c r="AR113" i="8" s="1"/>
  <c r="AJ104" i="8" a="1"/>
  <c r="AJ104" i="8" s="1"/>
  <c r="AN104" i="8" a="1"/>
  <c r="AN104" i="8" s="1"/>
  <c r="AR104" i="8" a="1"/>
  <c r="AR104" i="8" s="1"/>
  <c r="AK106" i="8" a="1"/>
  <c r="AK106" i="8" s="1"/>
  <c r="AO106" i="8" a="1"/>
  <c r="AO106" i="8" s="1"/>
  <c r="AS106" i="8" a="1"/>
  <c r="AS106" i="8" s="1"/>
  <c r="AL108" i="8" a="1"/>
  <c r="AL108" i="8" s="1"/>
  <c r="AP108" i="8" a="1"/>
  <c r="AP108" i="8" s="1"/>
  <c r="AU108" i="8"/>
  <c r="AM110" i="8" a="1"/>
  <c r="AM110" i="8" s="1"/>
  <c r="AQ110" i="8" a="1"/>
  <c r="AQ110" i="8" s="1"/>
  <c r="AJ112" i="8" a="1"/>
  <c r="AJ112" i="8" s="1"/>
  <c r="AN112" i="8" a="1"/>
  <c r="AN112" i="8" s="1"/>
  <c r="AR112" i="8" a="1"/>
  <c r="AR112" i="8" s="1"/>
  <c r="AK105" i="8" a="1"/>
  <c r="AK105" i="8" s="1"/>
  <c r="AO105" i="8" a="1"/>
  <c r="AO105" i="8" s="1"/>
  <c r="AL107" i="8" a="1"/>
  <c r="AL107" i="8" s="1"/>
  <c r="AP107" i="8" a="1"/>
  <c r="AP107" i="8" s="1"/>
  <c r="AU107" i="8"/>
  <c r="AM109" i="8" a="1"/>
  <c r="AM109" i="8" s="1"/>
  <c r="AQ109" i="8" a="1"/>
  <c r="AQ109" i="8" s="1"/>
  <c r="AJ111" i="8" a="1"/>
  <c r="AJ111" i="8" s="1"/>
  <c r="AN111" i="8" a="1"/>
  <c r="AN111" i="8" s="1"/>
  <c r="AR111" i="8" a="1"/>
  <c r="AR111" i="8" s="1"/>
  <c r="AK113" i="8" a="1"/>
  <c r="AK113" i="8" s="1"/>
  <c r="AO113" i="8" a="1"/>
  <c r="AO113" i="8" s="1"/>
  <c r="AS113" i="8" a="1"/>
  <c r="AS113" i="8" s="1"/>
  <c r="AS105" i="8" a="1"/>
  <c r="AS105" i="8" s="1"/>
  <c r="AK104" i="8" a="1"/>
  <c r="AK104" i="8" s="1"/>
  <c r="AO104" i="8" a="1"/>
  <c r="AO104" i="8" s="1"/>
  <c r="AS104" i="8" a="1"/>
  <c r="AS104" i="8" s="1"/>
  <c r="AL106" i="8" a="1"/>
  <c r="AL106" i="8" s="1"/>
  <c r="AP106" i="8" a="1"/>
  <c r="AP106" i="8" s="1"/>
  <c r="AU106" i="8"/>
  <c r="AM108" i="8" a="1"/>
  <c r="AM108" i="8" s="1"/>
  <c r="AQ108" i="8" a="1"/>
  <c r="AQ108" i="8" s="1"/>
  <c r="AJ110" i="8" a="1"/>
  <c r="AJ110" i="8" s="1"/>
  <c r="AN110" i="8" a="1"/>
  <c r="AN110" i="8" s="1"/>
  <c r="AR110" i="8" a="1"/>
  <c r="AR110" i="8" s="1"/>
  <c r="AK112" i="8" a="1"/>
  <c r="AK112" i="8" s="1"/>
  <c r="AO112" i="8" a="1"/>
  <c r="AO112" i="8" s="1"/>
  <c r="AS112" i="8" a="1"/>
  <c r="AS112" i="8" s="1"/>
  <c r="AL105" i="8" a="1"/>
  <c r="AL105" i="8" s="1"/>
  <c r="AP105" i="8" a="1"/>
  <c r="AP105" i="8" s="1"/>
  <c r="AU105" i="8"/>
  <c r="AM107" i="8" a="1"/>
  <c r="AM107" i="8" s="1"/>
  <c r="AQ107" i="8" a="1"/>
  <c r="AQ107" i="8" s="1"/>
  <c r="AJ109" i="8" a="1"/>
  <c r="AJ109" i="8" s="1"/>
  <c r="AN109" i="8" a="1"/>
  <c r="AN109" i="8" s="1"/>
  <c r="AR109" i="8" a="1"/>
  <c r="AR109" i="8" s="1"/>
  <c r="AK111" i="8" a="1"/>
  <c r="AK111" i="8" s="1"/>
  <c r="AO111" i="8" a="1"/>
  <c r="AO111" i="8" s="1"/>
  <c r="AS111" i="8" a="1"/>
  <c r="AS111" i="8" s="1"/>
  <c r="AL113" i="8" a="1"/>
  <c r="AL113" i="8" s="1"/>
  <c r="AP113" i="8" a="1"/>
  <c r="AP113" i="8" s="1"/>
  <c r="AU113" i="8"/>
  <c r="AL104" i="8" a="1"/>
  <c r="AL104" i="8" s="1"/>
  <c r="AP104" i="8" a="1"/>
  <c r="AP104" i="8" s="1"/>
  <c r="AU104" i="8"/>
  <c r="AM106" i="8" a="1"/>
  <c r="AM106" i="8" s="1"/>
  <c r="AQ106" i="8" a="1"/>
  <c r="AQ106" i="8" s="1"/>
  <c r="AJ108" i="8" a="1"/>
  <c r="AJ108" i="8" s="1"/>
  <c r="AN108" i="8" a="1"/>
  <c r="AN108" i="8" s="1"/>
  <c r="AR108" i="8" a="1"/>
  <c r="AR108" i="8" s="1"/>
  <c r="AK110" i="8" a="1"/>
  <c r="AK110" i="8" s="1"/>
  <c r="AO110" i="8" a="1"/>
  <c r="AO110" i="8" s="1"/>
  <c r="AS110" i="8" a="1"/>
  <c r="AS110" i="8" s="1"/>
  <c r="AL112" i="8" a="1"/>
  <c r="AL112" i="8" s="1"/>
  <c r="AP112" i="8" a="1"/>
  <c r="AP112" i="8" s="1"/>
  <c r="AU112" i="8"/>
  <c r="AM105" i="8" a="1"/>
  <c r="AM105" i="8" s="1"/>
  <c r="AQ105" i="8" a="1"/>
  <c r="AQ105" i="8" s="1"/>
  <c r="AR107" i="8" a="1"/>
  <c r="AR107" i="8" s="1"/>
  <c r="AU111" i="8"/>
  <c r="AO95" i="8" a="1"/>
  <c r="AO95" i="8" s="1"/>
  <c r="AN95" i="8" a="1"/>
  <c r="AN95" i="8" s="1"/>
  <c r="AS89" i="8" a="1"/>
  <c r="AS89" i="8" s="1"/>
  <c r="AP95" i="8" a="1"/>
  <c r="AP95" i="8" s="1"/>
  <c r="AJ89" i="8" a="1"/>
  <c r="AJ89" i="8" s="1"/>
  <c r="AK89" i="8" a="1"/>
  <c r="AK89" i="8" s="1"/>
  <c r="AL95" i="8" a="1"/>
  <c r="AL95" i="8" s="1"/>
  <c r="AM95" i="8" a="1"/>
  <c r="AM95" i="8" s="1"/>
  <c r="AJ95" i="8" a="1"/>
  <c r="AJ95" i="8" s="1"/>
  <c r="AR95" i="8" a="1"/>
  <c r="AR95" i="8" s="1"/>
  <c r="AK95" i="8" a="1"/>
  <c r="AK95" i="8" s="1"/>
  <c r="AS95" i="8" a="1"/>
  <c r="AS95" i="8" s="1"/>
  <c r="AN93" i="8" a="1"/>
  <c r="AN93" i="8" s="1"/>
  <c r="AO93" i="8" a="1"/>
  <c r="AO93" i="8" s="1"/>
  <c r="AU95" i="8"/>
  <c r="AP93" i="8" a="1"/>
  <c r="AP93" i="8" s="1"/>
  <c r="AQ93" i="8" a="1"/>
  <c r="AQ93" i="8" s="1"/>
  <c r="AQ95" i="8" a="1"/>
  <c r="AQ95" i="8" s="1"/>
  <c r="AJ93" i="8" a="1"/>
  <c r="AJ93" i="8" s="1"/>
  <c r="AR93" i="8" a="1"/>
  <c r="AR93" i="8" s="1"/>
  <c r="AL89" i="8" a="1"/>
  <c r="AL89" i="8" s="1"/>
  <c r="AM81" i="8" a="1"/>
  <c r="AM81" i="8" s="1"/>
  <c r="AK85" i="8" a="1"/>
  <c r="AK85" i="8" s="1"/>
  <c r="AS85" i="8" a="1"/>
  <c r="AS85" i="8" s="1"/>
  <c r="AQ85" i="8" a="1"/>
  <c r="AQ85" i="8" s="1"/>
  <c r="AK93" i="8" a="1"/>
  <c r="AK93" i="8" s="1"/>
  <c r="AS93" i="8" a="1"/>
  <c r="AS93" i="8" s="1"/>
  <c r="AN85" i="8" a="1"/>
  <c r="AN85" i="8" s="1"/>
  <c r="AL93" i="8" a="1"/>
  <c r="AL93" i="8" s="1"/>
  <c r="AU93" i="8"/>
  <c r="AP89" i="8" a="1"/>
  <c r="AP89" i="8" s="1"/>
  <c r="AO85" i="8" a="1"/>
  <c r="AO85" i="8" s="1"/>
  <c r="AM93" i="8" a="1"/>
  <c r="AM93" i="8" s="1"/>
  <c r="AN89" i="8" a="1"/>
  <c r="AN89" i="8" s="1"/>
  <c r="AR89" i="8" a="1"/>
  <c r="AR89" i="8" s="1"/>
  <c r="AN86" i="8" a="1"/>
  <c r="AN86" i="8" s="1"/>
  <c r="AQ86" i="8" a="1"/>
  <c r="AQ86" i="8" s="1"/>
  <c r="AO89" i="8" a="1"/>
  <c r="AO89" i="8" s="1"/>
  <c r="AJ80" i="8" a="1"/>
  <c r="AJ80" i="8" s="1"/>
  <c r="AK86" i="8" a="1"/>
  <c r="AK86" i="8" s="1"/>
  <c r="AS86" i="8" a="1"/>
  <c r="AS86" i="8" s="1"/>
  <c r="AN80" i="8" a="1"/>
  <c r="AN80" i="8" s="1"/>
  <c r="AU89" i="8"/>
  <c r="AL71" i="8" a="1"/>
  <c r="AL71" i="8" s="1"/>
  <c r="AJ86" i="8" a="1"/>
  <c r="AJ86" i="8" s="1"/>
  <c r="AR86" i="8" a="1"/>
  <c r="AR86" i="8" s="1"/>
  <c r="AM85" i="8" a="1"/>
  <c r="AM85" i="8" s="1"/>
  <c r="AM89" i="8" a="1"/>
  <c r="AM89" i="8" s="1"/>
  <c r="AQ89" i="8" a="1"/>
  <c r="AQ89" i="8" s="1"/>
  <c r="AJ85" i="8" a="1"/>
  <c r="AJ85" i="8" s="1"/>
  <c r="AR85" i="8" a="1"/>
  <c r="AR85" i="8" s="1"/>
  <c r="AR80" i="8" a="1"/>
  <c r="AR80" i="8" s="1"/>
  <c r="AN81" i="8" a="1"/>
  <c r="AN81" i="8" s="1"/>
  <c r="AO80" i="8" a="1"/>
  <c r="AO80" i="8" s="1"/>
  <c r="AO86" i="8" a="1"/>
  <c r="AO86" i="8" s="1"/>
  <c r="AP80" i="8" a="1"/>
  <c r="AP80" i="8" s="1"/>
  <c r="AP86" i="8" a="1"/>
  <c r="AP86" i="8" s="1"/>
  <c r="AL85" i="8" a="1"/>
  <c r="AL85" i="8" s="1"/>
  <c r="AP85" i="8" a="1"/>
  <c r="AP85" i="8" s="1"/>
  <c r="AU85" i="8"/>
  <c r="AL86" i="8" a="1"/>
  <c r="AL86" i="8" s="1"/>
  <c r="AU86" i="8"/>
  <c r="AK71" i="8" a="1"/>
  <c r="AK71" i="8" s="1"/>
  <c r="AS71" i="8" a="1"/>
  <c r="AS71" i="8" s="1"/>
  <c r="AO81" i="8" a="1"/>
  <c r="AO81" i="8" s="1"/>
  <c r="AM86" i="8" a="1"/>
  <c r="AM86" i="8" s="1"/>
  <c r="AQ76" i="8" a="1"/>
  <c r="AQ76" i="8" s="1"/>
  <c r="AM80" i="8" a="1"/>
  <c r="AM80" i="8" s="1"/>
  <c r="AQ80" i="8" a="1"/>
  <c r="AQ80" i="8" s="1"/>
  <c r="AJ71" i="8" a="1"/>
  <c r="AJ71" i="8" s="1"/>
  <c r="AN76" i="8" a="1"/>
  <c r="AN76" i="8" s="1"/>
  <c r="AJ81" i="8" a="1"/>
  <c r="AJ81" i="8" s="1"/>
  <c r="AR81" i="8" a="1"/>
  <c r="AR81" i="8" s="1"/>
  <c r="AK81" i="8" a="1"/>
  <c r="AK81" i="8" s="1"/>
  <c r="AS81" i="8" a="1"/>
  <c r="AS81" i="8" s="1"/>
  <c r="AK80" i="8" a="1"/>
  <c r="AK80" i="8" s="1"/>
  <c r="AS80" i="8" a="1"/>
  <c r="AS80" i="8" s="1"/>
  <c r="AL81" i="8" a="1"/>
  <c r="AL81" i="8" s="1"/>
  <c r="AP81" i="8" a="1"/>
  <c r="AP81" i="8" s="1"/>
  <c r="AU81" i="8"/>
  <c r="AO71" i="8" a="1"/>
  <c r="AO71" i="8" s="1"/>
  <c r="AL80" i="8" a="1"/>
  <c r="AL80" i="8" s="1"/>
  <c r="AU80" i="8"/>
  <c r="AP76" i="8" a="1"/>
  <c r="AP76" i="8" s="1"/>
  <c r="AQ81" i="8" a="1"/>
  <c r="AQ81" i="8" s="1"/>
  <c r="AM71" i="8" a="1"/>
  <c r="AM71" i="8" s="1"/>
  <c r="AK76" i="8" a="1"/>
  <c r="AK76" i="8" s="1"/>
  <c r="AO76" i="8" a="1"/>
  <c r="AO76" i="8" s="1"/>
  <c r="AS76" i="8" a="1"/>
  <c r="AS76" i="8" s="1"/>
  <c r="AN69" i="8" a="1"/>
  <c r="AN69" i="8" s="1"/>
  <c r="AL76" i="8" a="1"/>
  <c r="AL76" i="8" s="1"/>
  <c r="AU76" i="8"/>
  <c r="AJ76" i="8" a="1"/>
  <c r="AJ76" i="8" s="1"/>
  <c r="AR76" i="8" a="1"/>
  <c r="AR76" i="8" s="1"/>
  <c r="AM76" i="8" a="1"/>
  <c r="AM76" i="8" s="1"/>
  <c r="AN71" i="8" a="1"/>
  <c r="AN71" i="8" s="1"/>
  <c r="AR71" i="8" a="1"/>
  <c r="AR71" i="8" s="1"/>
  <c r="AO74" i="8" a="1"/>
  <c r="AO74" i="8" s="1"/>
  <c r="AP74" i="8" a="1"/>
  <c r="AP74" i="8" s="1"/>
  <c r="AP71" i="8" a="1"/>
  <c r="AP71" i="8" s="1"/>
  <c r="AU71" i="8"/>
  <c r="AQ69" i="8" a="1"/>
  <c r="AQ69" i="8" s="1"/>
  <c r="AQ71" i="8" a="1"/>
  <c r="AQ71" i="8" s="1"/>
  <c r="AJ69" i="8" a="1"/>
  <c r="AJ69" i="8" s="1"/>
  <c r="AJ74" i="8" a="1"/>
  <c r="AJ74" i="8" s="1"/>
  <c r="AN74" i="8" a="1"/>
  <c r="AN74" i="8" s="1"/>
  <c r="AR74" i="8" a="1"/>
  <c r="AR74" i="8" s="1"/>
  <c r="AK69" i="8" a="1"/>
  <c r="AK69" i="8" s="1"/>
  <c r="AL69" i="8" a="1"/>
  <c r="AL69" i="8" s="1"/>
  <c r="AK74" i="8" a="1"/>
  <c r="AK74" i="8" s="1"/>
  <c r="AS74" i="8" a="1"/>
  <c r="AS74" i="8" s="1"/>
  <c r="AM69" i="8" a="1"/>
  <c r="AM69" i="8" s="1"/>
  <c r="AL74" i="8" a="1"/>
  <c r="AL74" i="8" s="1"/>
  <c r="AU74" i="8"/>
  <c r="AO69" i="8" a="1"/>
  <c r="AO69" i="8" s="1"/>
  <c r="AP69" i="8" a="1"/>
  <c r="AP69" i="8" s="1"/>
  <c r="AM74" i="8" a="1"/>
  <c r="AM74" i="8" s="1"/>
  <c r="AQ74" i="8" a="1"/>
  <c r="AQ74" i="8" s="1"/>
  <c r="AR69" i="8" a="1"/>
  <c r="AR69" i="8" s="1"/>
  <c r="AS69" i="8" a="1"/>
  <c r="AS69" i="8" s="1"/>
  <c r="AU69" i="8"/>
  <c r="AR41" i="8"/>
  <c r="AJ63" i="8" a="1"/>
  <c r="AJ63" i="8" s="1"/>
  <c r="AL63" i="8" a="1"/>
  <c r="AL63" i="8" s="1"/>
  <c r="AK63" i="8" a="1"/>
  <c r="AK63" i="8" s="1"/>
  <c r="AU63" i="8"/>
  <c r="AN22" i="8" a="1"/>
  <c r="AN22" i="8" s="1"/>
  <c r="AO20" i="8" a="1"/>
  <c r="AO20" i="8" s="1"/>
  <c r="AP30" i="8" a="1"/>
  <c r="AP30" i="8" s="1"/>
  <c r="AQ30" i="8" a="1"/>
  <c r="AQ30" i="8" s="1"/>
  <c r="AU31" i="8"/>
  <c r="AJ30" i="8" a="1"/>
  <c r="AJ30" i="8" s="1"/>
  <c r="AK32" i="8" a="1"/>
  <c r="AK32" i="8" s="1"/>
  <c r="AL27" i="8" a="1"/>
  <c r="AL27" i="8" s="1"/>
  <c r="AM25" i="8" a="1"/>
  <c r="AM25" i="8" s="1"/>
  <c r="AQ33" i="8" a="1"/>
  <c r="AQ33" i="8" s="1"/>
  <c r="AM33" i="8" a="1"/>
  <c r="AM33" i="8" s="1"/>
  <c r="AL30" i="8" a="1"/>
  <c r="AL30" i="8" s="1"/>
  <c r="AU30" i="8"/>
  <c r="AM32" i="8" a="1"/>
  <c r="AM32" i="8" s="1"/>
  <c r="AJ34" i="8" a="1"/>
  <c r="AJ34" i="8" s="1"/>
  <c r="AM31" i="8" a="1"/>
  <c r="AM31" i="8" s="1"/>
  <c r="AJ33" i="8" a="1"/>
  <c r="AJ33" i="8" s="1"/>
  <c r="AN33" i="8" a="1"/>
  <c r="AN33" i="8" s="1"/>
  <c r="AR33" i="8" a="1"/>
  <c r="AR33" i="8" s="1"/>
  <c r="AP20" i="8" a="1"/>
  <c r="AP20" i="8" s="1"/>
  <c r="AM26" i="8" a="1"/>
  <c r="AM26" i="8" s="1"/>
  <c r="AM30" i="8" a="1"/>
  <c r="AM30" i="8" s="1"/>
  <c r="AJ32" i="8" a="1"/>
  <c r="AJ32" i="8" s="1"/>
  <c r="AK34" i="8" a="1"/>
  <c r="AK34" i="8" s="1"/>
  <c r="AQ25" i="8" a="1"/>
  <c r="AQ25" i="8" s="1"/>
  <c r="AQ26" i="8" a="1"/>
  <c r="AQ26" i="8" s="1"/>
  <c r="AJ31" i="8" a="1"/>
  <c r="AJ31" i="8" s="1"/>
  <c r="AK33" i="8" a="1"/>
  <c r="AK33" i="8" s="1"/>
  <c r="AO33" i="8" a="1"/>
  <c r="AO33" i="8" s="1"/>
  <c r="AS33" i="8" a="1"/>
  <c r="AS33" i="8" s="1"/>
  <c r="AN30" i="8" a="1"/>
  <c r="AN30" i="8" s="1"/>
  <c r="AR30" i="8" a="1"/>
  <c r="AR30" i="8" s="1"/>
  <c r="AL34" i="8" a="1"/>
  <c r="AL34" i="8" s="1"/>
  <c r="AU34" i="8"/>
  <c r="AL31" i="8" a="1"/>
  <c r="AL31" i="8" s="1"/>
  <c r="AJ25" i="8" a="1"/>
  <c r="AJ25" i="8" s="1"/>
  <c r="AK20" i="8" a="1"/>
  <c r="AK20" i="8" s="1"/>
  <c r="AS20" i="8" a="1"/>
  <c r="AS20" i="8" s="1"/>
  <c r="AQ20" i="8" a="1"/>
  <c r="AQ20" i="8" s="1"/>
  <c r="AK31" i="8" a="1"/>
  <c r="AK31" i="8" s="1"/>
  <c r="AL33" i="8" a="1"/>
  <c r="AL33" i="8" s="1"/>
  <c r="AP33" i="8" a="1"/>
  <c r="AP33" i="8" s="1"/>
  <c r="AU33" i="8"/>
  <c r="AK30" i="8" a="1"/>
  <c r="AK30" i="8" s="1"/>
  <c r="AO30" i="8" a="1"/>
  <c r="AO30" i="8" s="1"/>
  <c r="AS30" i="8" a="1"/>
  <c r="AS30" i="8" s="1"/>
  <c r="AL32" i="8" a="1"/>
  <c r="AL32" i="8" s="1"/>
  <c r="AU32" i="8"/>
  <c r="AM34" i="8" a="1"/>
  <c r="AM34" i="8" s="1"/>
  <c r="AJ27" i="8" a="1"/>
  <c r="AJ27" i="8" s="1"/>
  <c r="AN27" i="8" a="1"/>
  <c r="AN27" i="8" s="1"/>
  <c r="AR27" i="8" a="1"/>
  <c r="AR27" i="8" s="1"/>
  <c r="AR22" i="8" a="1"/>
  <c r="AR22" i="8" s="1"/>
  <c r="AJ26" i="8" a="1"/>
  <c r="AJ26" i="8" s="1"/>
  <c r="AN26" i="8" a="1"/>
  <c r="AN26" i="8" s="1"/>
  <c r="AR26" i="8" a="1"/>
  <c r="AR26" i="8" s="1"/>
  <c r="AQ22" i="8" a="1"/>
  <c r="AQ22" i="8" s="1"/>
  <c r="AN25" i="8" a="1"/>
  <c r="AN25" i="8" s="1"/>
  <c r="AR25" i="8" a="1"/>
  <c r="AR25" i="8" s="1"/>
  <c r="AK27" i="8" a="1"/>
  <c r="AK27" i="8" s="1"/>
  <c r="AO27" i="8" a="1"/>
  <c r="AO27" i="8" s="1"/>
  <c r="AS27" i="8" a="1"/>
  <c r="AS27" i="8" s="1"/>
  <c r="AJ20" i="8" a="1"/>
  <c r="AJ20" i="8" s="1"/>
  <c r="AK26" i="8" a="1"/>
  <c r="AK26" i="8" s="1"/>
  <c r="AO26" i="8" a="1"/>
  <c r="AO26" i="8" s="1"/>
  <c r="AS26" i="8" a="1"/>
  <c r="AS26" i="8" s="1"/>
  <c r="AK25" i="8" a="1"/>
  <c r="AK25" i="8" s="1"/>
  <c r="AO25" i="8" a="1"/>
  <c r="AO25" i="8" s="1"/>
  <c r="AS25" i="8" a="1"/>
  <c r="AS25" i="8" s="1"/>
  <c r="AP27" i="8" a="1"/>
  <c r="AP27" i="8" s="1"/>
  <c r="AU27" i="8"/>
  <c r="AL20" i="8" a="1"/>
  <c r="AL20" i="8" s="1"/>
  <c r="AL26" i="8" a="1"/>
  <c r="AL26" i="8" s="1"/>
  <c r="AP26" i="8" a="1"/>
  <c r="AP26" i="8" s="1"/>
  <c r="AU26" i="8"/>
  <c r="AM22" i="8" a="1"/>
  <c r="AM22" i="8" s="1"/>
  <c r="AQ21" i="8" a="1"/>
  <c r="AQ21" i="8" s="1"/>
  <c r="AL25" i="8" a="1"/>
  <c r="AL25" i="8" s="1"/>
  <c r="AP25" i="8" a="1"/>
  <c r="AP25" i="8" s="1"/>
  <c r="AU25" i="8"/>
  <c r="AM27" i="8" a="1"/>
  <c r="AM27" i="8" s="1"/>
  <c r="AQ27" i="8" a="1"/>
  <c r="AQ27" i="8" s="1"/>
  <c r="AJ22" i="8" a="1"/>
  <c r="AJ22" i="8" s="1"/>
  <c r="AJ21" i="8" a="1"/>
  <c r="AJ21" i="8" s="1"/>
  <c r="AN21" i="8" a="1"/>
  <c r="AN21" i="8" s="1"/>
  <c r="AR21" i="8" a="1"/>
  <c r="AR21" i="8" s="1"/>
  <c r="AN20" i="8" a="1"/>
  <c r="AN20" i="8" s="1"/>
  <c r="AR20" i="8" a="1"/>
  <c r="AR20" i="8" s="1"/>
  <c r="AK22" i="8" a="1"/>
  <c r="AK22" i="8" s="1"/>
  <c r="AO22" i="8" a="1"/>
  <c r="AO22" i="8" s="1"/>
  <c r="AS22" i="8" a="1"/>
  <c r="AS22" i="8" s="1"/>
  <c r="AM21" i="8" a="1"/>
  <c r="AM21" i="8" s="1"/>
  <c r="AM20" i="8" a="1"/>
  <c r="AM20" i="8" s="1"/>
  <c r="AK21" i="8" a="1"/>
  <c r="AK21" i="8" s="1"/>
  <c r="AO21" i="8" a="1"/>
  <c r="AO21" i="8" s="1"/>
  <c r="AS21" i="8" a="1"/>
  <c r="AS21" i="8" s="1"/>
  <c r="AL22" i="8" a="1"/>
  <c r="AL22" i="8" s="1"/>
  <c r="AP22" i="8" a="1"/>
  <c r="AP22" i="8" s="1"/>
  <c r="AU22" i="8"/>
  <c r="AL21" i="8" a="1"/>
  <c r="AL21" i="8" s="1"/>
  <c r="AP21" i="8" a="1"/>
  <c r="AP21" i="8" s="1"/>
  <c r="AU21" i="8"/>
  <c r="AN12" i="8" a="1"/>
  <c r="AN12" i="8" s="1"/>
  <c r="AR175" i="8"/>
  <c r="AR168" i="8"/>
  <c r="AR163" i="8"/>
  <c r="AR158" i="8"/>
  <c r="AR143" i="8"/>
  <c r="AO13" i="8" a="1"/>
  <c r="AO13" i="8" s="1"/>
  <c r="AR130" i="8"/>
  <c r="AR117" i="8"/>
  <c r="AR103" i="8"/>
  <c r="AR78" i="8"/>
  <c r="AR73" i="8"/>
  <c r="AR68" i="8"/>
  <c r="AS13" i="8" a="1"/>
  <c r="AS13" i="8" s="1"/>
  <c r="AM12" i="8" a="1"/>
  <c r="AM12" i="8" s="1"/>
  <c r="AP12" i="8" a="1"/>
  <c r="AP12" i="8" s="1"/>
  <c r="AQ12" i="8" a="1"/>
  <c r="AQ12" i="8" s="1"/>
  <c r="AJ12" i="8" a="1"/>
  <c r="AJ12" i="8" s="1"/>
  <c r="AK13" i="8" a="1"/>
  <c r="AK13" i="8" s="1"/>
  <c r="AL12" i="8" a="1"/>
  <c r="AL12" i="8" s="1"/>
  <c r="AK12" i="8" a="1"/>
  <c r="AK12" i="8" s="1"/>
  <c r="AO12" i="8" a="1"/>
  <c r="AO12" i="8" s="1"/>
  <c r="AS12" i="8" a="1"/>
  <c r="AS12" i="8" s="1"/>
  <c r="AL14" i="8" a="1"/>
  <c r="AL14" i="8" s="1"/>
  <c r="AP14" i="8" a="1"/>
  <c r="AP14" i="8" s="1"/>
  <c r="AU14" i="8"/>
  <c r="AL13" i="8" a="1"/>
  <c r="AL13" i="8" s="1"/>
  <c r="AP13" i="8" a="1"/>
  <c r="AP13" i="8" s="1"/>
  <c r="AU13" i="8"/>
  <c r="AU12" i="8"/>
  <c r="AM14" i="8" a="1"/>
  <c r="AM14" i="8" s="1"/>
  <c r="AQ14" i="8" a="1"/>
  <c r="AQ14" i="8" s="1"/>
  <c r="AM13" i="8" a="1"/>
  <c r="AM13" i="8" s="1"/>
  <c r="AQ13" i="8" a="1"/>
  <c r="AQ13" i="8" s="1"/>
  <c r="AJ14" i="8" a="1"/>
  <c r="AJ14" i="8" s="1"/>
  <c r="AN14" i="8" a="1"/>
  <c r="AN14" i="8" s="1"/>
  <c r="AR14" i="8" a="1"/>
  <c r="AR14" i="8" s="1"/>
  <c r="AJ13" i="8" a="1"/>
  <c r="AJ13" i="8" s="1"/>
  <c r="AN13" i="8" a="1"/>
  <c r="AN13" i="8" s="1"/>
  <c r="AR13" i="8" a="1"/>
  <c r="AR13" i="8" s="1"/>
  <c r="AR12" i="8" a="1"/>
  <c r="AR12" i="8" s="1"/>
  <c r="AK14" i="8" a="1"/>
  <c r="AK14" i="8" s="1"/>
  <c r="AO14" i="8" a="1"/>
  <c r="AO14" i="8" s="1"/>
  <c r="AS14" i="8" a="1"/>
  <c r="AS14" i="8" s="1"/>
  <c r="AS144" i="4"/>
  <c r="AS136" i="4"/>
  <c r="AS131" i="4"/>
  <c r="AS119" i="4"/>
  <c r="AS110" i="4"/>
  <c r="AS104" i="4"/>
  <c r="AS97" i="4"/>
  <c r="AS91" i="4"/>
  <c r="AS84" i="4"/>
  <c r="AS78" i="4"/>
  <c r="AS71" i="4"/>
  <c r="AS65" i="4"/>
  <c r="AS58" i="4"/>
  <c r="AS50" i="4"/>
  <c r="AS39" i="4"/>
  <c r="AR87" i="16"/>
  <c r="AS87" i="16"/>
  <c r="AR73" i="16"/>
  <c r="AS73" i="16"/>
  <c r="AR70" i="16"/>
  <c r="AS70" i="16"/>
  <c r="AR54" i="16"/>
  <c r="AS54" i="16"/>
  <c r="AR46" i="16"/>
  <c r="AS46" i="16"/>
  <c r="AR40" i="16"/>
  <c r="AS40" i="16"/>
  <c r="AR26" i="16"/>
  <c r="AS26" i="16"/>
  <c r="AN144" i="5" a="1"/>
  <c r="AN144" i="5" s="1"/>
  <c r="AU39" i="5" a="1"/>
  <c r="AU39" i="5" s="1"/>
  <c r="AO10" i="1"/>
  <c r="AR10" i="5"/>
  <c r="AR177" i="5" s="1"/>
  <c r="AJ10" i="5"/>
  <c r="AJ177" i="5" s="1"/>
  <c r="AU9" i="5"/>
  <c r="AK10" i="5"/>
  <c r="AK177" i="5" s="1"/>
  <c r="AP39" i="5" a="1"/>
  <c r="AP39" i="5" s="1"/>
  <c r="AL10" i="5"/>
  <c r="AL177" i="5" s="1"/>
  <c r="AS10" i="5"/>
  <c r="AS177" i="5" s="1"/>
  <c r="AS10" i="11"/>
  <c r="AS81" i="11" s="1"/>
  <c r="AP10" i="1"/>
  <c r="AU9" i="1"/>
  <c r="AN10" i="5"/>
  <c r="AN177" i="5" s="1"/>
  <c r="AJ10" i="1"/>
  <c r="AR10" i="4"/>
  <c r="AQ144" i="5" a="1"/>
  <c r="AQ144" i="5" s="1"/>
  <c r="AQ36" i="5" a="1"/>
  <c r="AQ36" i="5" s="1"/>
  <c r="AQ39" i="5" a="1"/>
  <c r="AQ39" i="5" s="1"/>
  <c r="AQ63" i="5" a="1"/>
  <c r="AQ63" i="5" s="1"/>
  <c r="AQ38" i="5" a="1"/>
  <c r="AQ38" i="5" s="1"/>
  <c r="AQ149" i="5" a="1"/>
  <c r="AQ149" i="5" s="1"/>
  <c r="AV5" i="1"/>
  <c r="AU10" i="1"/>
  <c r="AM36" i="5" a="1"/>
  <c r="AM36" i="5" s="1"/>
  <c r="AM149" i="5" a="1"/>
  <c r="AM149" i="5" s="1"/>
  <c r="AM39" i="5" a="1"/>
  <c r="AM39" i="5" s="1"/>
  <c r="AM37" i="5" a="1"/>
  <c r="AM37" i="5" s="1"/>
  <c r="AM144" i="5" a="1"/>
  <c r="AM144" i="5" s="1"/>
  <c r="AM38" i="5" a="1"/>
  <c r="AM38" i="5" s="1"/>
  <c r="AM63" i="5" a="1"/>
  <c r="AM63" i="5" s="1"/>
  <c r="AK39" i="5" a="1"/>
  <c r="AK39" i="5" s="1"/>
  <c r="AK36" i="5" a="1"/>
  <c r="AK36" i="5" s="1"/>
  <c r="AO36" i="5" a="1"/>
  <c r="AO36" i="5" s="1"/>
  <c r="AO39" i="5" a="1"/>
  <c r="AO39" i="5" s="1"/>
  <c r="AP63" i="5" a="1"/>
  <c r="AP63" i="5" s="1"/>
  <c r="AQ10" i="1"/>
  <c r="AQ10" i="5"/>
  <c r="AQ177" i="5" s="1"/>
  <c r="AL10" i="1"/>
  <c r="AP37" i="5" a="1"/>
  <c r="AP37" i="5" s="1"/>
  <c r="AP144" i="5" a="1"/>
  <c r="AP144" i="5" s="1"/>
  <c r="AP36" i="5" a="1"/>
  <c r="AP36" i="5" s="1"/>
  <c r="AP149" i="5" a="1"/>
  <c r="AP149" i="5" s="1"/>
  <c r="AP38" i="5" a="1"/>
  <c r="AP38" i="5" s="1"/>
  <c r="AP10" i="5"/>
  <c r="AP177" i="5" s="1"/>
  <c r="AN37" i="5" a="1"/>
  <c r="AN37" i="5" s="1"/>
  <c r="AN36" i="5" a="1"/>
  <c r="AN36" i="5" s="1"/>
  <c r="AL149" i="5" a="1"/>
  <c r="AL149" i="5" s="1"/>
  <c r="AQ37" i="5" a="1"/>
  <c r="AQ37" i="5" s="1"/>
  <c r="AN10" i="1"/>
  <c r="AM10" i="1"/>
  <c r="AO149" i="5" a="1"/>
  <c r="AO149" i="5" s="1"/>
  <c r="AO63" i="5" a="1"/>
  <c r="AO63" i="5" s="1"/>
  <c r="AO38" i="5" a="1"/>
  <c r="AO38" i="5" s="1"/>
  <c r="AO144" i="5" a="1"/>
  <c r="AO144" i="5" s="1"/>
  <c r="AO37" i="5" a="1"/>
  <c r="AO37" i="5" s="1"/>
  <c r="AO10" i="5"/>
  <c r="AO177" i="5" s="1"/>
  <c r="AJ39" i="5" a="1"/>
  <c r="AJ39" i="5" s="1"/>
  <c r="AJ144" i="5" a="1"/>
  <c r="AJ144" i="5" s="1"/>
  <c r="AJ63" i="5" a="1"/>
  <c r="AJ63" i="5" s="1"/>
  <c r="AJ38" i="5" a="1"/>
  <c r="AJ38" i="5" s="1"/>
  <c r="AJ36" i="5" a="1"/>
  <c r="AJ36" i="5" s="1"/>
  <c r="AJ149" i="5" a="1"/>
  <c r="AJ149" i="5" s="1"/>
  <c r="AJ37" i="5" a="1"/>
  <c r="AJ37" i="5" s="1"/>
  <c r="AR39" i="5" a="1"/>
  <c r="AR39" i="5" s="1"/>
  <c r="AR149" i="5" a="1"/>
  <c r="AR149" i="5" s="1"/>
  <c r="AR63" i="5" a="1"/>
  <c r="AR63" i="5" s="1"/>
  <c r="AR38" i="5" a="1"/>
  <c r="AR38" i="5" s="1"/>
  <c r="AR144" i="5" a="1"/>
  <c r="AR144" i="5" s="1"/>
  <c r="AR37" i="5" a="1"/>
  <c r="AR37" i="5" s="1"/>
  <c r="AR36" i="5" a="1"/>
  <c r="AR36" i="5" s="1"/>
  <c r="AK10" i="1"/>
  <c r="AM10" i="5"/>
  <c r="AM177" i="5" s="1"/>
  <c r="AU38" i="5" a="1"/>
  <c r="AU38" i="5" s="1"/>
  <c r="AU144" i="5" a="1"/>
  <c r="AU144" i="5" s="1"/>
  <c r="AS10" i="1"/>
  <c r="AU149" i="5" a="1"/>
  <c r="AU149" i="5" s="1"/>
  <c r="AU37" i="5" a="1"/>
  <c r="AU37" i="5" s="1"/>
  <c r="AU36" i="5" a="1"/>
  <c r="AU36" i="5" s="1"/>
  <c r="AU10" i="5"/>
  <c r="AU177" i="5" s="1"/>
  <c r="AU63" i="5" a="1"/>
  <c r="AU63" i="5" s="1"/>
  <c r="AV5" i="5"/>
  <c r="AK144" i="5" a="1"/>
  <c r="AK144" i="5" s="1"/>
  <c r="AK63" i="5" a="1"/>
  <c r="AK63" i="5" s="1"/>
  <c r="AK38" i="5" a="1"/>
  <c r="AK38" i="5" s="1"/>
  <c r="AK37" i="5" a="1"/>
  <c r="AK37" i="5" s="1"/>
  <c r="AS63" i="5" a="1"/>
  <c r="AS63" i="5" s="1"/>
  <c r="AS38" i="5" a="1"/>
  <c r="AS38" i="5" s="1"/>
  <c r="AS149" i="5" a="1"/>
  <c r="AS149" i="5" s="1"/>
  <c r="AS37" i="5" a="1"/>
  <c r="AS37" i="5" s="1"/>
  <c r="AS39" i="5" a="1"/>
  <c r="AS39" i="5" s="1"/>
  <c r="AS36" i="5" a="1"/>
  <c r="AS36" i="5" s="1"/>
  <c r="AS144" i="5" a="1"/>
  <c r="AS144" i="5" s="1"/>
  <c r="AK149" i="5" a="1"/>
  <c r="AK149" i="5" s="1"/>
  <c r="AL144" i="5" a="1"/>
  <c r="AL144" i="5" s="1"/>
  <c r="AL37" i="5" a="1"/>
  <c r="AL37" i="5" s="1"/>
  <c r="AL36" i="5" a="1"/>
  <c r="AL36" i="5" s="1"/>
  <c r="AL63" i="5" a="1"/>
  <c r="AL63" i="5" s="1"/>
  <c r="AL39" i="5" a="1"/>
  <c r="AL39" i="5" s="1"/>
  <c r="AL38" i="5" a="1"/>
  <c r="AL38" i="5" s="1"/>
  <c r="AN149" i="5" a="1"/>
  <c r="AN149" i="5" s="1"/>
  <c r="AN39" i="5" a="1"/>
  <c r="AN39" i="5" s="1"/>
  <c r="AN63" i="5" a="1"/>
  <c r="AN63" i="5" s="1"/>
  <c r="AN38" i="5" a="1"/>
  <c r="AN38" i="5" s="1"/>
  <c r="AK10" i="8"/>
  <c r="AK41" i="8" s="1"/>
  <c r="AJ10" i="8"/>
  <c r="AJ41" i="8" s="1"/>
  <c r="AS10" i="8"/>
  <c r="AS41" i="8" s="1"/>
  <c r="AM10" i="8"/>
  <c r="AM41" i="8" s="1"/>
  <c r="AQ10" i="8"/>
  <c r="AQ41" i="8" s="1"/>
  <c r="AU9" i="8"/>
  <c r="AV5" i="8"/>
  <c r="AU10" i="8"/>
  <c r="AU41" i="8" s="1"/>
  <c r="AN10" i="8"/>
  <c r="AN41" i="8" s="1"/>
  <c r="AL10" i="8"/>
  <c r="AL41" i="8" s="1"/>
  <c r="AO10" i="8"/>
  <c r="AO41" i="8" s="1"/>
  <c r="AP10" i="8"/>
  <c r="AP41" i="8" s="1"/>
  <c r="H5" i="21"/>
  <c r="J4" i="21"/>
  <c r="I4" i="21"/>
  <c r="BD140" i="5" l="1"/>
  <c r="BC141" i="5"/>
  <c r="BD70" i="4"/>
  <c r="BC71" i="4"/>
  <c r="AK137" i="8"/>
  <c r="AS14" i="11"/>
  <c r="AS49" i="11"/>
  <c r="AR154" i="8"/>
  <c r="AJ165" i="8"/>
  <c r="AK177" i="8"/>
  <c r="AL177" i="8"/>
  <c r="AJ177" i="8"/>
  <c r="AM177" i="8"/>
  <c r="AM165" i="8"/>
  <c r="AU177" i="8"/>
  <c r="AK165" i="8"/>
  <c r="AL165" i="8"/>
  <c r="AU165" i="8"/>
  <c r="AN154" i="8"/>
  <c r="AS154" i="8"/>
  <c r="AU154" i="8"/>
  <c r="AO154" i="8"/>
  <c r="AK154" i="8"/>
  <c r="AM154" i="8"/>
  <c r="AL154" i="8"/>
  <c r="AQ154" i="8"/>
  <c r="AP154" i="8"/>
  <c r="AJ154" i="8"/>
  <c r="AK185" i="8"/>
  <c r="AL185" i="8"/>
  <c r="AQ173" i="8"/>
  <c r="AJ185" i="8"/>
  <c r="AS173" i="8"/>
  <c r="AU185" i="8"/>
  <c r="AM185" i="8"/>
  <c r="AK173" i="8"/>
  <c r="AN173" i="8"/>
  <c r="AM173" i="8"/>
  <c r="AO173" i="8"/>
  <c r="AR173" i="8"/>
  <c r="AL173" i="8"/>
  <c r="AJ173" i="8"/>
  <c r="AP173" i="8"/>
  <c r="AU173" i="8"/>
  <c r="AM156" i="8"/>
  <c r="AS135" i="8"/>
  <c r="AP137" i="8"/>
  <c r="AN156" i="8"/>
  <c r="AV171" i="8"/>
  <c r="AV172" i="8"/>
  <c r="AV169" i="8"/>
  <c r="AV170" i="8"/>
  <c r="AK156" i="8"/>
  <c r="AQ137" i="8"/>
  <c r="AR156" i="8"/>
  <c r="AU156" i="8"/>
  <c r="AS156" i="8"/>
  <c r="AL156" i="8"/>
  <c r="AP156" i="8"/>
  <c r="AV155" i="8"/>
  <c r="AO156" i="8"/>
  <c r="AJ156" i="8"/>
  <c r="AQ156" i="8"/>
  <c r="AV148" i="8"/>
  <c r="AV151" i="8"/>
  <c r="AV152" i="8"/>
  <c r="AV150" i="8"/>
  <c r="AN137" i="8"/>
  <c r="AM132" i="8"/>
  <c r="AO137" i="8"/>
  <c r="AO135" i="8"/>
  <c r="AO115" i="8"/>
  <c r="AU115" i="8"/>
  <c r="AR115" i="8"/>
  <c r="AP115" i="8"/>
  <c r="AN115" i="8"/>
  <c r="AL115" i="8"/>
  <c r="AJ115" i="8"/>
  <c r="AK115" i="8"/>
  <c r="AM115" i="8"/>
  <c r="AS115" i="8"/>
  <c r="AQ115" i="8"/>
  <c r="AR137" i="8"/>
  <c r="AM137" i="8"/>
  <c r="AU132" i="8"/>
  <c r="AU137" i="8"/>
  <c r="AL137" i="8"/>
  <c r="AJ137" i="8"/>
  <c r="AS132" i="8"/>
  <c r="AS137" i="8"/>
  <c r="AV136" i="8"/>
  <c r="AV131" i="8" a="1"/>
  <c r="AV131" i="8" s="1"/>
  <c r="AN132" i="8"/>
  <c r="AR132" i="8"/>
  <c r="AL132" i="8"/>
  <c r="AP132" i="8"/>
  <c r="AQ132" i="8"/>
  <c r="AJ132" i="8"/>
  <c r="AO132" i="8"/>
  <c r="AK132" i="8"/>
  <c r="AR135" i="8"/>
  <c r="AU135" i="8"/>
  <c r="AP135" i="8"/>
  <c r="AJ135" i="8"/>
  <c r="AK135" i="8"/>
  <c r="AN135" i="8"/>
  <c r="AL135" i="8"/>
  <c r="AM135" i="8"/>
  <c r="AQ135" i="8"/>
  <c r="AV133" i="8"/>
  <c r="AN128" i="8"/>
  <c r="AK128" i="8"/>
  <c r="AL128" i="8"/>
  <c r="AR128" i="8"/>
  <c r="AJ128" i="8"/>
  <c r="AQ128" i="8"/>
  <c r="AM128" i="8"/>
  <c r="AU128" i="8"/>
  <c r="AO128" i="8"/>
  <c r="AS128" i="8"/>
  <c r="AP128" i="8"/>
  <c r="AL94" i="8"/>
  <c r="AV124" i="8"/>
  <c r="AV127" i="8"/>
  <c r="AV114" i="8"/>
  <c r="AV120" i="8"/>
  <c r="AV121" i="8"/>
  <c r="AV118" i="8"/>
  <c r="AV119" i="8"/>
  <c r="AJ90" i="8"/>
  <c r="AN94" i="8"/>
  <c r="AS94" i="8"/>
  <c r="AP94" i="8"/>
  <c r="AK94" i="8"/>
  <c r="AQ88" i="8"/>
  <c r="AV95" i="8"/>
  <c r="AV112" i="8"/>
  <c r="AV104" i="8"/>
  <c r="AV113" i="8"/>
  <c r="AV105" i="8"/>
  <c r="AV106" i="8"/>
  <c r="AV107" i="8"/>
  <c r="AV108" i="8"/>
  <c r="AV109" i="8"/>
  <c r="AV110" i="8"/>
  <c r="AV111" i="8"/>
  <c r="AU94" i="8"/>
  <c r="AR94" i="8"/>
  <c r="AO94" i="8"/>
  <c r="AJ94" i="8"/>
  <c r="AN88" i="8"/>
  <c r="AM94" i="8"/>
  <c r="AQ94" i="8"/>
  <c r="AM82" i="8"/>
  <c r="AR90" i="8"/>
  <c r="AL82" i="8"/>
  <c r="AS82" i="8"/>
  <c r="AU88" i="8"/>
  <c r="AR88" i="8"/>
  <c r="AM88" i="8"/>
  <c r="AP88" i="8"/>
  <c r="AO88" i="8"/>
  <c r="AK88" i="8"/>
  <c r="AL88" i="8"/>
  <c r="AS88" i="8"/>
  <c r="AQ90" i="8"/>
  <c r="AJ88" i="8"/>
  <c r="AP82" i="8"/>
  <c r="AO90" i="8"/>
  <c r="AS90" i="8"/>
  <c r="AM90" i="8"/>
  <c r="AK90" i="8"/>
  <c r="AK82" i="8"/>
  <c r="AU90" i="8"/>
  <c r="AN90" i="8"/>
  <c r="AP90" i="8"/>
  <c r="AL90" i="8"/>
  <c r="AJ82" i="8"/>
  <c r="AO82" i="8"/>
  <c r="AQ82" i="8"/>
  <c r="AR82" i="8"/>
  <c r="AU82" i="8"/>
  <c r="AN82" i="8"/>
  <c r="AV89" i="8"/>
  <c r="AV93" i="8"/>
  <c r="AV85" i="8"/>
  <c r="AV86" i="8"/>
  <c r="AV76" i="8"/>
  <c r="AV80" i="8"/>
  <c r="AV81" i="8"/>
  <c r="AV74" i="8"/>
  <c r="AV71" i="8"/>
  <c r="AV69" i="8"/>
  <c r="AQ175" i="8"/>
  <c r="AU175" i="8"/>
  <c r="AP175" i="8"/>
  <c r="AM175" i="8"/>
  <c r="AO175" i="8"/>
  <c r="AS175" i="8"/>
  <c r="AL175" i="8"/>
  <c r="AJ175" i="8"/>
  <c r="AN175" i="8"/>
  <c r="AK175" i="8"/>
  <c r="AN23" i="8"/>
  <c r="AL28" i="8"/>
  <c r="AJ35" i="8"/>
  <c r="AU35" i="8"/>
  <c r="AO28" i="8"/>
  <c r="AL35" i="8"/>
  <c r="AK28" i="8"/>
  <c r="AR28" i="8"/>
  <c r="AN28" i="8"/>
  <c r="AK35" i="8"/>
  <c r="AM35" i="8"/>
  <c r="AQ28" i="8"/>
  <c r="AM28" i="8"/>
  <c r="AR23" i="8"/>
  <c r="AU28" i="8"/>
  <c r="AL23" i="8"/>
  <c r="AJ28" i="8"/>
  <c r="AP23" i="8"/>
  <c r="AO23" i="8"/>
  <c r="AP28" i="8"/>
  <c r="AJ23" i="8"/>
  <c r="AU23" i="8"/>
  <c r="AS28" i="8"/>
  <c r="AM23" i="8"/>
  <c r="AQ23" i="8"/>
  <c r="AS23" i="8"/>
  <c r="AK23" i="8"/>
  <c r="AV33" i="8"/>
  <c r="AV30" i="8"/>
  <c r="AV26" i="8"/>
  <c r="AV27" i="8"/>
  <c r="AV25" i="8"/>
  <c r="AV21" i="8"/>
  <c r="AV22" i="8"/>
  <c r="AV20" i="8"/>
  <c r="AS163" i="8"/>
  <c r="AS168" i="8"/>
  <c r="AP163" i="8"/>
  <c r="AP168" i="8"/>
  <c r="AO163" i="8"/>
  <c r="AO168" i="8"/>
  <c r="AN163" i="8"/>
  <c r="AN168" i="8"/>
  <c r="AL163" i="8"/>
  <c r="AL168" i="8"/>
  <c r="AU163" i="8"/>
  <c r="AU168" i="8"/>
  <c r="AQ163" i="8"/>
  <c r="AQ168" i="8"/>
  <c r="AJ163" i="8"/>
  <c r="AJ168" i="8"/>
  <c r="AM163" i="8"/>
  <c r="AM168" i="8"/>
  <c r="AK163" i="8"/>
  <c r="AK168" i="8"/>
  <c r="AQ143" i="8"/>
  <c r="AQ158" i="8"/>
  <c r="AJ143" i="8"/>
  <c r="AJ158" i="8"/>
  <c r="AM143" i="8"/>
  <c r="AM158" i="8"/>
  <c r="AK143" i="8"/>
  <c r="AK158" i="8"/>
  <c r="AP143" i="8"/>
  <c r="AP158" i="8"/>
  <c r="AN143" i="8"/>
  <c r="AN158" i="8"/>
  <c r="AO143" i="8"/>
  <c r="AO158" i="8"/>
  <c r="AL143" i="8"/>
  <c r="AL158" i="8"/>
  <c r="AS143" i="8"/>
  <c r="AS158" i="8"/>
  <c r="AU143" i="8"/>
  <c r="AU158" i="8"/>
  <c r="AP117" i="8"/>
  <c r="AP130" i="8"/>
  <c r="AO117" i="8"/>
  <c r="AO130" i="8"/>
  <c r="AM117" i="8"/>
  <c r="AM130" i="8"/>
  <c r="AK117" i="8"/>
  <c r="AK130" i="8"/>
  <c r="AN117" i="8"/>
  <c r="AN130" i="8"/>
  <c r="AJ117" i="8"/>
  <c r="AJ130" i="8"/>
  <c r="AU117" i="8"/>
  <c r="AU130" i="8"/>
  <c r="AQ117" i="8"/>
  <c r="AQ130" i="8"/>
  <c r="AL117" i="8"/>
  <c r="AL130" i="8"/>
  <c r="AS117" i="8"/>
  <c r="AS130" i="8"/>
  <c r="AL78" i="8"/>
  <c r="AL103" i="8"/>
  <c r="AS78" i="8"/>
  <c r="AS103" i="8"/>
  <c r="AU15" i="8"/>
  <c r="AP78" i="8"/>
  <c r="AP103" i="8"/>
  <c r="AO78" i="8"/>
  <c r="AO103" i="8"/>
  <c r="AU78" i="8"/>
  <c r="AU103" i="8"/>
  <c r="AQ78" i="8"/>
  <c r="AQ103" i="8"/>
  <c r="AJ78" i="8"/>
  <c r="AJ103" i="8"/>
  <c r="AM78" i="8"/>
  <c r="AM103" i="8"/>
  <c r="AK78" i="8"/>
  <c r="AK103" i="8"/>
  <c r="AN78" i="8"/>
  <c r="AN103" i="8"/>
  <c r="AJ15" i="8"/>
  <c r="AQ68" i="8"/>
  <c r="AQ73" i="8"/>
  <c r="AN68" i="8"/>
  <c r="AN73" i="8"/>
  <c r="AJ68" i="8"/>
  <c r="AJ73" i="8"/>
  <c r="AL68" i="8"/>
  <c r="AL73" i="8"/>
  <c r="AS68" i="8"/>
  <c r="AS73" i="8"/>
  <c r="AO15" i="8"/>
  <c r="AU68" i="8"/>
  <c r="AU73" i="8"/>
  <c r="AP68" i="8"/>
  <c r="AP73" i="8"/>
  <c r="AO68" i="8"/>
  <c r="AO73" i="8"/>
  <c r="AM68" i="8"/>
  <c r="AM73" i="8"/>
  <c r="AK68" i="8"/>
  <c r="AK73" i="8"/>
  <c r="AQ19" i="8"/>
  <c r="AM19" i="8"/>
  <c r="AK19" i="8"/>
  <c r="AL15" i="8"/>
  <c r="AU19" i="8"/>
  <c r="AS19" i="8"/>
  <c r="AJ19" i="8"/>
  <c r="AN19" i="8"/>
  <c r="AN15" i="8"/>
  <c r="AL19" i="8"/>
  <c r="AP19" i="8"/>
  <c r="AO19" i="8"/>
  <c r="AP15" i="8"/>
  <c r="AQ15" i="8"/>
  <c r="AM15" i="8"/>
  <c r="AK15" i="8"/>
  <c r="AV12" i="8"/>
  <c r="AV13" i="8"/>
  <c r="AV14" i="8"/>
  <c r="AR15" i="8"/>
  <c r="AS15" i="8"/>
  <c r="AJ141" i="5"/>
  <c r="AJ164" i="5"/>
  <c r="AP141" i="5"/>
  <c r="AP164" i="5"/>
  <c r="AQ141" i="5"/>
  <c r="AQ164" i="5"/>
  <c r="AS141" i="5"/>
  <c r="AS164" i="5"/>
  <c r="AR141" i="5"/>
  <c r="AR164" i="5"/>
  <c r="AM141" i="5"/>
  <c r="AM164" i="5"/>
  <c r="AO141" i="5"/>
  <c r="AO164" i="5"/>
  <c r="AL141" i="5"/>
  <c r="AL164" i="5"/>
  <c r="AK141" i="5"/>
  <c r="AK164" i="5"/>
  <c r="AN141" i="5"/>
  <c r="AN164" i="5"/>
  <c r="AU141" i="5"/>
  <c r="AU164" i="5"/>
  <c r="AJ129" i="5"/>
  <c r="AJ134" i="5"/>
  <c r="AP129" i="5"/>
  <c r="AP134" i="5"/>
  <c r="AQ129" i="5"/>
  <c r="AQ134" i="5"/>
  <c r="AS129" i="5"/>
  <c r="AS134" i="5"/>
  <c r="AR129" i="5"/>
  <c r="AR134" i="5"/>
  <c r="AM129" i="5"/>
  <c r="AM134" i="5"/>
  <c r="AO129" i="5"/>
  <c r="AO134" i="5"/>
  <c r="AL129" i="5"/>
  <c r="AL134" i="5"/>
  <c r="AK129" i="5"/>
  <c r="AK134" i="5"/>
  <c r="AN129" i="5"/>
  <c r="AN134" i="5"/>
  <c r="AU129" i="5"/>
  <c r="AU134" i="5"/>
  <c r="AJ101" i="5"/>
  <c r="AJ124" i="5"/>
  <c r="AP101" i="5"/>
  <c r="AP124" i="5"/>
  <c r="AQ101" i="5"/>
  <c r="AQ124" i="5"/>
  <c r="AS101" i="5"/>
  <c r="AS124" i="5"/>
  <c r="AR101" i="5"/>
  <c r="AR124" i="5"/>
  <c r="AM101" i="5"/>
  <c r="AM124" i="5"/>
  <c r="AO101" i="5"/>
  <c r="AO124" i="5"/>
  <c r="AL101" i="5"/>
  <c r="AL124" i="5"/>
  <c r="AK101" i="5"/>
  <c r="AK124" i="5"/>
  <c r="AN101" i="5"/>
  <c r="AN124" i="5"/>
  <c r="AU101" i="5"/>
  <c r="AU124" i="5"/>
  <c r="AJ76" i="5"/>
  <c r="AJ83" i="5"/>
  <c r="AS76" i="5"/>
  <c r="AS83" i="5"/>
  <c r="AR76" i="5"/>
  <c r="AR83" i="5"/>
  <c r="AP76" i="5"/>
  <c r="AP83" i="5"/>
  <c r="AQ76" i="5"/>
  <c r="AQ83" i="5"/>
  <c r="AM76" i="5"/>
  <c r="AM83" i="5"/>
  <c r="AO76" i="5"/>
  <c r="AO83" i="5"/>
  <c r="AL76" i="5"/>
  <c r="AL83" i="5"/>
  <c r="AK76" i="5"/>
  <c r="AK83" i="5"/>
  <c r="AN76" i="5"/>
  <c r="AN83" i="5"/>
  <c r="AU76" i="5"/>
  <c r="AU83" i="5"/>
  <c r="AJ62" i="5"/>
  <c r="AJ71" i="5"/>
  <c r="AP62" i="5"/>
  <c r="AP71" i="5"/>
  <c r="AQ62" i="5"/>
  <c r="AQ71" i="5"/>
  <c r="AS62" i="5"/>
  <c r="AS71" i="5"/>
  <c r="AR62" i="5"/>
  <c r="AR71" i="5"/>
  <c r="AM62" i="5"/>
  <c r="AM71" i="5"/>
  <c r="AO62" i="5"/>
  <c r="AO71" i="5"/>
  <c r="AL62" i="5"/>
  <c r="AL71" i="5"/>
  <c r="AK62" i="5"/>
  <c r="AK71" i="5"/>
  <c r="AN62" i="5"/>
  <c r="AN71" i="5"/>
  <c r="AU62" i="5"/>
  <c r="AU71" i="5"/>
  <c r="AJ46" i="5"/>
  <c r="AJ52" i="5"/>
  <c r="AP46" i="5"/>
  <c r="AP52" i="5"/>
  <c r="AQ46" i="5"/>
  <c r="AQ52" i="5"/>
  <c r="AS46" i="5"/>
  <c r="AS52" i="5"/>
  <c r="AR46" i="5"/>
  <c r="AR52" i="5"/>
  <c r="AM46" i="5"/>
  <c r="AM52" i="5"/>
  <c r="AO46" i="5"/>
  <c r="AO52" i="5"/>
  <c r="AL46" i="5"/>
  <c r="AL52" i="5"/>
  <c r="AK46" i="5"/>
  <c r="AK52" i="5"/>
  <c r="AN46" i="5"/>
  <c r="AN52" i="5"/>
  <c r="AU46" i="5"/>
  <c r="AU52" i="5"/>
  <c r="AP40" i="5"/>
  <c r="AP42" i="5" s="1"/>
  <c r="AS40" i="5"/>
  <c r="AS42" i="5" s="1"/>
  <c r="AU40" i="5"/>
  <c r="AU42" i="5" s="1"/>
  <c r="AK40" i="5"/>
  <c r="AK42" i="5" s="1"/>
  <c r="AJ40" i="5"/>
  <c r="AJ42" i="5" s="1"/>
  <c r="AR40" i="5"/>
  <c r="AR42" i="5" s="1"/>
  <c r="AN40" i="5"/>
  <c r="AN42" i="5" s="1"/>
  <c r="AM40" i="5"/>
  <c r="AM42" i="5" s="1"/>
  <c r="AQ40" i="5"/>
  <c r="AQ42" i="5" s="1"/>
  <c r="AL40" i="5"/>
  <c r="AL42" i="5" s="1"/>
  <c r="AO40" i="5"/>
  <c r="AO42" i="5" s="1"/>
  <c r="AQ14" i="5"/>
  <c r="AQ35" i="5"/>
  <c r="AO14" i="5"/>
  <c r="AO35" i="5"/>
  <c r="AS14" i="5"/>
  <c r="AS35" i="5"/>
  <c r="AK14" i="5"/>
  <c r="AK35" i="5"/>
  <c r="AR14" i="5"/>
  <c r="AR35" i="5"/>
  <c r="AP14" i="5"/>
  <c r="AP35" i="5"/>
  <c r="AL14" i="5"/>
  <c r="AL35" i="5"/>
  <c r="AJ14" i="5"/>
  <c r="AJ35" i="5"/>
  <c r="AU14" i="5"/>
  <c r="AU35" i="5"/>
  <c r="AM14" i="5"/>
  <c r="AM35" i="5"/>
  <c r="AN14" i="5"/>
  <c r="AN35" i="5"/>
  <c r="AR136" i="4"/>
  <c r="AR144" i="4"/>
  <c r="AR119" i="4"/>
  <c r="AR131" i="4"/>
  <c r="AR104" i="4"/>
  <c r="AR110" i="4"/>
  <c r="AR91" i="4"/>
  <c r="AR97" i="4"/>
  <c r="AR78" i="4"/>
  <c r="AR84" i="4"/>
  <c r="AR65" i="4"/>
  <c r="AR71" i="4"/>
  <c r="AR50" i="4"/>
  <c r="AR58" i="4"/>
  <c r="AR14" i="4"/>
  <c r="AR39" i="4"/>
  <c r="AV36" i="5" a="1"/>
  <c r="AV36" i="5" s="1"/>
  <c r="AV144" i="5" a="1"/>
  <c r="AV144" i="5" s="1"/>
  <c r="AV39" i="5" a="1"/>
  <c r="AV39" i="5" s="1"/>
  <c r="AV149" i="5" a="1"/>
  <c r="AV149" i="5" s="1"/>
  <c r="AV10" i="5"/>
  <c r="AV177" i="5" s="1"/>
  <c r="AV63" i="5" a="1"/>
  <c r="AV63" i="5" s="1"/>
  <c r="AV38" i="5" a="1"/>
  <c r="AV38" i="5" s="1"/>
  <c r="AV37" i="5" a="1"/>
  <c r="AV37" i="5" s="1"/>
  <c r="AV9" i="5"/>
  <c r="AW5" i="5"/>
  <c r="AV10" i="1"/>
  <c r="AV9" i="1"/>
  <c r="AW5" i="1"/>
  <c r="AV9" i="8"/>
  <c r="AW5" i="8"/>
  <c r="AV10" i="8"/>
  <c r="AV41" i="8" s="1"/>
  <c r="J5" i="21"/>
  <c r="I5" i="21"/>
  <c r="H6" i="21"/>
  <c r="BE140" i="5" l="1"/>
  <c r="BD141" i="5"/>
  <c r="BE70" i="4"/>
  <c r="BD71" i="4"/>
  <c r="AV154" i="8"/>
  <c r="AU187" i="8"/>
  <c r="AM187" i="8"/>
  <c r="AK187" i="8"/>
  <c r="AJ187" i="8"/>
  <c r="AL187" i="8"/>
  <c r="AV173" i="8"/>
  <c r="AW172" i="8"/>
  <c r="AW171" i="8"/>
  <c r="AW169" i="8"/>
  <c r="AW170" i="8"/>
  <c r="AV156" i="8"/>
  <c r="AW155" i="8"/>
  <c r="AW148" i="8"/>
  <c r="AW152" i="8"/>
  <c r="AW150" i="8"/>
  <c r="AW151" i="8"/>
  <c r="AU139" i="8"/>
  <c r="AV115" i="8"/>
  <c r="AQ139" i="8"/>
  <c r="AL139" i="8"/>
  <c r="AM139" i="8"/>
  <c r="AR139" i="8"/>
  <c r="AP139" i="8"/>
  <c r="AN139" i="8"/>
  <c r="AS139" i="8"/>
  <c r="AK139" i="8"/>
  <c r="AJ139" i="8"/>
  <c r="AO139" i="8"/>
  <c r="AV137" i="8"/>
  <c r="AW136" i="8"/>
  <c r="AW131" i="8" a="1"/>
  <c r="AW131" i="8" s="1"/>
  <c r="AV135" i="8"/>
  <c r="AV132" i="8"/>
  <c r="AW133" i="8"/>
  <c r="AV128" i="8"/>
  <c r="AW124" i="8"/>
  <c r="AW127" i="8"/>
  <c r="AV94" i="8"/>
  <c r="AW114" i="8"/>
  <c r="AW121" i="8"/>
  <c r="AW118" i="8"/>
  <c r="AW119" i="8"/>
  <c r="AW120" i="8"/>
  <c r="AJ97" i="8"/>
  <c r="AJ99" i="8" s="1"/>
  <c r="AM97" i="8"/>
  <c r="AM99" i="8" s="1"/>
  <c r="AW95" i="8"/>
  <c r="AW113" i="8"/>
  <c r="AW105" i="8"/>
  <c r="AW106" i="8"/>
  <c r="AW107" i="8"/>
  <c r="AW108" i="8"/>
  <c r="AW109" i="8"/>
  <c r="AW110" i="8"/>
  <c r="AW111" i="8"/>
  <c r="AW112" i="8"/>
  <c r="AW104" i="8"/>
  <c r="AL97" i="8"/>
  <c r="AL99" i="8" s="1"/>
  <c r="AR97" i="8"/>
  <c r="AR99" i="8" s="1"/>
  <c r="AS97" i="8"/>
  <c r="AS99" i="8" s="1"/>
  <c r="AV88" i="8"/>
  <c r="AQ97" i="8"/>
  <c r="AQ99" i="8" s="1"/>
  <c r="AK97" i="8"/>
  <c r="AK99" i="8" s="1"/>
  <c r="AP97" i="8"/>
  <c r="AP99" i="8" s="1"/>
  <c r="AN97" i="8"/>
  <c r="AN99" i="8" s="1"/>
  <c r="AO97" i="8"/>
  <c r="AO99" i="8" s="1"/>
  <c r="AU97" i="8"/>
  <c r="AU99" i="8" s="1"/>
  <c r="AV90" i="8"/>
  <c r="AV82" i="8"/>
  <c r="AW89" i="8"/>
  <c r="AW93" i="8"/>
  <c r="AW86" i="8"/>
  <c r="AW85" i="8"/>
  <c r="AW76" i="8"/>
  <c r="AW81" i="8"/>
  <c r="AW80" i="8"/>
  <c r="AW74" i="8"/>
  <c r="AW71" i="8"/>
  <c r="AW69" i="8"/>
  <c r="AV175" i="8"/>
  <c r="AK37" i="8"/>
  <c r="AV28" i="8"/>
  <c r="AJ37" i="8"/>
  <c r="AM37" i="8"/>
  <c r="AL37" i="8"/>
  <c r="AU37" i="8"/>
  <c r="AV23" i="8"/>
  <c r="AW33" i="8"/>
  <c r="AW30" i="8"/>
  <c r="AW27" i="8"/>
  <c r="AW26" i="8"/>
  <c r="AW25" i="8"/>
  <c r="AW22" i="8"/>
  <c r="AW21" i="8"/>
  <c r="AW20" i="8"/>
  <c r="AV163" i="8"/>
  <c r="AV168" i="8"/>
  <c r="AV143" i="8"/>
  <c r="AV158" i="8"/>
  <c r="AV117" i="8"/>
  <c r="AV130" i="8"/>
  <c r="AV78" i="8"/>
  <c r="AV103" i="8"/>
  <c r="AV68" i="8"/>
  <c r="AV73" i="8"/>
  <c r="AV19" i="8"/>
  <c r="AV15" i="8"/>
  <c r="AW12" i="8"/>
  <c r="AW13" i="8"/>
  <c r="AW14" i="8"/>
  <c r="AV141" i="5"/>
  <c r="AV164" i="5"/>
  <c r="AV129" i="5"/>
  <c r="AV134" i="5"/>
  <c r="AV101" i="5"/>
  <c r="AV124" i="5"/>
  <c r="AV76" i="5"/>
  <c r="AV83" i="5"/>
  <c r="AV62" i="5"/>
  <c r="AV71" i="5"/>
  <c r="AV46" i="5"/>
  <c r="AV52" i="5"/>
  <c r="AV40" i="5"/>
  <c r="AV42" i="5" s="1"/>
  <c r="AV14" i="5"/>
  <c r="AV35" i="5"/>
  <c r="AW10" i="1"/>
  <c r="AW9" i="1"/>
  <c r="AW144" i="5" a="1"/>
  <c r="AW144" i="5" s="1"/>
  <c r="AW39" i="5" a="1"/>
  <c r="AW39" i="5" s="1"/>
  <c r="AW63" i="5" a="1"/>
  <c r="AW63" i="5" s="1"/>
  <c r="AW38" i="5" a="1"/>
  <c r="AW38" i="5" s="1"/>
  <c r="AW37" i="5" a="1"/>
  <c r="AW37" i="5" s="1"/>
  <c r="AW10" i="5"/>
  <c r="AW177" i="5" s="1"/>
  <c r="AW36" i="5" a="1"/>
  <c r="AW36" i="5" s="1"/>
  <c r="AW149" i="5" a="1"/>
  <c r="AW149" i="5" s="1"/>
  <c r="AW9" i="5"/>
  <c r="AW9" i="8"/>
  <c r="AW10" i="8"/>
  <c r="AW41" i="8" s="1"/>
  <c r="H7" i="21"/>
  <c r="J6" i="21"/>
  <c r="I6" i="21"/>
  <c r="BF140" i="5" l="1"/>
  <c r="BE141" i="5"/>
  <c r="BF70" i="4"/>
  <c r="BE71" i="4"/>
  <c r="AW154" i="8"/>
  <c r="AW173" i="8"/>
  <c r="AW156" i="8"/>
  <c r="AW115" i="8"/>
  <c r="AV139" i="8"/>
  <c r="AW137" i="8"/>
  <c r="AW135" i="8"/>
  <c r="AW132" i="8"/>
  <c r="AW128" i="8"/>
  <c r="AW94" i="8"/>
  <c r="AW88" i="8"/>
  <c r="AW82" i="8"/>
  <c r="AV97" i="8"/>
  <c r="AV99" i="8" s="1"/>
  <c r="AW90" i="8"/>
  <c r="AW175" i="8"/>
  <c r="AW23" i="8"/>
  <c r="AW28" i="8"/>
  <c r="AW163" i="8"/>
  <c r="AW168" i="8"/>
  <c r="AW143" i="8"/>
  <c r="AW158" i="8"/>
  <c r="AW117" i="8"/>
  <c r="AW130" i="8"/>
  <c r="AW78" i="8"/>
  <c r="AW103" i="8"/>
  <c r="AW68" i="8"/>
  <c r="AW73" i="8"/>
  <c r="AW19" i="8"/>
  <c r="AW15" i="8"/>
  <c r="AW141" i="5"/>
  <c r="AW164" i="5"/>
  <c r="AW129" i="5"/>
  <c r="AW134" i="5"/>
  <c r="AW101" i="5"/>
  <c r="AW124" i="5"/>
  <c r="AW76" i="5"/>
  <c r="AW83" i="5"/>
  <c r="AW62" i="5"/>
  <c r="AW71" i="5"/>
  <c r="AW46" i="5"/>
  <c r="AW52" i="5"/>
  <c r="AW40" i="5"/>
  <c r="AW42" i="5" s="1"/>
  <c r="AW14" i="5"/>
  <c r="AW35" i="5"/>
  <c r="J7" i="21"/>
  <c r="I7" i="21"/>
  <c r="H8" i="21"/>
  <c r="BG140" i="5" l="1"/>
  <c r="BF141" i="5"/>
  <c r="BG70" i="4"/>
  <c r="BF71" i="4"/>
  <c r="AW139" i="8"/>
  <c r="AW97" i="8"/>
  <c r="AW99" i="8" s="1"/>
  <c r="H9" i="21"/>
  <c r="J8" i="21"/>
  <c r="I8" i="21"/>
  <c r="BH140" i="5" l="1"/>
  <c r="BG141" i="5"/>
  <c r="BH70" i="4"/>
  <c r="BG71" i="4"/>
  <c r="J9" i="21"/>
  <c r="I9" i="21"/>
  <c r="H10" i="21"/>
  <c r="BI140" i="5" l="1"/>
  <c r="BH141" i="5"/>
  <c r="BI70" i="4"/>
  <c r="BH71" i="4"/>
  <c r="H11" i="21"/>
  <c r="J10" i="21"/>
  <c r="I10" i="21"/>
  <c r="BJ140" i="5" l="1"/>
  <c r="BI141" i="5"/>
  <c r="BJ70" i="4"/>
  <c r="BI71" i="4"/>
  <c r="H12" i="21"/>
  <c r="J11" i="21"/>
  <c r="I11" i="21"/>
  <c r="BK140" i="5" l="1"/>
  <c r="BJ141" i="5"/>
  <c r="BK70" i="4"/>
  <c r="BJ71" i="4"/>
  <c r="H13" i="21"/>
  <c r="J12" i="21"/>
  <c r="I12" i="21"/>
  <c r="BL140" i="5" l="1"/>
  <c r="BL141" i="5" s="1"/>
  <c r="BK141" i="5"/>
  <c r="BL70" i="4"/>
  <c r="BL71" i="4" s="1"/>
  <c r="BK71" i="4"/>
  <c r="H14" i="21"/>
  <c r="J13" i="21"/>
  <c r="I13" i="21"/>
  <c r="J14" i="21" l="1"/>
  <c r="I14" i="21"/>
  <c r="P89" i="16" l="1"/>
  <c r="O89" i="16"/>
  <c r="N89" i="16"/>
  <c r="M89" i="16"/>
  <c r="L89" i="16"/>
  <c r="K89" i="16"/>
  <c r="J89" i="16"/>
  <c r="I89" i="16"/>
  <c r="H89" i="16"/>
  <c r="G89" i="16"/>
  <c r="F89" i="16"/>
  <c r="E89" i="16"/>
  <c r="D8" i="16"/>
  <c r="D9" i="16" s="1"/>
  <c r="D10" i="16" s="1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E29" i="10"/>
  <c r="E9" i="16"/>
  <c r="E10" i="16" s="1"/>
  <c r="F8" i="16"/>
  <c r="F5" i="16" s="1"/>
  <c r="E7" i="16"/>
  <c r="E6" i="16" s="1"/>
  <c r="E5" i="16"/>
  <c r="E9" i="15"/>
  <c r="E10" i="15" s="1"/>
  <c r="F8" i="15"/>
  <c r="F7" i="15" s="1"/>
  <c r="F6" i="15" s="1"/>
  <c r="E7" i="15"/>
  <c r="E6" i="15" s="1"/>
  <c r="E5" i="15"/>
  <c r="P139" i="4"/>
  <c r="O139" i="4"/>
  <c r="N139" i="4"/>
  <c r="M139" i="4"/>
  <c r="L139" i="4"/>
  <c r="K139" i="4"/>
  <c r="J139" i="4"/>
  <c r="I139" i="4"/>
  <c r="H139" i="4"/>
  <c r="G139" i="4"/>
  <c r="F139" i="4"/>
  <c r="E139" i="4"/>
  <c r="P167" i="5"/>
  <c r="O167" i="5"/>
  <c r="N167" i="5"/>
  <c r="M167" i="5"/>
  <c r="L167" i="5"/>
  <c r="K167" i="5"/>
  <c r="J167" i="5"/>
  <c r="I167" i="5"/>
  <c r="H167" i="5"/>
  <c r="G167" i="5"/>
  <c r="F167" i="5"/>
  <c r="E167" i="5"/>
  <c r="Q167" i="5"/>
  <c r="E223" i="10"/>
  <c r="P25" i="5"/>
  <c r="O25" i="5"/>
  <c r="N25" i="5"/>
  <c r="M25" i="5"/>
  <c r="L25" i="5"/>
  <c r="K25" i="5"/>
  <c r="J25" i="5"/>
  <c r="I25" i="5"/>
  <c r="H25" i="5"/>
  <c r="G25" i="5"/>
  <c r="F25" i="5"/>
  <c r="P23" i="5"/>
  <c r="O23" i="5"/>
  <c r="N23" i="5"/>
  <c r="L23" i="5"/>
  <c r="K23" i="5"/>
  <c r="J23" i="5"/>
  <c r="I23" i="5"/>
  <c r="H23" i="5"/>
  <c r="G23" i="5"/>
  <c r="F23" i="5"/>
  <c r="E25" i="5"/>
  <c r="E23" i="5"/>
  <c r="P17" i="5"/>
  <c r="O17" i="5"/>
  <c r="N17" i="5"/>
  <c r="M17" i="5"/>
  <c r="L17" i="5"/>
  <c r="K17" i="5"/>
  <c r="J17" i="5"/>
  <c r="I17" i="5"/>
  <c r="H17" i="5"/>
  <c r="G17" i="5"/>
  <c r="F17" i="5"/>
  <c r="P16" i="5"/>
  <c r="O16" i="5"/>
  <c r="N16" i="5"/>
  <c r="M16" i="5"/>
  <c r="L16" i="5"/>
  <c r="K16" i="5"/>
  <c r="J16" i="5"/>
  <c r="I16" i="5"/>
  <c r="H16" i="5"/>
  <c r="G16" i="5"/>
  <c r="F16" i="5"/>
  <c r="E17" i="5"/>
  <c r="E16" i="5"/>
  <c r="R89" i="5"/>
  <c r="AD89" i="5" s="1"/>
  <c r="S89" i="5"/>
  <c r="AE89" i="5" s="1"/>
  <c r="T89" i="5"/>
  <c r="AF89" i="5" s="1"/>
  <c r="U89" i="5"/>
  <c r="AG89" i="5" s="1"/>
  <c r="V89" i="5"/>
  <c r="AH89" i="5" s="1"/>
  <c r="W89" i="5"/>
  <c r="X89" i="5"/>
  <c r="Y89" i="5"/>
  <c r="Z89" i="5"/>
  <c r="AA89" i="5"/>
  <c r="AB89" i="5"/>
  <c r="R88" i="5"/>
  <c r="AD88" i="5" s="1"/>
  <c r="S88" i="5"/>
  <c r="AE88" i="5" s="1"/>
  <c r="T88" i="5"/>
  <c r="AF88" i="5" s="1"/>
  <c r="U88" i="5"/>
  <c r="AG88" i="5" s="1"/>
  <c r="V88" i="5"/>
  <c r="AH88" i="5" s="1"/>
  <c r="W88" i="5"/>
  <c r="X88" i="5"/>
  <c r="Y88" i="5"/>
  <c r="Z88" i="5"/>
  <c r="AA88" i="5"/>
  <c r="AB88" i="5"/>
  <c r="Q88" i="5"/>
  <c r="AC88" i="5" s="1"/>
  <c r="E9" i="1"/>
  <c r="E10" i="1" s="1"/>
  <c r="F8" i="1"/>
  <c r="F5" i="1" s="1"/>
  <c r="E7" i="1"/>
  <c r="E6" i="1" s="1"/>
  <c r="E5" i="1"/>
  <c r="AS9" i="13"/>
  <c r="E9" i="13"/>
  <c r="E10" i="13" s="1"/>
  <c r="AO8" i="13"/>
  <c r="AP8" i="13" s="1"/>
  <c r="AQ8" i="13" s="1"/>
  <c r="AK8" i="13"/>
  <c r="AL8" i="13" s="1"/>
  <c r="AM8" i="13" s="1"/>
  <c r="F8" i="13"/>
  <c r="E7" i="13"/>
  <c r="E6" i="13" s="1"/>
  <c r="E5" i="13"/>
  <c r="E51" i="15" l="1"/>
  <c r="E70" i="16"/>
  <c r="E87" i="16"/>
  <c r="E73" i="16"/>
  <c r="E26" i="16"/>
  <c r="E14" i="16"/>
  <c r="E54" i="16"/>
  <c r="E46" i="16"/>
  <c r="E40" i="16"/>
  <c r="E27" i="15"/>
  <c r="E56" i="15"/>
  <c r="D5" i="16"/>
  <c r="D7" i="16"/>
  <c r="D6" i="16" s="1"/>
  <c r="F7" i="16"/>
  <c r="F6" i="16" s="1"/>
  <c r="F9" i="16"/>
  <c r="G8" i="16"/>
  <c r="F9" i="15"/>
  <c r="F51" i="15" s="1"/>
  <c r="F5" i="15"/>
  <c r="E14" i="15"/>
  <c r="G8" i="15"/>
  <c r="Q139" i="4"/>
  <c r="R167" i="5"/>
  <c r="S167" i="5" s="1"/>
  <c r="E14" i="13"/>
  <c r="G8" i="1"/>
  <c r="F7" i="1"/>
  <c r="F6" i="1" s="1"/>
  <c r="F9" i="1"/>
  <c r="F10" i="1" s="1"/>
  <c r="F9" i="13"/>
  <c r="F7" i="13"/>
  <c r="F6" i="13" s="1"/>
  <c r="G8" i="13"/>
  <c r="F5" i="13"/>
  <c r="Q132" i="10"/>
  <c r="E134" i="10"/>
  <c r="Q108" i="4"/>
  <c r="Q107" i="4"/>
  <c r="Q106" i="4"/>
  <c r="Q105" i="4"/>
  <c r="F73" i="16" l="1"/>
  <c r="F87" i="16"/>
  <c r="F70" i="16"/>
  <c r="F10" i="16"/>
  <c r="F40" i="16"/>
  <c r="F46" i="16"/>
  <c r="F54" i="16"/>
  <c r="F14" i="16"/>
  <c r="F26" i="16"/>
  <c r="F56" i="15"/>
  <c r="F27" i="15"/>
  <c r="G9" i="16"/>
  <c r="H8" i="16"/>
  <c r="G5" i="16"/>
  <c r="AJ5" i="16" s="1"/>
  <c r="G7" i="16"/>
  <c r="G6" i="16" s="1"/>
  <c r="AJ6" i="16" s="1"/>
  <c r="H8" i="15"/>
  <c r="G5" i="15"/>
  <c r="G9" i="15"/>
  <c r="G51" i="15" s="1"/>
  <c r="G7" i="15"/>
  <c r="G6" i="15" s="1"/>
  <c r="F10" i="15"/>
  <c r="F14" i="15"/>
  <c r="R139" i="4"/>
  <c r="T167" i="5"/>
  <c r="F10" i="13"/>
  <c r="F14" i="13"/>
  <c r="G5" i="1"/>
  <c r="G9" i="1"/>
  <c r="G10" i="1" s="1"/>
  <c r="G7" i="1"/>
  <c r="G6" i="1" s="1"/>
  <c r="H8" i="1"/>
  <c r="G9" i="13"/>
  <c r="G7" i="13"/>
  <c r="G6" i="13" s="1"/>
  <c r="G5" i="13"/>
  <c r="H8" i="13"/>
  <c r="R47" i="4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H47" i="4" s="1"/>
  <c r="R45" i="4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AH45" i="4" s="1"/>
  <c r="R43" i="4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AG43" i="4" s="1"/>
  <c r="AH43" i="4" s="1"/>
  <c r="R41" i="4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AG41" i="4" s="1"/>
  <c r="AH41" i="4" s="1"/>
  <c r="P134" i="10"/>
  <c r="O134" i="10"/>
  <c r="N134" i="10"/>
  <c r="M134" i="10"/>
  <c r="L134" i="10"/>
  <c r="K134" i="10"/>
  <c r="J134" i="10"/>
  <c r="I134" i="10"/>
  <c r="H134" i="10"/>
  <c r="G134" i="10"/>
  <c r="F134" i="10"/>
  <c r="K180" i="10"/>
  <c r="L180" i="10" s="1"/>
  <c r="P70" i="10"/>
  <c r="O70" i="10"/>
  <c r="N70" i="10"/>
  <c r="M70" i="10"/>
  <c r="L70" i="10"/>
  <c r="K70" i="10"/>
  <c r="J70" i="10"/>
  <c r="I70" i="10"/>
  <c r="H70" i="10"/>
  <c r="G70" i="10"/>
  <c r="F70" i="10"/>
  <c r="E70" i="10"/>
  <c r="P73" i="10"/>
  <c r="O73" i="10"/>
  <c r="O16" i="10" s="1"/>
  <c r="O75" i="16" s="1"/>
  <c r="N73" i="10"/>
  <c r="M73" i="10"/>
  <c r="L73" i="10"/>
  <c r="L16" i="10" s="1"/>
  <c r="L75" i="16" s="1"/>
  <c r="K73" i="10"/>
  <c r="K16" i="10" s="1"/>
  <c r="K75" i="16" s="1"/>
  <c r="J73" i="10"/>
  <c r="I73" i="10"/>
  <c r="H73" i="10"/>
  <c r="G73" i="10"/>
  <c r="F73" i="10"/>
  <c r="E73" i="10"/>
  <c r="D73" i="10"/>
  <c r="D16" i="10" s="1"/>
  <c r="D75" i="16" s="1"/>
  <c r="P66" i="10"/>
  <c r="O66" i="10"/>
  <c r="N66" i="10"/>
  <c r="M66" i="10"/>
  <c r="L66" i="10"/>
  <c r="K66" i="10"/>
  <c r="J66" i="10"/>
  <c r="I66" i="10"/>
  <c r="H66" i="10"/>
  <c r="G66" i="10"/>
  <c r="F66" i="10"/>
  <c r="E66" i="10"/>
  <c r="P77" i="5"/>
  <c r="O77" i="5"/>
  <c r="N77" i="5"/>
  <c r="M77" i="5"/>
  <c r="L77" i="5"/>
  <c r="K77" i="5"/>
  <c r="J77" i="5"/>
  <c r="I77" i="5"/>
  <c r="H77" i="5"/>
  <c r="G77" i="5"/>
  <c r="F77" i="5"/>
  <c r="E77" i="5"/>
  <c r="AJ10" i="16" l="1"/>
  <c r="AJ26" i="16" s="1"/>
  <c r="AU5" i="16"/>
  <c r="G70" i="16"/>
  <c r="G87" i="16"/>
  <c r="G73" i="16"/>
  <c r="G10" i="16"/>
  <c r="G46" i="16"/>
  <c r="G54" i="16"/>
  <c r="G14" i="16"/>
  <c r="G26" i="16"/>
  <c r="G40" i="16"/>
  <c r="G56" i="15"/>
  <c r="G27" i="15"/>
  <c r="I8" i="16"/>
  <c r="H5" i="16"/>
  <c r="H9" i="16"/>
  <c r="H7" i="16"/>
  <c r="H6" i="16" s="1"/>
  <c r="G14" i="15"/>
  <c r="G10" i="15"/>
  <c r="I8" i="15"/>
  <c r="H5" i="15"/>
  <c r="H9" i="15"/>
  <c r="H51" i="15" s="1"/>
  <c r="H7" i="15"/>
  <c r="H6" i="15" s="1"/>
  <c r="S139" i="4"/>
  <c r="T139" i="4" s="1"/>
  <c r="U167" i="5"/>
  <c r="G10" i="13"/>
  <c r="G14" i="13"/>
  <c r="H9" i="1"/>
  <c r="H10" i="1" s="1"/>
  <c r="H7" i="1"/>
  <c r="H6" i="1" s="1"/>
  <c r="I8" i="1"/>
  <c r="H5" i="1"/>
  <c r="H9" i="13"/>
  <c r="H7" i="13"/>
  <c r="H6" i="13" s="1"/>
  <c r="I8" i="13"/>
  <c r="H5" i="13"/>
  <c r="K20" i="11"/>
  <c r="E20" i="11"/>
  <c r="G20" i="11"/>
  <c r="M20" i="11"/>
  <c r="P20" i="11"/>
  <c r="H20" i="11"/>
  <c r="J20" i="11"/>
  <c r="E16" i="10"/>
  <c r="E75" i="16" s="1"/>
  <c r="L20" i="11"/>
  <c r="G16" i="10"/>
  <c r="G75" i="16" s="1"/>
  <c r="I20" i="11"/>
  <c r="N20" i="11"/>
  <c r="O20" i="11"/>
  <c r="F20" i="11"/>
  <c r="M16" i="10"/>
  <c r="M75" i="16" s="1"/>
  <c r="F16" i="10"/>
  <c r="F75" i="16" s="1"/>
  <c r="N16" i="10"/>
  <c r="N75" i="16" s="1"/>
  <c r="H16" i="10"/>
  <c r="H75" i="16" s="1"/>
  <c r="P16" i="10"/>
  <c r="P75" i="16" s="1"/>
  <c r="I16" i="10"/>
  <c r="I75" i="16" s="1"/>
  <c r="J16" i="10"/>
  <c r="J75" i="16" s="1"/>
  <c r="AJ14" i="16" l="1"/>
  <c r="AJ46" i="16"/>
  <c r="AJ70" i="16"/>
  <c r="AJ54" i="16"/>
  <c r="AJ87" i="16"/>
  <c r="AJ40" i="16"/>
  <c r="AJ73" i="16"/>
  <c r="H87" i="16"/>
  <c r="H70" i="16"/>
  <c r="H73" i="16"/>
  <c r="AV5" i="16"/>
  <c r="AU10" i="16"/>
  <c r="H10" i="16"/>
  <c r="H46" i="16"/>
  <c r="H54" i="16"/>
  <c r="H14" i="16"/>
  <c r="H26" i="16"/>
  <c r="H40" i="16"/>
  <c r="H56" i="15"/>
  <c r="H27" i="15"/>
  <c r="I9" i="16"/>
  <c r="J8" i="16"/>
  <c r="I5" i="16"/>
  <c r="I7" i="16"/>
  <c r="I6" i="16" s="1"/>
  <c r="H14" i="15"/>
  <c r="H10" i="15"/>
  <c r="I5" i="15"/>
  <c r="I9" i="15"/>
  <c r="I51" i="15" s="1"/>
  <c r="I7" i="15"/>
  <c r="I6" i="15" s="1"/>
  <c r="J8" i="15"/>
  <c r="U139" i="4"/>
  <c r="V139" i="4" s="1"/>
  <c r="W139" i="4" s="1"/>
  <c r="V167" i="5"/>
  <c r="W167" i="5" s="1"/>
  <c r="H10" i="13"/>
  <c r="H14" i="13"/>
  <c r="I9" i="1"/>
  <c r="I10" i="1" s="1"/>
  <c r="I7" i="1"/>
  <c r="I6" i="1" s="1"/>
  <c r="J8" i="1"/>
  <c r="I5" i="1"/>
  <c r="I7" i="13"/>
  <c r="I6" i="13" s="1"/>
  <c r="J8" i="13"/>
  <c r="I9" i="13"/>
  <c r="I5" i="13"/>
  <c r="Q65" i="10"/>
  <c r="P65" i="10"/>
  <c r="P67" i="10" s="1"/>
  <c r="P59" i="10" s="1"/>
  <c r="O65" i="10"/>
  <c r="O67" i="10" s="1"/>
  <c r="O59" i="10" s="1"/>
  <c r="N65" i="10"/>
  <c r="N67" i="10" s="1"/>
  <c r="N59" i="10" s="1"/>
  <c r="M65" i="10"/>
  <c r="M67" i="10" s="1"/>
  <c r="M59" i="10" s="1"/>
  <c r="L65" i="10"/>
  <c r="L67" i="10" s="1"/>
  <c r="L59" i="10" s="1"/>
  <c r="K65" i="10"/>
  <c r="K67" i="10" s="1"/>
  <c r="K59" i="10" s="1"/>
  <c r="J65" i="10"/>
  <c r="J67" i="10" s="1"/>
  <c r="J59" i="10" s="1"/>
  <c r="I65" i="10"/>
  <c r="I67" i="10" s="1"/>
  <c r="I59" i="10" s="1"/>
  <c r="H65" i="10"/>
  <c r="H67" i="10" s="1"/>
  <c r="H59" i="10" s="1"/>
  <c r="G65" i="10"/>
  <c r="G67" i="10" s="1"/>
  <c r="G59" i="10" s="1"/>
  <c r="F65" i="10"/>
  <c r="F67" i="10" s="1"/>
  <c r="F59" i="10" s="1"/>
  <c r="E65" i="10"/>
  <c r="E67" i="10" s="1"/>
  <c r="P98" i="11"/>
  <c r="O98" i="11"/>
  <c r="N98" i="11"/>
  <c r="L98" i="11"/>
  <c r="K98" i="11"/>
  <c r="J98" i="11"/>
  <c r="I98" i="11"/>
  <c r="H98" i="11"/>
  <c r="G98" i="11"/>
  <c r="F98" i="11"/>
  <c r="P97" i="11"/>
  <c r="O97" i="11"/>
  <c r="N97" i="11"/>
  <c r="M97" i="11"/>
  <c r="L97" i="11"/>
  <c r="K97" i="11"/>
  <c r="J97" i="11"/>
  <c r="I97" i="11"/>
  <c r="H97" i="11"/>
  <c r="G97" i="11"/>
  <c r="F97" i="11"/>
  <c r="E98" i="11"/>
  <c r="E97" i="11"/>
  <c r="P21" i="11"/>
  <c r="P89" i="11" s="1"/>
  <c r="O21" i="11"/>
  <c r="O89" i="11" s="1"/>
  <c r="N21" i="11"/>
  <c r="N89" i="11" s="1"/>
  <c r="M21" i="11"/>
  <c r="M89" i="11" s="1"/>
  <c r="L21" i="11"/>
  <c r="L89" i="11" s="1"/>
  <c r="K21" i="11"/>
  <c r="K89" i="11" s="1"/>
  <c r="J21" i="11"/>
  <c r="J89" i="11" s="1"/>
  <c r="I21" i="11"/>
  <c r="I89" i="11" s="1"/>
  <c r="H21" i="11"/>
  <c r="H89" i="11" s="1"/>
  <c r="G21" i="11"/>
  <c r="G89" i="11" s="1"/>
  <c r="F21" i="11"/>
  <c r="F89" i="11" s="1"/>
  <c r="E21" i="11"/>
  <c r="E89" i="11" s="1"/>
  <c r="E59" i="10" l="1"/>
  <c r="AU73" i="16"/>
  <c r="AU87" i="16"/>
  <c r="AU70" i="16"/>
  <c r="AU46" i="16"/>
  <c r="AU14" i="16"/>
  <c r="AU54" i="16"/>
  <c r="AU40" i="16"/>
  <c r="AU26" i="16"/>
  <c r="I73" i="16"/>
  <c r="I70" i="16"/>
  <c r="I87" i="16"/>
  <c r="AW5" i="16"/>
  <c r="AV10" i="16"/>
  <c r="I10" i="16"/>
  <c r="I54" i="16"/>
  <c r="I14" i="16"/>
  <c r="I26" i="16"/>
  <c r="I40" i="16"/>
  <c r="I46" i="16"/>
  <c r="I56" i="15"/>
  <c r="I27" i="15"/>
  <c r="K8" i="16"/>
  <c r="J5" i="16"/>
  <c r="J7" i="16"/>
  <c r="J6" i="16" s="1"/>
  <c r="AK6" i="16" s="1"/>
  <c r="J9" i="16"/>
  <c r="J5" i="15"/>
  <c r="J9" i="15"/>
  <c r="J51" i="15" s="1"/>
  <c r="J7" i="15"/>
  <c r="J6" i="15" s="1"/>
  <c r="K8" i="15"/>
  <c r="I10" i="15"/>
  <c r="I14" i="15"/>
  <c r="X139" i="4"/>
  <c r="X167" i="5"/>
  <c r="Y167" i="5" s="1"/>
  <c r="I10" i="13"/>
  <c r="I14" i="13"/>
  <c r="J7" i="1"/>
  <c r="J6" i="1" s="1"/>
  <c r="K8" i="1"/>
  <c r="J5" i="1"/>
  <c r="J9" i="1"/>
  <c r="J10" i="1" s="1"/>
  <c r="K8" i="13"/>
  <c r="J5" i="13"/>
  <c r="J7" i="13"/>
  <c r="J6" i="13" s="1"/>
  <c r="J9" i="13"/>
  <c r="Q70" i="10"/>
  <c r="J70" i="16" l="1"/>
  <c r="J87" i="16"/>
  <c r="J73" i="16"/>
  <c r="AK5" i="16"/>
  <c r="AV73" i="16"/>
  <c r="AV54" i="16"/>
  <c r="AV70" i="16"/>
  <c r="AV14" i="16"/>
  <c r="AV87" i="16"/>
  <c r="AV26" i="16"/>
  <c r="AV40" i="16"/>
  <c r="AV46" i="16"/>
  <c r="AW10" i="16"/>
  <c r="J10" i="16"/>
  <c r="J54" i="16"/>
  <c r="J14" i="16"/>
  <c r="J26" i="16"/>
  <c r="J40" i="16"/>
  <c r="J46" i="16"/>
  <c r="J56" i="15"/>
  <c r="J27" i="15"/>
  <c r="K9" i="16"/>
  <c r="L8" i="16"/>
  <c r="K5" i="16"/>
  <c r="K7" i="16"/>
  <c r="K6" i="16" s="1"/>
  <c r="J10" i="15"/>
  <c r="J14" i="15"/>
  <c r="K9" i="15"/>
  <c r="K51" i="15" s="1"/>
  <c r="K7" i="15"/>
  <c r="K6" i="15" s="1"/>
  <c r="L8" i="15"/>
  <c r="K5" i="15"/>
  <c r="Y139" i="4"/>
  <c r="Z139" i="4" s="1"/>
  <c r="AA139" i="4" s="1"/>
  <c r="Z167" i="5"/>
  <c r="J10" i="13"/>
  <c r="J14" i="13"/>
  <c r="L8" i="1"/>
  <c r="K5" i="1"/>
  <c r="K7" i="1"/>
  <c r="K6" i="1" s="1"/>
  <c r="K9" i="1"/>
  <c r="K10" i="1" s="1"/>
  <c r="L8" i="13"/>
  <c r="K5" i="13"/>
  <c r="K7" i="13"/>
  <c r="K6" i="13" s="1"/>
  <c r="K9" i="13"/>
  <c r="R70" i="10"/>
  <c r="AK10" i="16" l="1"/>
  <c r="AK73" i="16" s="1"/>
  <c r="AW73" i="16"/>
  <c r="AW26" i="16"/>
  <c r="AW87" i="16"/>
  <c r="AW54" i="16"/>
  <c r="AW70" i="16"/>
  <c r="AW40" i="16"/>
  <c r="AW46" i="16"/>
  <c r="AW14" i="16"/>
  <c r="K87" i="16"/>
  <c r="K70" i="16"/>
  <c r="K73" i="16"/>
  <c r="K10" i="16"/>
  <c r="K26" i="16"/>
  <c r="K40" i="16"/>
  <c r="K54" i="16"/>
  <c r="K46" i="16"/>
  <c r="K14" i="16"/>
  <c r="K56" i="15"/>
  <c r="K27" i="15"/>
  <c r="L9" i="16"/>
  <c r="M8" i="16"/>
  <c r="L7" i="16"/>
  <c r="L6" i="16" s="1"/>
  <c r="L5" i="16"/>
  <c r="L9" i="15"/>
  <c r="L51" i="15" s="1"/>
  <c r="L7" i="15"/>
  <c r="L6" i="15" s="1"/>
  <c r="M8" i="15"/>
  <c r="L5" i="15"/>
  <c r="K10" i="15"/>
  <c r="K14" i="15"/>
  <c r="AB139" i="4"/>
  <c r="AC139" i="4" s="1"/>
  <c r="AA167" i="5"/>
  <c r="K10" i="13"/>
  <c r="K14" i="13"/>
  <c r="M8" i="1"/>
  <c r="L5" i="1"/>
  <c r="L9" i="1"/>
  <c r="L10" i="1" s="1"/>
  <c r="L7" i="1"/>
  <c r="L6" i="1" s="1"/>
  <c r="L5" i="13"/>
  <c r="L7" i="13"/>
  <c r="L6" i="13" s="1"/>
  <c r="M8" i="13"/>
  <c r="L9" i="13"/>
  <c r="S70" i="10"/>
  <c r="AK26" i="16" l="1"/>
  <c r="AK70" i="16"/>
  <c r="AK46" i="16"/>
  <c r="AK14" i="16"/>
  <c r="AK40" i="16"/>
  <c r="AK54" i="16"/>
  <c r="AK87" i="16"/>
  <c r="L70" i="16"/>
  <c r="L87" i="16"/>
  <c r="L73" i="16"/>
  <c r="L10" i="16"/>
  <c r="L26" i="16"/>
  <c r="L40" i="16"/>
  <c r="L46" i="16"/>
  <c r="L54" i="16"/>
  <c r="L14" i="16"/>
  <c r="L56" i="15"/>
  <c r="L27" i="15"/>
  <c r="M9" i="16"/>
  <c r="M7" i="16"/>
  <c r="M6" i="16" s="1"/>
  <c r="AL6" i="16" s="1"/>
  <c r="M5" i="16"/>
  <c r="N8" i="16"/>
  <c r="L10" i="15"/>
  <c r="L14" i="15"/>
  <c r="M9" i="15"/>
  <c r="M51" i="15" s="1"/>
  <c r="M7" i="15"/>
  <c r="M6" i="15" s="1"/>
  <c r="N8" i="15"/>
  <c r="M5" i="15"/>
  <c r="AD139" i="4"/>
  <c r="AB167" i="5"/>
  <c r="L10" i="13"/>
  <c r="L14" i="13"/>
  <c r="M5" i="1"/>
  <c r="M9" i="1"/>
  <c r="M10" i="1" s="1"/>
  <c r="M7" i="1"/>
  <c r="M6" i="1" s="1"/>
  <c r="N8" i="1"/>
  <c r="M5" i="13"/>
  <c r="M9" i="13"/>
  <c r="N8" i="13"/>
  <c r="M7" i="13"/>
  <c r="M6" i="13" s="1"/>
  <c r="T70" i="10"/>
  <c r="M73" i="16" l="1"/>
  <c r="M87" i="16"/>
  <c r="M70" i="16"/>
  <c r="AL5" i="16"/>
  <c r="M10" i="16"/>
  <c r="M40" i="16"/>
  <c r="M46" i="16"/>
  <c r="M54" i="16"/>
  <c r="M14" i="16"/>
  <c r="M26" i="16"/>
  <c r="M56" i="15"/>
  <c r="M27" i="15"/>
  <c r="N9" i="16"/>
  <c r="O8" i="16"/>
  <c r="N7" i="16"/>
  <c r="N6" i="16" s="1"/>
  <c r="N5" i="16"/>
  <c r="M10" i="15"/>
  <c r="M14" i="15"/>
  <c r="N7" i="15"/>
  <c r="N6" i="15" s="1"/>
  <c r="O8" i="15"/>
  <c r="N5" i="15"/>
  <c r="N9" i="15"/>
  <c r="N51" i="15" s="1"/>
  <c r="AE139" i="4"/>
  <c r="AC167" i="5"/>
  <c r="M10" i="13"/>
  <c r="M14" i="13"/>
  <c r="N5" i="1"/>
  <c r="N9" i="1"/>
  <c r="N10" i="1" s="1"/>
  <c r="N7" i="1"/>
  <c r="N6" i="1" s="1"/>
  <c r="O8" i="1"/>
  <c r="N9" i="13"/>
  <c r="N7" i="13"/>
  <c r="N6" i="13" s="1"/>
  <c r="O8" i="13"/>
  <c r="N5" i="13"/>
  <c r="U70" i="10"/>
  <c r="V70" i="10" s="1"/>
  <c r="N73" i="16" l="1"/>
  <c r="N87" i="16"/>
  <c r="N70" i="16"/>
  <c r="AL10" i="16"/>
  <c r="N10" i="16"/>
  <c r="N40" i="16"/>
  <c r="N46" i="16"/>
  <c r="N54" i="16"/>
  <c r="N14" i="16"/>
  <c r="N26" i="16"/>
  <c r="N56" i="15"/>
  <c r="N27" i="15"/>
  <c r="O9" i="16"/>
  <c r="O5" i="16"/>
  <c r="O7" i="16"/>
  <c r="O6" i="16" s="1"/>
  <c r="P8" i="16"/>
  <c r="N10" i="15"/>
  <c r="N14" i="15"/>
  <c r="P8" i="15"/>
  <c r="O5" i="15"/>
  <c r="O9" i="15"/>
  <c r="O51" i="15" s="1"/>
  <c r="O7" i="15"/>
  <c r="O6" i="15" s="1"/>
  <c r="AF139" i="4"/>
  <c r="AG139" i="4" s="1"/>
  <c r="AD167" i="5"/>
  <c r="AE167" i="5" s="1"/>
  <c r="N10" i="13"/>
  <c r="N14" i="13"/>
  <c r="O5" i="1"/>
  <c r="O9" i="1"/>
  <c r="O10" i="1" s="1"/>
  <c r="O7" i="1"/>
  <c r="O6" i="1" s="1"/>
  <c r="P8" i="1"/>
  <c r="O9" i="13"/>
  <c r="O7" i="13"/>
  <c r="O6" i="13" s="1"/>
  <c r="O5" i="13"/>
  <c r="P8" i="13"/>
  <c r="W70" i="10"/>
  <c r="AL54" i="16" l="1"/>
  <c r="AL40" i="16"/>
  <c r="AL70" i="16"/>
  <c r="AL46" i="16"/>
  <c r="AL14" i="16"/>
  <c r="AL26" i="16"/>
  <c r="AL73" i="16"/>
  <c r="AL87" i="16"/>
  <c r="O70" i="16"/>
  <c r="O87" i="16"/>
  <c r="O73" i="16"/>
  <c r="O10" i="16"/>
  <c r="O46" i="16"/>
  <c r="O54" i="16"/>
  <c r="O14" i="16"/>
  <c r="O26" i="16"/>
  <c r="O40" i="16"/>
  <c r="O56" i="15"/>
  <c r="O27" i="15"/>
  <c r="P5" i="16"/>
  <c r="P9" i="16"/>
  <c r="Q8" i="16"/>
  <c r="P7" i="16"/>
  <c r="P6" i="16" s="1"/>
  <c r="AM6" i="16" s="1"/>
  <c r="Q8" i="15"/>
  <c r="P5" i="15"/>
  <c r="P9" i="15"/>
  <c r="P51" i="15" s="1"/>
  <c r="P7" i="15"/>
  <c r="P6" i="15" s="1"/>
  <c r="O14" i="15"/>
  <c r="O10" i="15"/>
  <c r="AH139" i="4"/>
  <c r="AF167" i="5"/>
  <c r="O10" i="13"/>
  <c r="O14" i="13"/>
  <c r="P9" i="1"/>
  <c r="P10" i="1" s="1"/>
  <c r="P7" i="1"/>
  <c r="P6" i="1" s="1"/>
  <c r="Q8" i="1"/>
  <c r="P5" i="1"/>
  <c r="P9" i="13"/>
  <c r="P7" i="13"/>
  <c r="P6" i="13" s="1"/>
  <c r="Q8" i="13"/>
  <c r="P5" i="13"/>
  <c r="X70" i="10"/>
  <c r="P87" i="16" l="1"/>
  <c r="P73" i="16"/>
  <c r="P70" i="16"/>
  <c r="AM5" i="16"/>
  <c r="P10" i="16"/>
  <c r="P46" i="16"/>
  <c r="P54" i="16"/>
  <c r="P14" i="16"/>
  <c r="P26" i="16"/>
  <c r="P40" i="16"/>
  <c r="P56" i="15"/>
  <c r="P27" i="15"/>
  <c r="Q9" i="16"/>
  <c r="Q5" i="16"/>
  <c r="R8" i="16"/>
  <c r="Q7" i="16"/>
  <c r="Q6" i="16" s="1"/>
  <c r="P14" i="15"/>
  <c r="P10" i="15"/>
  <c r="Q5" i="15"/>
  <c r="Q9" i="15"/>
  <c r="Q51" i="15" s="1"/>
  <c r="Q7" i="15"/>
  <c r="Q6" i="15" s="1"/>
  <c r="R8" i="15"/>
  <c r="AG167" i="5"/>
  <c r="P10" i="13"/>
  <c r="P14" i="13"/>
  <c r="Q9" i="1"/>
  <c r="Q10" i="1" s="1"/>
  <c r="Q7" i="1"/>
  <c r="Q6" i="1" s="1"/>
  <c r="R8" i="1"/>
  <c r="Q5" i="1"/>
  <c r="Q7" i="13"/>
  <c r="Q6" i="13" s="1"/>
  <c r="R8" i="13"/>
  <c r="Q9" i="13"/>
  <c r="Q5" i="13"/>
  <c r="Y70" i="10"/>
  <c r="AM10" i="16" l="1"/>
  <c r="AM40" i="16" s="1"/>
  <c r="Q73" i="16"/>
  <c r="Q70" i="16"/>
  <c r="Q87" i="16"/>
  <c r="Q10" i="16"/>
  <c r="Q54" i="16"/>
  <c r="Q14" i="16"/>
  <c r="Q26" i="16"/>
  <c r="Q46" i="16"/>
  <c r="Q40" i="16"/>
  <c r="Q56" i="15"/>
  <c r="Q27" i="15"/>
  <c r="S8" i="16"/>
  <c r="R5" i="16"/>
  <c r="R9" i="16"/>
  <c r="R7" i="16"/>
  <c r="R6" i="16" s="1"/>
  <c r="R5" i="15"/>
  <c r="R9" i="15"/>
  <c r="R51" i="15" s="1"/>
  <c r="R7" i="15"/>
  <c r="R6" i="15" s="1"/>
  <c r="S8" i="15"/>
  <c r="Q10" i="15"/>
  <c r="Q14" i="15"/>
  <c r="AH167" i="5"/>
  <c r="Q10" i="13"/>
  <c r="Q14" i="13"/>
  <c r="R7" i="1"/>
  <c r="R6" i="1" s="1"/>
  <c r="S8" i="1"/>
  <c r="R5" i="1"/>
  <c r="R9" i="1"/>
  <c r="R10" i="1" s="1"/>
  <c r="S8" i="13"/>
  <c r="R5" i="13"/>
  <c r="R9" i="13"/>
  <c r="R7" i="13"/>
  <c r="R6" i="13" s="1"/>
  <c r="Z70" i="10"/>
  <c r="AM26" i="16" l="1"/>
  <c r="AM70" i="16"/>
  <c r="AM14" i="16"/>
  <c r="AM54" i="16"/>
  <c r="AM73" i="16"/>
  <c r="AM87" i="16"/>
  <c r="AM46" i="16"/>
  <c r="R70" i="16"/>
  <c r="R87" i="16"/>
  <c r="R73" i="16"/>
  <c r="R10" i="16"/>
  <c r="R54" i="16"/>
  <c r="R14" i="16"/>
  <c r="R26" i="16"/>
  <c r="R40" i="16"/>
  <c r="R46" i="16"/>
  <c r="R56" i="15"/>
  <c r="R27" i="15"/>
  <c r="S9" i="16"/>
  <c r="S5" i="16"/>
  <c r="T8" i="16"/>
  <c r="S7" i="16"/>
  <c r="S6" i="16" s="1"/>
  <c r="AN6" i="16" s="1"/>
  <c r="S9" i="15"/>
  <c r="S51" i="15" s="1"/>
  <c r="S7" i="15"/>
  <c r="S6" i="15" s="1"/>
  <c r="T8" i="15"/>
  <c r="S5" i="15"/>
  <c r="R10" i="15"/>
  <c r="R14" i="15"/>
  <c r="R10" i="13"/>
  <c r="R14" i="13"/>
  <c r="T8" i="1"/>
  <c r="S7" i="1"/>
  <c r="S6" i="1" s="1"/>
  <c r="S5" i="1"/>
  <c r="S9" i="1"/>
  <c r="S10" i="1" s="1"/>
  <c r="T8" i="13"/>
  <c r="S5" i="13"/>
  <c r="S9" i="13"/>
  <c r="S7" i="13"/>
  <c r="S6" i="13" s="1"/>
  <c r="AA70" i="10"/>
  <c r="S87" i="16" l="1"/>
  <c r="S70" i="16"/>
  <c r="S73" i="16"/>
  <c r="AN5" i="16"/>
  <c r="AJ75" i="16" a="1"/>
  <c r="AJ75" i="16" s="1"/>
  <c r="AJ89" i="16" a="1"/>
  <c r="AJ89" i="16" s="1"/>
  <c r="AU75" i="16"/>
  <c r="AU89" i="16"/>
  <c r="AK89" i="16" a="1"/>
  <c r="AK89" i="16" s="1"/>
  <c r="AK75" i="16" a="1"/>
  <c r="AK75" i="16" s="1"/>
  <c r="AL89" i="16" a="1"/>
  <c r="AL89" i="16" s="1"/>
  <c r="AL75" i="16" a="1"/>
  <c r="AL75" i="16" s="1"/>
  <c r="AM89" i="16" a="1"/>
  <c r="AM89" i="16" s="1"/>
  <c r="AM75" i="16" a="1"/>
  <c r="AM75" i="16" s="1"/>
  <c r="S10" i="16"/>
  <c r="S26" i="16"/>
  <c r="S40" i="16"/>
  <c r="S46" i="16"/>
  <c r="S54" i="16"/>
  <c r="S14" i="16"/>
  <c r="S56" i="15"/>
  <c r="S27" i="15"/>
  <c r="T9" i="16"/>
  <c r="U8" i="16"/>
  <c r="T7" i="16"/>
  <c r="T6" i="16" s="1"/>
  <c r="T5" i="16"/>
  <c r="T9" i="15"/>
  <c r="T51" i="15" s="1"/>
  <c r="T7" i="15"/>
  <c r="T6" i="15" s="1"/>
  <c r="U8" i="15"/>
  <c r="T5" i="15"/>
  <c r="S10" i="15"/>
  <c r="S14" i="15"/>
  <c r="S10" i="13"/>
  <c r="S14" i="13"/>
  <c r="U8" i="1"/>
  <c r="T5" i="1"/>
  <c r="T9" i="1"/>
  <c r="T10" i="1" s="1"/>
  <c r="T7" i="1"/>
  <c r="T6" i="1" s="1"/>
  <c r="T5" i="13"/>
  <c r="T9" i="13"/>
  <c r="T7" i="13"/>
  <c r="T6" i="13" s="1"/>
  <c r="U8" i="13"/>
  <c r="AB70" i="10"/>
  <c r="AN10" i="16" l="1"/>
  <c r="AN73" i="16" s="1"/>
  <c r="T70" i="16"/>
  <c r="T73" i="16"/>
  <c r="T87" i="16"/>
  <c r="T10" i="16"/>
  <c r="T26" i="16"/>
  <c r="T40" i="16"/>
  <c r="T46" i="16"/>
  <c r="T54" i="16"/>
  <c r="T14" i="16"/>
  <c r="T56" i="15"/>
  <c r="T27" i="15"/>
  <c r="U9" i="16"/>
  <c r="V8" i="16"/>
  <c r="U7" i="16"/>
  <c r="U6" i="16" s="1"/>
  <c r="U5" i="16"/>
  <c r="U9" i="15"/>
  <c r="U51" i="15" s="1"/>
  <c r="U7" i="15"/>
  <c r="U6" i="15" s="1"/>
  <c r="V8" i="15"/>
  <c r="U5" i="15"/>
  <c r="T10" i="15"/>
  <c r="T14" i="15"/>
  <c r="T10" i="13"/>
  <c r="T14" i="13"/>
  <c r="U5" i="1"/>
  <c r="U9" i="1"/>
  <c r="U10" i="1" s="1"/>
  <c r="U7" i="1"/>
  <c r="U6" i="1" s="1"/>
  <c r="V8" i="1"/>
  <c r="U5" i="13"/>
  <c r="U9" i="13"/>
  <c r="V8" i="13"/>
  <c r="U7" i="13"/>
  <c r="U6" i="13" s="1"/>
  <c r="AC70" i="10"/>
  <c r="AN26" i="16" l="1"/>
  <c r="AN70" i="16"/>
  <c r="AN54" i="16"/>
  <c r="AN40" i="16"/>
  <c r="AN46" i="16"/>
  <c r="AN14" i="16"/>
  <c r="AN87" i="16"/>
  <c r="U73" i="16"/>
  <c r="U87" i="16"/>
  <c r="U70" i="16"/>
  <c r="U10" i="16"/>
  <c r="U40" i="16"/>
  <c r="U46" i="16"/>
  <c r="U54" i="16"/>
  <c r="U14" i="16"/>
  <c r="U26" i="16"/>
  <c r="U56" i="15"/>
  <c r="U27" i="15"/>
  <c r="V9" i="16"/>
  <c r="W8" i="16"/>
  <c r="V7" i="16"/>
  <c r="V6" i="16" s="1"/>
  <c r="AO6" i="16" s="1"/>
  <c r="V5" i="16"/>
  <c r="V7" i="15"/>
  <c r="V6" i="15" s="1"/>
  <c r="W8" i="15"/>
  <c r="V5" i="15"/>
  <c r="V9" i="15"/>
  <c r="V51" i="15" s="1"/>
  <c r="U10" i="15"/>
  <c r="U14" i="15"/>
  <c r="U10" i="13"/>
  <c r="U14" i="13"/>
  <c r="V5" i="1"/>
  <c r="V9" i="1"/>
  <c r="V10" i="1" s="1"/>
  <c r="V7" i="1"/>
  <c r="V6" i="1" s="1"/>
  <c r="W8" i="1"/>
  <c r="V9" i="13"/>
  <c r="V7" i="13"/>
  <c r="V6" i="13" s="1"/>
  <c r="V5" i="13"/>
  <c r="W8" i="13"/>
  <c r="AD70" i="10"/>
  <c r="V73" i="16" l="1"/>
  <c r="V87" i="16"/>
  <c r="V70" i="16"/>
  <c r="AO5" i="16"/>
  <c r="V10" i="16"/>
  <c r="V40" i="16"/>
  <c r="V46" i="16"/>
  <c r="V54" i="16"/>
  <c r="V14" i="16"/>
  <c r="V26" i="16"/>
  <c r="V56" i="15"/>
  <c r="V27" i="15"/>
  <c r="W9" i="16"/>
  <c r="X8" i="16"/>
  <c r="W7" i="16"/>
  <c r="W6" i="16" s="1"/>
  <c r="W5" i="16"/>
  <c r="V10" i="15"/>
  <c r="V14" i="15"/>
  <c r="X8" i="15"/>
  <c r="W5" i="15"/>
  <c r="W9" i="15"/>
  <c r="W51" i="15" s="1"/>
  <c r="W7" i="15"/>
  <c r="W6" i="15" s="1"/>
  <c r="V10" i="13"/>
  <c r="V14" i="13"/>
  <c r="W9" i="1"/>
  <c r="W10" i="1" s="1"/>
  <c r="W7" i="1"/>
  <c r="W6" i="1" s="1"/>
  <c r="W5" i="1"/>
  <c r="X8" i="1"/>
  <c r="W9" i="13"/>
  <c r="W7" i="13"/>
  <c r="W6" i="13" s="1"/>
  <c r="W5" i="13"/>
  <c r="X8" i="13"/>
  <c r="AE70" i="10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6" i="11"/>
  <c r="E36" i="11"/>
  <c r="E65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P33" i="10"/>
  <c r="O33" i="10"/>
  <c r="N33" i="10"/>
  <c r="M33" i="10"/>
  <c r="L33" i="10"/>
  <c r="K33" i="10"/>
  <c r="J33" i="10"/>
  <c r="I33" i="10"/>
  <c r="H33" i="10"/>
  <c r="G33" i="10"/>
  <c r="F33" i="10"/>
  <c r="E33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P25" i="10"/>
  <c r="P77" i="16" s="1"/>
  <c r="AM77" i="16" s="1" a="1"/>
  <c r="AM77" i="16" s="1"/>
  <c r="O25" i="10"/>
  <c r="O77" i="16" s="1"/>
  <c r="N25" i="10"/>
  <c r="N77" i="16" s="1"/>
  <c r="M25" i="10"/>
  <c r="M77" i="16" s="1"/>
  <c r="AL77" i="16" s="1" a="1"/>
  <c r="AL77" i="16" s="1"/>
  <c r="L25" i="10"/>
  <c r="L77" i="16" s="1"/>
  <c r="K25" i="10"/>
  <c r="K77" i="16" s="1"/>
  <c r="J25" i="10"/>
  <c r="J77" i="16" s="1"/>
  <c r="I25" i="10"/>
  <c r="I77" i="16" s="1"/>
  <c r="H25" i="10"/>
  <c r="H77" i="16" s="1"/>
  <c r="G25" i="10"/>
  <c r="G77" i="16" s="1"/>
  <c r="AJ77" i="16" s="1" a="1"/>
  <c r="AJ77" i="16" s="1"/>
  <c r="F25" i="10"/>
  <c r="F77" i="16" s="1"/>
  <c r="E25" i="10"/>
  <c r="E77" i="16" s="1"/>
  <c r="P17" i="10"/>
  <c r="P76" i="16" s="1"/>
  <c r="AM76" i="16" s="1" a="1"/>
  <c r="AM76" i="16" s="1"/>
  <c r="O17" i="10"/>
  <c r="O76" i="16" s="1"/>
  <c r="N17" i="10"/>
  <c r="N76" i="16" s="1"/>
  <c r="M17" i="10"/>
  <c r="M76" i="16" s="1"/>
  <c r="AL76" i="16" s="1" a="1"/>
  <c r="AL76" i="16" s="1"/>
  <c r="L17" i="10"/>
  <c r="L76" i="16" s="1"/>
  <c r="K17" i="10"/>
  <c r="K76" i="16" s="1"/>
  <c r="J17" i="10"/>
  <c r="J76" i="16" s="1"/>
  <c r="I17" i="10"/>
  <c r="I76" i="16" s="1"/>
  <c r="H17" i="10"/>
  <c r="H76" i="16" s="1"/>
  <c r="G17" i="10"/>
  <c r="G76" i="16" s="1"/>
  <c r="AJ76" i="16" s="1" a="1"/>
  <c r="AJ76" i="16" s="1"/>
  <c r="F17" i="10"/>
  <c r="F76" i="16" s="1"/>
  <c r="E17" i="10"/>
  <c r="E76" i="16" s="1"/>
  <c r="D38" i="10"/>
  <c r="D37" i="10"/>
  <c r="D36" i="10"/>
  <c r="D33" i="10"/>
  <c r="D32" i="10"/>
  <c r="D29" i="10"/>
  <c r="D28" i="10"/>
  <c r="D27" i="10"/>
  <c r="D26" i="10"/>
  <c r="D25" i="10"/>
  <c r="D77" i="16" s="1"/>
  <c r="D21" i="10"/>
  <c r="D17" i="10"/>
  <c r="D76" i="16" s="1"/>
  <c r="D15" i="10"/>
  <c r="F164" i="10"/>
  <c r="P163" i="10"/>
  <c r="O163" i="10"/>
  <c r="N163" i="10"/>
  <c r="M163" i="10"/>
  <c r="L163" i="10"/>
  <c r="K163" i="10"/>
  <c r="J163" i="10"/>
  <c r="I163" i="10"/>
  <c r="H163" i="10"/>
  <c r="G163" i="10"/>
  <c r="F163" i="10"/>
  <c r="E163" i="10"/>
  <c r="P57" i="10"/>
  <c r="P62" i="10" s="1"/>
  <c r="O57" i="10"/>
  <c r="O62" i="10" s="1"/>
  <c r="N57" i="10"/>
  <c r="N62" i="10" s="1"/>
  <c r="M57" i="10"/>
  <c r="M62" i="10" s="1"/>
  <c r="L57" i="10"/>
  <c r="L62" i="10" s="1"/>
  <c r="K57" i="10"/>
  <c r="K62" i="10" s="1"/>
  <c r="J57" i="10"/>
  <c r="J62" i="10" s="1"/>
  <c r="I57" i="10"/>
  <c r="I62" i="10" s="1"/>
  <c r="H57" i="10"/>
  <c r="H62" i="10" s="1"/>
  <c r="G57" i="10"/>
  <c r="G62" i="10" s="1"/>
  <c r="F57" i="10"/>
  <c r="F62" i="10" s="1"/>
  <c r="E57" i="10"/>
  <c r="E62" i="10" s="1"/>
  <c r="P147" i="4"/>
  <c r="P149" i="4" s="1"/>
  <c r="O147" i="4"/>
  <c r="O149" i="4" s="1"/>
  <c r="N147" i="4"/>
  <c r="N149" i="4" s="1"/>
  <c r="M147" i="4"/>
  <c r="M149" i="4" s="1"/>
  <c r="L147" i="4"/>
  <c r="L149" i="4" s="1"/>
  <c r="K147" i="4"/>
  <c r="K149" i="4" s="1"/>
  <c r="J147" i="4"/>
  <c r="J149" i="4" s="1"/>
  <c r="I147" i="4"/>
  <c r="I149" i="4" s="1"/>
  <c r="H147" i="4"/>
  <c r="H149" i="4" s="1"/>
  <c r="G147" i="4"/>
  <c r="G149" i="4" s="1"/>
  <c r="F147" i="4"/>
  <c r="F149" i="4" s="1"/>
  <c r="E147" i="4"/>
  <c r="E149" i="4" s="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74" i="11"/>
  <c r="E69" i="11"/>
  <c r="E62" i="11"/>
  <c r="E32" i="11"/>
  <c r="E61" i="11"/>
  <c r="E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60" i="11"/>
  <c r="E59" i="11"/>
  <c r="N28" i="4"/>
  <c r="N29" i="4" s="1"/>
  <c r="O29" i="4"/>
  <c r="K32" i="4"/>
  <c r="L32" i="4"/>
  <c r="M32" i="4"/>
  <c r="N32" i="4"/>
  <c r="O32" i="4"/>
  <c r="P32" i="4" s="1"/>
  <c r="Q32" i="4" s="1"/>
  <c r="R32" i="4" s="1"/>
  <c r="J32" i="4"/>
  <c r="I32" i="4"/>
  <c r="H32" i="4"/>
  <c r="G32" i="4"/>
  <c r="F32" i="4"/>
  <c r="E32" i="4"/>
  <c r="F27" i="4"/>
  <c r="G27" i="4" s="1"/>
  <c r="H27" i="4" s="1"/>
  <c r="I27" i="4" s="1"/>
  <c r="J27" i="4" s="1"/>
  <c r="K27" i="4" s="1"/>
  <c r="L27" i="4" s="1"/>
  <c r="M27" i="4" s="1"/>
  <c r="N27" i="4" s="1"/>
  <c r="O27" i="4" s="1"/>
  <c r="T114" i="8"/>
  <c r="U114" i="8" s="1"/>
  <c r="V114" i="8" s="1"/>
  <c r="W114" i="8" s="1"/>
  <c r="X114" i="8" s="1"/>
  <c r="Y114" i="8" s="1"/>
  <c r="Z114" i="8" s="1"/>
  <c r="AA114" i="8" s="1"/>
  <c r="AB114" i="8" s="1"/>
  <c r="AC114" i="8" s="1"/>
  <c r="AD114" i="8" s="1"/>
  <c r="AE114" i="8" s="1"/>
  <c r="AF114" i="8" s="1"/>
  <c r="AG114" i="8" s="1"/>
  <c r="AH114" i="8" s="1"/>
  <c r="T113" i="8"/>
  <c r="U113" i="8" s="1"/>
  <c r="V113" i="8" s="1"/>
  <c r="W113" i="8" s="1"/>
  <c r="X113" i="8" s="1"/>
  <c r="Y113" i="8" s="1"/>
  <c r="Z113" i="8" s="1"/>
  <c r="AA113" i="8" s="1"/>
  <c r="AB113" i="8" s="1"/>
  <c r="AC113" i="8" s="1"/>
  <c r="AD113" i="8" s="1"/>
  <c r="AE113" i="8" s="1"/>
  <c r="AF113" i="8" s="1"/>
  <c r="AG113" i="8" s="1"/>
  <c r="AH113" i="8" s="1"/>
  <c r="T112" i="8"/>
  <c r="U112" i="8" s="1"/>
  <c r="V112" i="8" s="1"/>
  <c r="W112" i="8" s="1"/>
  <c r="X112" i="8" s="1"/>
  <c r="Y112" i="8" s="1"/>
  <c r="Z112" i="8" s="1"/>
  <c r="AA112" i="8" s="1"/>
  <c r="AB112" i="8" s="1"/>
  <c r="AC112" i="8" s="1"/>
  <c r="AD112" i="8" s="1"/>
  <c r="AE112" i="8" s="1"/>
  <c r="AF112" i="8" s="1"/>
  <c r="AG112" i="8" s="1"/>
  <c r="AH112" i="8" s="1"/>
  <c r="T111" i="8"/>
  <c r="U111" i="8" s="1"/>
  <c r="V111" i="8" s="1"/>
  <c r="W111" i="8" s="1"/>
  <c r="X111" i="8" s="1"/>
  <c r="Y111" i="8" s="1"/>
  <c r="Z111" i="8" s="1"/>
  <c r="AA111" i="8" s="1"/>
  <c r="AB111" i="8" s="1"/>
  <c r="AC111" i="8" s="1"/>
  <c r="AD111" i="8" s="1"/>
  <c r="AE111" i="8" s="1"/>
  <c r="AF111" i="8" s="1"/>
  <c r="AG111" i="8" s="1"/>
  <c r="AH111" i="8" s="1"/>
  <c r="T110" i="8"/>
  <c r="U110" i="8" s="1"/>
  <c r="V110" i="8" s="1"/>
  <c r="W110" i="8" s="1"/>
  <c r="X110" i="8" s="1"/>
  <c r="Y110" i="8" s="1"/>
  <c r="Z110" i="8" s="1"/>
  <c r="AA110" i="8" s="1"/>
  <c r="AB110" i="8" s="1"/>
  <c r="AC110" i="8" s="1"/>
  <c r="AD110" i="8" s="1"/>
  <c r="AE110" i="8" s="1"/>
  <c r="AF110" i="8" s="1"/>
  <c r="AG110" i="8" s="1"/>
  <c r="AH110" i="8" s="1"/>
  <c r="T109" i="8"/>
  <c r="U109" i="8" s="1"/>
  <c r="V109" i="8" s="1"/>
  <c r="W109" i="8" s="1"/>
  <c r="X109" i="8" s="1"/>
  <c r="Y109" i="8" s="1"/>
  <c r="Z109" i="8" s="1"/>
  <c r="AA109" i="8" s="1"/>
  <c r="AB109" i="8" s="1"/>
  <c r="AC109" i="8" s="1"/>
  <c r="AD109" i="8" s="1"/>
  <c r="AE109" i="8" s="1"/>
  <c r="AF109" i="8" s="1"/>
  <c r="AG109" i="8" s="1"/>
  <c r="AH109" i="8" s="1"/>
  <c r="T107" i="8"/>
  <c r="U107" i="8" s="1"/>
  <c r="V107" i="8" s="1"/>
  <c r="W107" i="8" s="1"/>
  <c r="X107" i="8" s="1"/>
  <c r="Y107" i="8" s="1"/>
  <c r="Z107" i="8" s="1"/>
  <c r="AA107" i="8" s="1"/>
  <c r="AB107" i="8" s="1"/>
  <c r="AC107" i="8" s="1"/>
  <c r="AD107" i="8" s="1"/>
  <c r="AE107" i="8" s="1"/>
  <c r="AF107" i="8" s="1"/>
  <c r="AG107" i="8" s="1"/>
  <c r="AH107" i="8" s="1"/>
  <c r="T106" i="8"/>
  <c r="U106" i="8" s="1"/>
  <c r="V106" i="8" s="1"/>
  <c r="W106" i="8" s="1"/>
  <c r="X106" i="8" s="1"/>
  <c r="Y106" i="8" s="1"/>
  <c r="Z106" i="8" s="1"/>
  <c r="AA106" i="8" s="1"/>
  <c r="AB106" i="8" s="1"/>
  <c r="AC106" i="8" s="1"/>
  <c r="AD106" i="8" s="1"/>
  <c r="AE106" i="8" s="1"/>
  <c r="AF106" i="8" s="1"/>
  <c r="AG106" i="8" s="1"/>
  <c r="AH106" i="8" s="1"/>
  <c r="T105" i="8"/>
  <c r="U105" i="8" s="1"/>
  <c r="V105" i="8" s="1"/>
  <c r="W105" i="8" s="1"/>
  <c r="X105" i="8" s="1"/>
  <c r="Y105" i="8" s="1"/>
  <c r="Z105" i="8" s="1"/>
  <c r="AA105" i="8" s="1"/>
  <c r="AB105" i="8" s="1"/>
  <c r="AC105" i="8" s="1"/>
  <c r="AD105" i="8" s="1"/>
  <c r="AE105" i="8" s="1"/>
  <c r="AF105" i="8" s="1"/>
  <c r="AG105" i="8" s="1"/>
  <c r="AH105" i="8" s="1"/>
  <c r="T104" i="8"/>
  <c r="T81" i="8"/>
  <c r="T80" i="8"/>
  <c r="U93" i="8"/>
  <c r="V93" i="8" s="1"/>
  <c r="W93" i="8" s="1"/>
  <c r="X93" i="8" s="1"/>
  <c r="Y93" i="8" s="1"/>
  <c r="Z93" i="8" s="1"/>
  <c r="AA93" i="8" s="1"/>
  <c r="AB93" i="8" s="1"/>
  <c r="AC93" i="8" s="1"/>
  <c r="AD93" i="8" s="1"/>
  <c r="AE93" i="8" s="1"/>
  <c r="AF93" i="8" s="1"/>
  <c r="AG93" i="8" s="1"/>
  <c r="AH93" i="8" s="1"/>
  <c r="R93" i="8"/>
  <c r="S93" i="8" s="1"/>
  <c r="P148" i="8"/>
  <c r="P147" i="8" s="1"/>
  <c r="O148" i="8"/>
  <c r="O147" i="8" s="1"/>
  <c r="N148" i="8"/>
  <c r="N147" i="8" s="1"/>
  <c r="M148" i="8"/>
  <c r="M147" i="8" s="1"/>
  <c r="L148" i="8"/>
  <c r="K148" i="8"/>
  <c r="J148" i="8"/>
  <c r="J154" i="8" s="1"/>
  <c r="I148" i="8"/>
  <c r="I156" i="8" s="1"/>
  <c r="I30" i="8" s="1"/>
  <c r="H148" i="8"/>
  <c r="H156" i="8" s="1"/>
  <c r="H30" i="8" s="1"/>
  <c r="G148" i="8"/>
  <c r="G147" i="8" s="1"/>
  <c r="F148" i="8"/>
  <c r="F156" i="8" s="1"/>
  <c r="F30" i="8" s="1"/>
  <c r="E148" i="8"/>
  <c r="E154" i="8" s="1"/>
  <c r="Q152" i="8"/>
  <c r="R152" i="8" s="1"/>
  <c r="S152" i="8" s="1"/>
  <c r="T152" i="8" s="1"/>
  <c r="U152" i="8" s="1"/>
  <c r="V152" i="8" s="1"/>
  <c r="W152" i="8" s="1"/>
  <c r="X152" i="8" s="1"/>
  <c r="Y152" i="8" s="1"/>
  <c r="Z152" i="8" s="1"/>
  <c r="AA152" i="8" s="1"/>
  <c r="AB152" i="8" s="1"/>
  <c r="AC152" i="8" s="1"/>
  <c r="AD152" i="8" s="1"/>
  <c r="AE152" i="8" s="1"/>
  <c r="AF152" i="8" s="1"/>
  <c r="AG152" i="8" s="1"/>
  <c r="AH152" i="8" s="1"/>
  <c r="S151" i="8"/>
  <c r="R150" i="8"/>
  <c r="Q151" i="8"/>
  <c r="Q121" i="8"/>
  <c r="R121" i="8" s="1"/>
  <c r="S121" i="8" s="1"/>
  <c r="T121" i="8" s="1"/>
  <c r="U121" i="8" s="1"/>
  <c r="V121" i="8" s="1"/>
  <c r="W121" i="8" s="1"/>
  <c r="X121" i="8" s="1"/>
  <c r="Y121" i="8" s="1"/>
  <c r="Z121" i="8" s="1"/>
  <c r="AA121" i="8" s="1"/>
  <c r="AB121" i="8" s="1"/>
  <c r="AC121" i="8" s="1"/>
  <c r="AD121" i="8" s="1"/>
  <c r="AE121" i="8" s="1"/>
  <c r="AF121" i="8" s="1"/>
  <c r="AG121" i="8" s="1"/>
  <c r="AH121" i="8" s="1"/>
  <c r="Q120" i="8"/>
  <c r="R120" i="8" s="1"/>
  <c r="S120" i="8" s="1"/>
  <c r="T120" i="8" s="1"/>
  <c r="U120" i="8" s="1"/>
  <c r="V120" i="8" s="1"/>
  <c r="W120" i="8" s="1"/>
  <c r="X120" i="8" s="1"/>
  <c r="Y120" i="8" s="1"/>
  <c r="Z120" i="8" s="1"/>
  <c r="AA120" i="8" s="1"/>
  <c r="AB120" i="8" s="1"/>
  <c r="AC120" i="8" s="1"/>
  <c r="AD120" i="8" s="1"/>
  <c r="AE120" i="8" s="1"/>
  <c r="AF120" i="8" s="1"/>
  <c r="AG120" i="8" s="1"/>
  <c r="AH120" i="8" s="1"/>
  <c r="Q119" i="8"/>
  <c r="R119" i="8" s="1"/>
  <c r="S119" i="8" s="1"/>
  <c r="T119" i="8" s="1"/>
  <c r="U119" i="8" s="1"/>
  <c r="V119" i="8" s="1"/>
  <c r="W119" i="8" s="1"/>
  <c r="X119" i="8" s="1"/>
  <c r="Y119" i="8" s="1"/>
  <c r="Z119" i="8" s="1"/>
  <c r="AA119" i="8" s="1"/>
  <c r="AB119" i="8" s="1"/>
  <c r="AC119" i="8" s="1"/>
  <c r="AD119" i="8" s="1"/>
  <c r="AE119" i="8" s="1"/>
  <c r="AF119" i="8" s="1"/>
  <c r="AG119" i="8" s="1"/>
  <c r="AH119" i="8" s="1"/>
  <c r="Q118" i="8"/>
  <c r="Q127" i="8" s="1"/>
  <c r="P181" i="8"/>
  <c r="O181" i="8"/>
  <c r="N181" i="8"/>
  <c r="M181" i="8"/>
  <c r="L181" i="8"/>
  <c r="K181" i="8"/>
  <c r="J181" i="8"/>
  <c r="I181" i="8"/>
  <c r="H181" i="8"/>
  <c r="G181" i="8"/>
  <c r="F181" i="8"/>
  <c r="E181" i="8"/>
  <c r="Q85" i="8"/>
  <c r="R85" i="8" s="1"/>
  <c r="S85" i="8" s="1"/>
  <c r="T85" i="8" s="1"/>
  <c r="U85" i="8" s="1"/>
  <c r="V85" i="8" s="1"/>
  <c r="W85" i="8" s="1"/>
  <c r="X85" i="8" s="1"/>
  <c r="Y85" i="8" s="1"/>
  <c r="Z85" i="8" s="1"/>
  <c r="AA85" i="8" s="1"/>
  <c r="AB85" i="8" s="1"/>
  <c r="AC85" i="8" s="1"/>
  <c r="AD85" i="8" s="1"/>
  <c r="AE85" i="8" s="1"/>
  <c r="AF85" i="8" s="1"/>
  <c r="AG85" i="8" s="1"/>
  <c r="AH85" i="8" s="1"/>
  <c r="Q86" i="8"/>
  <c r="R86" i="8" s="1"/>
  <c r="E5" i="8"/>
  <c r="E7" i="8"/>
  <c r="E6" i="8" s="1"/>
  <c r="F8" i="8"/>
  <c r="G8" i="8" s="1"/>
  <c r="E9" i="8"/>
  <c r="E78" i="8" s="1"/>
  <c r="E15" i="8"/>
  <c r="F15" i="8"/>
  <c r="G15" i="8"/>
  <c r="H15" i="8"/>
  <c r="I15" i="8"/>
  <c r="J15" i="8"/>
  <c r="K15" i="8"/>
  <c r="L15" i="8"/>
  <c r="M15" i="8"/>
  <c r="N15" i="8"/>
  <c r="O15" i="8"/>
  <c r="P15" i="8"/>
  <c r="F45" i="8"/>
  <c r="G45" i="8" s="1"/>
  <c r="H45" i="8" s="1"/>
  <c r="E48" i="8"/>
  <c r="F48" i="8"/>
  <c r="G48" i="8"/>
  <c r="H48" i="8"/>
  <c r="I48" i="8"/>
  <c r="J48" i="8"/>
  <c r="K48" i="8"/>
  <c r="L48" i="8"/>
  <c r="M48" i="8"/>
  <c r="N48" i="8"/>
  <c r="O48" i="8"/>
  <c r="P48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 s="1"/>
  <c r="R70" i="8" s="1"/>
  <c r="E74" i="8"/>
  <c r="E75" i="8" s="1"/>
  <c r="F74" i="8"/>
  <c r="F75" i="8" s="1"/>
  <c r="G74" i="8"/>
  <c r="G75" i="8" s="1"/>
  <c r="H74" i="8"/>
  <c r="H75" i="8" s="1"/>
  <c r="I74" i="8"/>
  <c r="I75" i="8" s="1"/>
  <c r="J74" i="8"/>
  <c r="K74" i="8"/>
  <c r="K75" i="8" s="1"/>
  <c r="L74" i="8"/>
  <c r="L75" i="8" s="1"/>
  <c r="M74" i="8"/>
  <c r="M75" i="8" s="1"/>
  <c r="N74" i="8"/>
  <c r="N75" i="8" s="1"/>
  <c r="O74" i="8"/>
  <c r="O75" i="8" s="1"/>
  <c r="P74" i="8"/>
  <c r="P75" i="8" s="1"/>
  <c r="Q75" i="8" s="1"/>
  <c r="R75" i="8" s="1"/>
  <c r="S75" i="8" s="1"/>
  <c r="J75" i="8"/>
  <c r="E82" i="8"/>
  <c r="F82" i="8"/>
  <c r="F97" i="8" s="1"/>
  <c r="F99" i="8" s="1"/>
  <c r="G82" i="8"/>
  <c r="H82" i="8"/>
  <c r="I82" i="8"/>
  <c r="J82" i="8"/>
  <c r="K82" i="8"/>
  <c r="L82" i="8"/>
  <c r="M82" i="8"/>
  <c r="N82" i="8"/>
  <c r="O82" i="8"/>
  <c r="P82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 s="1"/>
  <c r="E90" i="8"/>
  <c r="F90" i="8"/>
  <c r="G90" i="8"/>
  <c r="G97" i="8" s="1"/>
  <c r="H90" i="8"/>
  <c r="H97" i="8" s="1"/>
  <c r="I90" i="8"/>
  <c r="J90" i="8"/>
  <c r="J97" i="8" s="1"/>
  <c r="J22" i="8" s="1"/>
  <c r="K90" i="8"/>
  <c r="K97" i="8" s="1"/>
  <c r="K99" i="8" s="1"/>
  <c r="L90" i="8"/>
  <c r="M90" i="8"/>
  <c r="N90" i="8"/>
  <c r="N97" i="8" s="1"/>
  <c r="N22" i="8" s="1"/>
  <c r="O90" i="8"/>
  <c r="O97" i="8" s="1"/>
  <c r="O99" i="8" s="1"/>
  <c r="P90" i="8"/>
  <c r="P97" i="8" s="1"/>
  <c r="E94" i="8"/>
  <c r="F94" i="8"/>
  <c r="G94" i="8"/>
  <c r="H94" i="8"/>
  <c r="I94" i="8"/>
  <c r="J94" i="8"/>
  <c r="K94" i="8"/>
  <c r="L94" i="8"/>
  <c r="M94" i="8"/>
  <c r="N94" i="8"/>
  <c r="O94" i="8"/>
  <c r="P94" i="8"/>
  <c r="Q94" i="8" s="1"/>
  <c r="R94" i="8" s="1"/>
  <c r="S94" i="8" s="1"/>
  <c r="T94" i="8" s="1"/>
  <c r="U94" i="8" s="1"/>
  <c r="V94" i="8" s="1"/>
  <c r="W94" i="8" s="1"/>
  <c r="X94" i="8" s="1"/>
  <c r="Y94" i="8" s="1"/>
  <c r="Z94" i="8" s="1"/>
  <c r="AA94" i="8" s="1"/>
  <c r="AB94" i="8" s="1"/>
  <c r="AC94" i="8" s="1"/>
  <c r="AD94" i="8" s="1"/>
  <c r="AE94" i="8" s="1"/>
  <c r="AF94" i="8" s="1"/>
  <c r="AG94" i="8" s="1"/>
  <c r="AH94" i="8" s="1"/>
  <c r="E115" i="8"/>
  <c r="E25" i="8" s="1"/>
  <c r="F115" i="8"/>
  <c r="F25" i="8" s="1"/>
  <c r="G115" i="8"/>
  <c r="G25" i="8" s="1"/>
  <c r="H115" i="8"/>
  <c r="H25" i="8" s="1"/>
  <c r="I115" i="8"/>
  <c r="I25" i="8" s="1"/>
  <c r="J115" i="8"/>
  <c r="J25" i="8" s="1"/>
  <c r="K115" i="8"/>
  <c r="K25" i="8" s="1"/>
  <c r="L115" i="8"/>
  <c r="M115" i="8"/>
  <c r="M25" i="8" s="1"/>
  <c r="N115" i="8"/>
  <c r="N25" i="8" s="1"/>
  <c r="O115" i="8"/>
  <c r="O25" i="8" s="1"/>
  <c r="P115" i="8"/>
  <c r="P25" i="8" s="1"/>
  <c r="E124" i="8"/>
  <c r="F124" i="8"/>
  <c r="G124" i="8"/>
  <c r="H124" i="8"/>
  <c r="I124" i="8"/>
  <c r="I128" i="8" s="1"/>
  <c r="I139" i="8" s="1"/>
  <c r="J124" i="8"/>
  <c r="J128" i="8" s="1"/>
  <c r="J139" i="8" s="1"/>
  <c r="K124" i="8"/>
  <c r="L124" i="8"/>
  <c r="M124" i="8"/>
  <c r="N124" i="8"/>
  <c r="O124" i="8"/>
  <c r="P124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 s="1"/>
  <c r="E137" i="8"/>
  <c r="E27" i="8" s="1"/>
  <c r="F137" i="8"/>
  <c r="F27" i="8" s="1"/>
  <c r="G137" i="8"/>
  <c r="G27" i="8" s="1"/>
  <c r="H137" i="8"/>
  <c r="I137" i="8"/>
  <c r="I27" i="8" s="1"/>
  <c r="J137" i="8"/>
  <c r="J27" i="8" s="1"/>
  <c r="K137" i="8"/>
  <c r="K27" i="8" s="1"/>
  <c r="L137" i="8"/>
  <c r="L27" i="8" s="1"/>
  <c r="M137" i="8"/>
  <c r="M27" i="8" s="1"/>
  <c r="N137" i="8"/>
  <c r="O137" i="8"/>
  <c r="O27" i="8" s="1"/>
  <c r="P137" i="8"/>
  <c r="K147" i="8"/>
  <c r="L147" i="8"/>
  <c r="H154" i="8"/>
  <c r="I154" i="8"/>
  <c r="K154" i="8"/>
  <c r="L154" i="8"/>
  <c r="E156" i="8"/>
  <c r="E30" i="8" s="1"/>
  <c r="G156" i="8"/>
  <c r="G30" i="8" s="1"/>
  <c r="K156" i="8"/>
  <c r="K30" i="8" s="1"/>
  <c r="L156" i="8"/>
  <c r="L30" i="8" s="1"/>
  <c r="E164" i="8"/>
  <c r="E165" i="8" s="1"/>
  <c r="F164" i="8"/>
  <c r="G164" i="8"/>
  <c r="G165" i="8" s="1"/>
  <c r="H164" i="8"/>
  <c r="H165" i="8" s="1"/>
  <c r="I164" i="8"/>
  <c r="I165" i="8" s="1"/>
  <c r="J164" i="8"/>
  <c r="J165" i="8" s="1"/>
  <c r="K164" i="8"/>
  <c r="K165" i="8" s="1"/>
  <c r="L164" i="8"/>
  <c r="L165" i="8" s="1"/>
  <c r="M164" i="8"/>
  <c r="N164" i="8"/>
  <c r="N165" i="8" s="1"/>
  <c r="O164" i="8"/>
  <c r="O165" i="8" s="1"/>
  <c r="P164" i="8"/>
  <c r="P165" i="8" s="1"/>
  <c r="Q165" i="8" s="1"/>
  <c r="R165" i="8" s="1"/>
  <c r="S165" i="8" s="1"/>
  <c r="T165" i="8" s="1"/>
  <c r="U165" i="8" s="1"/>
  <c r="V165" i="8" s="1"/>
  <c r="W165" i="8" s="1"/>
  <c r="X165" i="8" s="1"/>
  <c r="Y165" i="8" s="1"/>
  <c r="Z165" i="8" s="1"/>
  <c r="AA165" i="8" s="1"/>
  <c r="AB165" i="8" s="1"/>
  <c r="AC165" i="8" s="1"/>
  <c r="AD165" i="8" s="1"/>
  <c r="AE165" i="8" s="1"/>
  <c r="AF165" i="8" s="1"/>
  <c r="AG165" i="8" s="1"/>
  <c r="AH165" i="8" s="1"/>
  <c r="F165" i="8"/>
  <c r="M165" i="8"/>
  <c r="E173" i="8"/>
  <c r="E33" i="8" s="1"/>
  <c r="F173" i="8"/>
  <c r="G173" i="8"/>
  <c r="G33" i="8" s="1"/>
  <c r="H173" i="8"/>
  <c r="H33" i="8" s="1"/>
  <c r="I173" i="8"/>
  <c r="I33" i="8" s="1"/>
  <c r="J173" i="8"/>
  <c r="J33" i="8" s="1"/>
  <c r="K173" i="8"/>
  <c r="K33" i="8" s="1"/>
  <c r="L173" i="8"/>
  <c r="M173" i="8"/>
  <c r="M33" i="8" s="1"/>
  <c r="N173" i="8"/>
  <c r="O173" i="8"/>
  <c r="O33" i="8" s="1"/>
  <c r="P173" i="8"/>
  <c r="P33" i="8" s="1"/>
  <c r="E185" i="8"/>
  <c r="E34" i="8" s="1"/>
  <c r="F185" i="8"/>
  <c r="G185" i="8"/>
  <c r="G34" i="8" s="1"/>
  <c r="H185" i="8"/>
  <c r="I185" i="8"/>
  <c r="J185" i="8"/>
  <c r="K185" i="8"/>
  <c r="K34" i="8" s="1"/>
  <c r="L185" i="8"/>
  <c r="L34" i="8" s="1"/>
  <c r="M185" i="8"/>
  <c r="M34" i="8" s="1"/>
  <c r="N185" i="8"/>
  <c r="N34" i="8" s="1"/>
  <c r="O185" i="8"/>
  <c r="P185" i="8"/>
  <c r="P34" i="8" s="1"/>
  <c r="E20" i="8"/>
  <c r="F20" i="8"/>
  <c r="G20" i="8"/>
  <c r="H20" i="8"/>
  <c r="I20" i="8"/>
  <c r="J20" i="8"/>
  <c r="K20" i="8"/>
  <c r="L20" i="8"/>
  <c r="M20" i="8"/>
  <c r="N20" i="8"/>
  <c r="O20" i="8"/>
  <c r="P20" i="8"/>
  <c r="E21" i="8"/>
  <c r="F21" i="8"/>
  <c r="G21" i="8"/>
  <c r="H21" i="8"/>
  <c r="I21" i="8"/>
  <c r="J21" i="8"/>
  <c r="K21" i="8"/>
  <c r="L21" i="8"/>
  <c r="M21" i="8"/>
  <c r="N21" i="8"/>
  <c r="O21" i="8"/>
  <c r="P21" i="8"/>
  <c r="H27" i="8"/>
  <c r="N27" i="8"/>
  <c r="P27" i="8"/>
  <c r="E31" i="8"/>
  <c r="F31" i="8"/>
  <c r="G31" i="8"/>
  <c r="H31" i="8"/>
  <c r="I31" i="8"/>
  <c r="J31" i="8"/>
  <c r="K31" i="8"/>
  <c r="L31" i="8"/>
  <c r="M31" i="8"/>
  <c r="N31" i="8"/>
  <c r="O31" i="8"/>
  <c r="P31" i="8"/>
  <c r="E32" i="8"/>
  <c r="F32" i="8"/>
  <c r="G32" i="8"/>
  <c r="H32" i="8"/>
  <c r="I32" i="8"/>
  <c r="J32" i="8"/>
  <c r="K32" i="8"/>
  <c r="L32" i="8"/>
  <c r="M32" i="8"/>
  <c r="N32" i="8"/>
  <c r="O32" i="8"/>
  <c r="P32" i="8"/>
  <c r="F33" i="8"/>
  <c r="L33" i="8"/>
  <c r="N33" i="8"/>
  <c r="J34" i="8"/>
  <c r="AH173" i="8"/>
  <c r="AH33" i="8" s="1"/>
  <c r="AG173" i="8"/>
  <c r="AG33" i="8" s="1"/>
  <c r="AF173" i="8"/>
  <c r="AF33" i="8" s="1"/>
  <c r="AE173" i="8"/>
  <c r="AE33" i="8" s="1"/>
  <c r="AD173" i="8"/>
  <c r="AC173" i="8"/>
  <c r="AC33" i="8" s="1"/>
  <c r="AB173" i="8"/>
  <c r="AA173" i="8"/>
  <c r="AA33" i="8" s="1"/>
  <c r="Z173" i="8"/>
  <c r="Y173" i="8"/>
  <c r="Y33" i="8" s="1"/>
  <c r="X173" i="8"/>
  <c r="X33" i="8" s="1"/>
  <c r="W173" i="8"/>
  <c r="W33" i="8" s="1"/>
  <c r="V173" i="8"/>
  <c r="V33" i="8" s="1"/>
  <c r="U173" i="8"/>
  <c r="U33" i="8" s="1"/>
  <c r="T173" i="8"/>
  <c r="T33" i="8" s="1"/>
  <c r="S173" i="8"/>
  <c r="S33" i="8" s="1"/>
  <c r="R173" i="8"/>
  <c r="R33" i="8" s="1"/>
  <c r="Q173" i="8"/>
  <c r="Q33" i="8" s="1"/>
  <c r="Q131" i="8"/>
  <c r="R131" i="8" s="1"/>
  <c r="S131" i="8" s="1"/>
  <c r="Q132" i="8"/>
  <c r="S115" i="8"/>
  <c r="S25" i="8" s="1"/>
  <c r="R115" i="8"/>
  <c r="R25" i="8" s="1"/>
  <c r="Q115" i="8"/>
  <c r="Q25" i="8" s="1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S82" i="8"/>
  <c r="R82" i="8"/>
  <c r="Q82" i="8"/>
  <c r="C95" i="8"/>
  <c r="C90" i="8"/>
  <c r="C82" i="8"/>
  <c r="R69" i="8"/>
  <c r="T69" i="8" s="1"/>
  <c r="U69" i="8" s="1"/>
  <c r="V69" i="8" s="1"/>
  <c r="AD33" i="8"/>
  <c r="AB33" i="8"/>
  <c r="Z33" i="8"/>
  <c r="C185" i="8"/>
  <c r="C173" i="8"/>
  <c r="C166" i="8"/>
  <c r="C161" i="8"/>
  <c r="C156" i="8"/>
  <c r="C137" i="8"/>
  <c r="C128" i="8"/>
  <c r="C115" i="8"/>
  <c r="C97" i="8"/>
  <c r="C76" i="8"/>
  <c r="C71" i="8"/>
  <c r="C187" i="8"/>
  <c r="C139" i="8"/>
  <c r="C99" i="8"/>
  <c r="P150" i="10"/>
  <c r="O150" i="10"/>
  <c r="N150" i="10"/>
  <c r="L150" i="10"/>
  <c r="K150" i="10"/>
  <c r="J150" i="10"/>
  <c r="I150" i="10"/>
  <c r="H150" i="10"/>
  <c r="G150" i="10"/>
  <c r="F150" i="10"/>
  <c r="E150" i="10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D82" i="16" l="1"/>
  <c r="D84" i="16"/>
  <c r="D85" i="16" s="1"/>
  <c r="AK76" i="16" a="1"/>
  <c r="AK76" i="16" s="1"/>
  <c r="AU76" i="16"/>
  <c r="AK77" i="16" a="1"/>
  <c r="AK77" i="16" s="1"/>
  <c r="AU77" i="16"/>
  <c r="W70" i="16"/>
  <c r="W87" i="16"/>
  <c r="W73" i="16"/>
  <c r="AO10" i="16"/>
  <c r="W10" i="16"/>
  <c r="W46" i="16"/>
  <c r="W54" i="16"/>
  <c r="W14" i="16"/>
  <c r="W40" i="16"/>
  <c r="W26" i="16"/>
  <c r="W56" i="15"/>
  <c r="W27" i="15"/>
  <c r="X9" i="16"/>
  <c r="X5" i="16"/>
  <c r="Y8" i="16"/>
  <c r="X7" i="16"/>
  <c r="X6" i="16" s="1"/>
  <c r="W14" i="15"/>
  <c r="W10" i="15"/>
  <c r="Y8" i="15"/>
  <c r="X5" i="15"/>
  <c r="X9" i="15"/>
  <c r="X51" i="15" s="1"/>
  <c r="X7" i="15"/>
  <c r="X6" i="15" s="1"/>
  <c r="E97" i="8"/>
  <c r="E99" i="8" s="1"/>
  <c r="M156" i="8"/>
  <c r="M30" i="8" s="1"/>
  <c r="L128" i="8"/>
  <c r="L26" i="8" s="1"/>
  <c r="Q124" i="8"/>
  <c r="T115" i="8"/>
  <c r="T25" i="8" s="1"/>
  <c r="P156" i="8"/>
  <c r="P30" i="8" s="1"/>
  <c r="O128" i="8"/>
  <c r="O26" i="8" s="1"/>
  <c r="O28" i="8" s="1"/>
  <c r="G128" i="8"/>
  <c r="G139" i="8" s="1"/>
  <c r="L97" i="8"/>
  <c r="L99" i="8" s="1"/>
  <c r="Q148" i="8"/>
  <c r="H147" i="8"/>
  <c r="R148" i="8"/>
  <c r="T82" i="8"/>
  <c r="R88" i="8"/>
  <c r="S88" i="8" s="1"/>
  <c r="T88" i="8" s="1"/>
  <c r="U88" i="8" s="1"/>
  <c r="V88" i="8" s="1"/>
  <c r="W88" i="8" s="1"/>
  <c r="X88" i="8" s="1"/>
  <c r="Y88" i="8" s="1"/>
  <c r="Z88" i="8" s="1"/>
  <c r="AA88" i="8" s="1"/>
  <c r="AB88" i="8" s="1"/>
  <c r="AC88" i="8" s="1"/>
  <c r="AD88" i="8" s="1"/>
  <c r="AE88" i="8" s="1"/>
  <c r="AF88" i="8" s="1"/>
  <c r="AG88" i="8" s="1"/>
  <c r="AH88" i="8" s="1"/>
  <c r="Q89" i="8"/>
  <c r="Q90" i="8" s="1"/>
  <c r="E130" i="8"/>
  <c r="S150" i="8"/>
  <c r="N156" i="8"/>
  <c r="N30" i="8" s="1"/>
  <c r="N35" i="8" s="1"/>
  <c r="P154" i="8"/>
  <c r="F154" i="8"/>
  <c r="F147" i="8"/>
  <c r="O156" i="8"/>
  <c r="O30" i="8" s="1"/>
  <c r="G154" i="8"/>
  <c r="O154" i="8"/>
  <c r="E41" i="8"/>
  <c r="U104" i="8"/>
  <c r="V104" i="8" s="1"/>
  <c r="W104" i="8" s="1"/>
  <c r="F187" i="8"/>
  <c r="N154" i="8"/>
  <c r="E163" i="8"/>
  <c r="E19" i="8"/>
  <c r="M128" i="8"/>
  <c r="M139" i="8" s="1"/>
  <c r="E128" i="8"/>
  <c r="E139" i="8" s="1"/>
  <c r="Q181" i="8"/>
  <c r="R181" i="8" s="1"/>
  <c r="S181" i="8" s="1"/>
  <c r="T181" i="8" s="1"/>
  <c r="U181" i="8" s="1"/>
  <c r="V181" i="8" s="1"/>
  <c r="W181" i="8" s="1"/>
  <c r="X181" i="8" s="1"/>
  <c r="Y181" i="8" s="1"/>
  <c r="Z181" i="8" s="1"/>
  <c r="AA181" i="8" s="1"/>
  <c r="AB181" i="8" s="1"/>
  <c r="AC181" i="8" s="1"/>
  <c r="AD181" i="8" s="1"/>
  <c r="AE181" i="8" s="1"/>
  <c r="AF181" i="8" s="1"/>
  <c r="AG181" i="8" s="1"/>
  <c r="AH181" i="8" s="1"/>
  <c r="H187" i="8"/>
  <c r="E168" i="8"/>
  <c r="P128" i="8"/>
  <c r="P26" i="8" s="1"/>
  <c r="P28" i="8" s="1"/>
  <c r="H128" i="8"/>
  <c r="H26" i="8" s="1"/>
  <c r="H28" i="8" s="1"/>
  <c r="L139" i="8"/>
  <c r="G164" i="10"/>
  <c r="G29" i="10" s="1"/>
  <c r="F223" i="10"/>
  <c r="W10" i="13"/>
  <c r="W14" i="13"/>
  <c r="Q149" i="4"/>
  <c r="X9" i="1"/>
  <c r="X10" i="1" s="1"/>
  <c r="X7" i="1"/>
  <c r="X6" i="1" s="1"/>
  <c r="Y8" i="1"/>
  <c r="X5" i="1"/>
  <c r="X9" i="13"/>
  <c r="X7" i="13"/>
  <c r="X6" i="13" s="1"/>
  <c r="Y8" i="13"/>
  <c r="X5" i="13"/>
  <c r="AF70" i="10"/>
  <c r="L63" i="11"/>
  <c r="T63" i="11"/>
  <c r="AB63" i="11"/>
  <c r="F29" i="10"/>
  <c r="D30" i="10"/>
  <c r="D34" i="10" s="1"/>
  <c r="D18" i="10"/>
  <c r="I63" i="11"/>
  <c r="Q63" i="11"/>
  <c r="Y63" i="11"/>
  <c r="AG63" i="11"/>
  <c r="F63" i="11"/>
  <c r="N63" i="11"/>
  <c r="V63" i="11"/>
  <c r="AD63" i="11"/>
  <c r="E63" i="11"/>
  <c r="U63" i="11"/>
  <c r="AF63" i="11"/>
  <c r="J63" i="11"/>
  <c r="H63" i="11"/>
  <c r="P63" i="11"/>
  <c r="X63" i="11"/>
  <c r="K63" i="11"/>
  <c r="S63" i="11"/>
  <c r="AA63" i="11"/>
  <c r="R63" i="11"/>
  <c r="Z63" i="11"/>
  <c r="AH63" i="11"/>
  <c r="M63" i="11"/>
  <c r="AC63" i="11"/>
  <c r="G63" i="11"/>
  <c r="O63" i="11"/>
  <c r="W63" i="11"/>
  <c r="AE63" i="11"/>
  <c r="M28" i="4"/>
  <c r="M29" i="4" s="1"/>
  <c r="P27" i="4"/>
  <c r="Q27" i="4" s="1"/>
  <c r="R27" i="4" s="1"/>
  <c r="P29" i="4"/>
  <c r="M97" i="8"/>
  <c r="M99" i="8" s="1"/>
  <c r="I97" i="8"/>
  <c r="I99" i="8" s="1"/>
  <c r="P187" i="8"/>
  <c r="J147" i="8"/>
  <c r="J156" i="8"/>
  <c r="J30" i="8" s="1"/>
  <c r="J35" i="8" s="1"/>
  <c r="I147" i="8"/>
  <c r="I187" i="8"/>
  <c r="M154" i="8"/>
  <c r="E147" i="8"/>
  <c r="T151" i="8"/>
  <c r="U151" i="8" s="1"/>
  <c r="V151" i="8" s="1"/>
  <c r="W151" i="8" s="1"/>
  <c r="X151" i="8" s="1"/>
  <c r="Y151" i="8" s="1"/>
  <c r="Z151" i="8" s="1"/>
  <c r="AA151" i="8" s="1"/>
  <c r="AB151" i="8" s="1"/>
  <c r="AC151" i="8" s="1"/>
  <c r="AD151" i="8" s="1"/>
  <c r="AE151" i="8" s="1"/>
  <c r="AF151" i="8" s="1"/>
  <c r="AG151" i="8" s="1"/>
  <c r="AH151" i="8" s="1"/>
  <c r="G5" i="8"/>
  <c r="H8" i="8"/>
  <c r="H5" i="8" s="1"/>
  <c r="G9" i="8"/>
  <c r="G103" i="8" s="1"/>
  <c r="H139" i="8"/>
  <c r="L25" i="8"/>
  <c r="L28" i="8" s="1"/>
  <c r="K22" i="8"/>
  <c r="K23" i="8" s="1"/>
  <c r="G35" i="8"/>
  <c r="E143" i="8"/>
  <c r="K128" i="8"/>
  <c r="K26" i="8" s="1"/>
  <c r="K28" i="8" s="1"/>
  <c r="E68" i="8"/>
  <c r="E10" i="8"/>
  <c r="F7" i="8"/>
  <c r="F6" i="8" s="1"/>
  <c r="M187" i="8"/>
  <c r="E187" i="8"/>
  <c r="E158" i="8"/>
  <c r="E103" i="8"/>
  <c r="E73" i="8"/>
  <c r="F9" i="8"/>
  <c r="F143" i="8" s="1"/>
  <c r="S86" i="8"/>
  <c r="S89" i="8" s="1"/>
  <c r="F5" i="8"/>
  <c r="R118" i="8"/>
  <c r="E117" i="8"/>
  <c r="F34" i="8"/>
  <c r="F35" i="8" s="1"/>
  <c r="E175" i="8"/>
  <c r="N128" i="8"/>
  <c r="N26" i="8" s="1"/>
  <c r="N28" i="8" s="1"/>
  <c r="F128" i="8"/>
  <c r="F139" i="8" s="1"/>
  <c r="M26" i="8"/>
  <c r="M28" i="8" s="1"/>
  <c r="K139" i="8"/>
  <c r="J26" i="8"/>
  <c r="J28" i="8" s="1"/>
  <c r="I26" i="8"/>
  <c r="I28" i="8" s="1"/>
  <c r="O34" i="8"/>
  <c r="O35" i="8" s="1"/>
  <c r="L35" i="8"/>
  <c r="G187" i="8"/>
  <c r="E35" i="8"/>
  <c r="N99" i="8"/>
  <c r="J99" i="8"/>
  <c r="H99" i="8"/>
  <c r="H22" i="8"/>
  <c r="H23" i="8" s="1"/>
  <c r="P99" i="8"/>
  <c r="P22" i="8"/>
  <c r="P23" i="8" s="1"/>
  <c r="G99" i="8"/>
  <c r="G22" i="8"/>
  <c r="G23" i="8" s="1"/>
  <c r="N23" i="8"/>
  <c r="J23" i="8"/>
  <c r="O22" i="8"/>
  <c r="O23" i="8" s="1"/>
  <c r="F22" i="8"/>
  <c r="F23" i="8" s="1"/>
  <c r="E22" i="8"/>
  <c r="E23" i="8" s="1"/>
  <c r="I34" i="8"/>
  <c r="I35" i="8" s="1"/>
  <c r="H34" i="8"/>
  <c r="H35" i="8" s="1"/>
  <c r="P35" i="8"/>
  <c r="M35" i="8"/>
  <c r="K35" i="8"/>
  <c r="K187" i="8"/>
  <c r="L187" i="8"/>
  <c r="I45" i="8"/>
  <c r="R95" i="8"/>
  <c r="L22" i="8"/>
  <c r="L23" i="8" s="1"/>
  <c r="G7" i="8"/>
  <c r="G6" i="8" s="1"/>
  <c r="Q136" i="8"/>
  <c r="R135" i="8"/>
  <c r="R136" i="8" s="1"/>
  <c r="Q133" i="8"/>
  <c r="R132" i="8"/>
  <c r="S132" i="8" s="1"/>
  <c r="T132" i="8" s="1"/>
  <c r="U132" i="8" s="1"/>
  <c r="T131" i="8"/>
  <c r="U131" i="8" s="1"/>
  <c r="V131" i="8" s="1"/>
  <c r="W131" i="8" s="1"/>
  <c r="X131" i="8" s="1"/>
  <c r="Y131" i="8" s="1"/>
  <c r="Z131" i="8" s="1"/>
  <c r="AA131" i="8" s="1"/>
  <c r="AB131" i="8" s="1"/>
  <c r="AC131" i="8" s="1"/>
  <c r="AD131" i="8" s="1"/>
  <c r="AE131" i="8" s="1"/>
  <c r="AF131" i="8" s="1"/>
  <c r="AG131" i="8" s="1"/>
  <c r="AH131" i="8" s="1"/>
  <c r="Q128" i="8"/>
  <c r="S95" i="8"/>
  <c r="T95" i="8"/>
  <c r="R71" i="8"/>
  <c r="W69" i="8"/>
  <c r="X69" i="8" s="1"/>
  <c r="T75" i="8"/>
  <c r="Q71" i="8"/>
  <c r="S70" i="8"/>
  <c r="D115" i="10"/>
  <c r="E112" i="10" s="1"/>
  <c r="D109" i="10"/>
  <c r="E121" i="10"/>
  <c r="K44" i="1"/>
  <c r="J44" i="1"/>
  <c r="I44" i="1"/>
  <c r="O44" i="1"/>
  <c r="F44" i="1"/>
  <c r="E170" i="10"/>
  <c r="E149" i="10"/>
  <c r="D96" i="10"/>
  <c r="P128" i="4"/>
  <c r="O128" i="4"/>
  <c r="N128" i="4"/>
  <c r="M128" i="4"/>
  <c r="L128" i="4"/>
  <c r="K128" i="4"/>
  <c r="J128" i="4"/>
  <c r="I128" i="4"/>
  <c r="H128" i="4"/>
  <c r="G128" i="4"/>
  <c r="F128" i="4"/>
  <c r="E128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P95" i="4"/>
  <c r="O95" i="4"/>
  <c r="N95" i="4"/>
  <c r="M95" i="4"/>
  <c r="L95" i="4"/>
  <c r="K95" i="4"/>
  <c r="J95" i="4"/>
  <c r="I95" i="4"/>
  <c r="H95" i="4"/>
  <c r="G95" i="4"/>
  <c r="F95" i="4"/>
  <c r="P94" i="4"/>
  <c r="O94" i="4"/>
  <c r="N94" i="4"/>
  <c r="M94" i="4"/>
  <c r="L94" i="4"/>
  <c r="K94" i="4"/>
  <c r="J94" i="4"/>
  <c r="I94" i="4"/>
  <c r="H94" i="4"/>
  <c r="G94" i="4"/>
  <c r="F94" i="4"/>
  <c r="P93" i="4"/>
  <c r="O93" i="4"/>
  <c r="N93" i="4"/>
  <c r="M93" i="4"/>
  <c r="L93" i="4"/>
  <c r="K93" i="4"/>
  <c r="J93" i="4"/>
  <c r="I93" i="4"/>
  <c r="H93" i="4"/>
  <c r="G93" i="4"/>
  <c r="F93" i="4"/>
  <c r="P92" i="4"/>
  <c r="O92" i="4"/>
  <c r="N92" i="4"/>
  <c r="M92" i="4"/>
  <c r="L92" i="4"/>
  <c r="K92" i="4"/>
  <c r="J92" i="4"/>
  <c r="I92" i="4"/>
  <c r="H92" i="4"/>
  <c r="G92" i="4"/>
  <c r="F92" i="4"/>
  <c r="E95" i="4"/>
  <c r="E94" i="4"/>
  <c r="E93" i="4"/>
  <c r="E92" i="4"/>
  <c r="P82" i="4"/>
  <c r="AB82" i="4" s="1"/>
  <c r="O82" i="4"/>
  <c r="N82" i="4"/>
  <c r="Z82" i="4" s="1"/>
  <c r="M82" i="4"/>
  <c r="Y82" i="4" s="1"/>
  <c r="L82" i="4"/>
  <c r="X82" i="4" s="1"/>
  <c r="K82" i="4"/>
  <c r="W82" i="4" s="1"/>
  <c r="J82" i="4"/>
  <c r="V82" i="4" s="1"/>
  <c r="AH82" i="4" s="1"/>
  <c r="I82" i="4"/>
  <c r="H82" i="4"/>
  <c r="T82" i="4" s="1"/>
  <c r="AF82" i="4" s="1"/>
  <c r="G82" i="4"/>
  <c r="F82" i="4"/>
  <c r="R82" i="4" s="1"/>
  <c r="AD82" i="4" s="1"/>
  <c r="E82" i="4"/>
  <c r="P81" i="4"/>
  <c r="O81" i="4"/>
  <c r="N81" i="4"/>
  <c r="Z81" i="4" s="1"/>
  <c r="M81" i="4"/>
  <c r="Y81" i="4" s="1"/>
  <c r="L81" i="4"/>
  <c r="K81" i="4"/>
  <c r="W81" i="4" s="1"/>
  <c r="J81" i="4"/>
  <c r="I81" i="4"/>
  <c r="U81" i="4" s="1"/>
  <c r="AG81" i="4" s="1"/>
  <c r="H81" i="4"/>
  <c r="G81" i="4"/>
  <c r="F81" i="4"/>
  <c r="R81" i="4" s="1"/>
  <c r="AD81" i="4" s="1"/>
  <c r="E81" i="4"/>
  <c r="Q81" i="4" s="1"/>
  <c r="AC81" i="4" s="1"/>
  <c r="P80" i="4"/>
  <c r="AB80" i="4" s="1"/>
  <c r="O80" i="4"/>
  <c r="N80" i="4"/>
  <c r="M80" i="4"/>
  <c r="L80" i="4"/>
  <c r="X80" i="4" s="1"/>
  <c r="K80" i="4"/>
  <c r="J80" i="4"/>
  <c r="V80" i="4" s="1"/>
  <c r="AH80" i="4" s="1"/>
  <c r="I80" i="4"/>
  <c r="U80" i="4" s="1"/>
  <c r="AG80" i="4" s="1"/>
  <c r="H80" i="4"/>
  <c r="T80" i="4" s="1"/>
  <c r="AF80" i="4" s="1"/>
  <c r="G80" i="4"/>
  <c r="F80" i="4"/>
  <c r="E80" i="4"/>
  <c r="Q80" i="4" s="1"/>
  <c r="AC80" i="4" s="1"/>
  <c r="P79" i="4"/>
  <c r="O79" i="4"/>
  <c r="AA79" i="4" s="1"/>
  <c r="N79" i="4"/>
  <c r="M79" i="4"/>
  <c r="Y79" i="4" s="1"/>
  <c r="L79" i="4"/>
  <c r="X79" i="4" s="1"/>
  <c r="K79" i="4"/>
  <c r="W79" i="4" s="1"/>
  <c r="J79" i="4"/>
  <c r="I79" i="4"/>
  <c r="U79" i="4" s="1"/>
  <c r="AG79" i="4" s="1"/>
  <c r="H79" i="4"/>
  <c r="G79" i="4"/>
  <c r="S79" i="4" s="1"/>
  <c r="AE79" i="4" s="1"/>
  <c r="F79" i="4"/>
  <c r="E79" i="4"/>
  <c r="P69" i="4"/>
  <c r="O69" i="4"/>
  <c r="N69" i="4"/>
  <c r="M69" i="4"/>
  <c r="L69" i="4"/>
  <c r="K69" i="4"/>
  <c r="J69" i="4"/>
  <c r="I69" i="4"/>
  <c r="H69" i="4"/>
  <c r="G69" i="4"/>
  <c r="F69" i="4"/>
  <c r="E69" i="4"/>
  <c r="P68" i="4"/>
  <c r="O68" i="4"/>
  <c r="N68" i="4"/>
  <c r="M68" i="4"/>
  <c r="L68" i="4"/>
  <c r="K68" i="4"/>
  <c r="J68" i="4"/>
  <c r="I68" i="4"/>
  <c r="H68" i="4"/>
  <c r="G68" i="4"/>
  <c r="F68" i="4"/>
  <c r="E68" i="4"/>
  <c r="P67" i="4"/>
  <c r="O67" i="4"/>
  <c r="N67" i="4"/>
  <c r="M67" i="4"/>
  <c r="L67" i="4"/>
  <c r="K67" i="4"/>
  <c r="J67" i="4"/>
  <c r="I67" i="4"/>
  <c r="H67" i="4"/>
  <c r="G67" i="4"/>
  <c r="F67" i="4"/>
  <c r="E67" i="4"/>
  <c r="P66" i="4"/>
  <c r="O66" i="4"/>
  <c r="N66" i="4"/>
  <c r="M66" i="4"/>
  <c r="L66" i="4"/>
  <c r="K66" i="4"/>
  <c r="J66" i="4"/>
  <c r="I66" i="4"/>
  <c r="H66" i="4"/>
  <c r="G66" i="4"/>
  <c r="F66" i="4"/>
  <c r="E66" i="4"/>
  <c r="E48" i="4"/>
  <c r="E65" i="5" s="1"/>
  <c r="E67" i="5" s="1"/>
  <c r="E155" i="10"/>
  <c r="E165" i="5" s="1"/>
  <c r="E168" i="5" s="1"/>
  <c r="E99" i="10"/>
  <c r="P172" i="5"/>
  <c r="O172" i="5"/>
  <c r="N172" i="5"/>
  <c r="M172" i="5"/>
  <c r="L172" i="5"/>
  <c r="K172" i="5"/>
  <c r="J172" i="5"/>
  <c r="I172" i="5"/>
  <c r="H172" i="5"/>
  <c r="G172" i="5"/>
  <c r="F172" i="5"/>
  <c r="E172" i="5"/>
  <c r="P49" i="5"/>
  <c r="O49" i="5"/>
  <c r="N49" i="5"/>
  <c r="M49" i="5"/>
  <c r="L49" i="5"/>
  <c r="K49" i="5"/>
  <c r="J49" i="5"/>
  <c r="I49" i="5"/>
  <c r="H49" i="5"/>
  <c r="G49" i="5"/>
  <c r="F49" i="5"/>
  <c r="E49" i="5"/>
  <c r="P55" i="5"/>
  <c r="O55" i="5"/>
  <c r="N55" i="5"/>
  <c r="M55" i="5"/>
  <c r="L55" i="5"/>
  <c r="K55" i="5"/>
  <c r="J55" i="5"/>
  <c r="I55" i="5"/>
  <c r="H55" i="5"/>
  <c r="G55" i="5"/>
  <c r="F55" i="5"/>
  <c r="E55" i="5"/>
  <c r="Q153" i="5"/>
  <c r="R153" i="5" s="1"/>
  <c r="S153" i="5" s="1"/>
  <c r="T153" i="5" s="1"/>
  <c r="U153" i="5" s="1"/>
  <c r="V153" i="5" s="1"/>
  <c r="W153" i="5" s="1"/>
  <c r="X153" i="5" s="1"/>
  <c r="Y153" i="5" s="1"/>
  <c r="Z153" i="5" s="1"/>
  <c r="AA153" i="5" s="1"/>
  <c r="AB153" i="5" s="1"/>
  <c r="AC153" i="5" s="1"/>
  <c r="AD153" i="5" s="1"/>
  <c r="AE153" i="5" s="1"/>
  <c r="AF153" i="5" s="1"/>
  <c r="AG153" i="5" s="1"/>
  <c r="AH153" i="5" s="1"/>
  <c r="AB46" i="4"/>
  <c r="AA46" i="4"/>
  <c r="Z46" i="4"/>
  <c r="Y46" i="4"/>
  <c r="X46" i="4"/>
  <c r="W46" i="4"/>
  <c r="V46" i="4"/>
  <c r="AH46" i="4" s="1"/>
  <c r="U46" i="4"/>
  <c r="AG46" i="4" s="1"/>
  <c r="T46" i="4"/>
  <c r="AF46" i="4" s="1"/>
  <c r="S46" i="4"/>
  <c r="AE46" i="4" s="1"/>
  <c r="R46" i="4"/>
  <c r="AD46" i="4" s="1"/>
  <c r="Q46" i="4"/>
  <c r="AC46" i="4" s="1"/>
  <c r="AB44" i="4"/>
  <c r="AA44" i="4"/>
  <c r="Z44" i="4"/>
  <c r="Y44" i="4"/>
  <c r="X44" i="4"/>
  <c r="W44" i="4"/>
  <c r="V44" i="4"/>
  <c r="AH44" i="4" s="1"/>
  <c r="U44" i="4"/>
  <c r="AG44" i="4" s="1"/>
  <c r="T44" i="4"/>
  <c r="AF44" i="4" s="1"/>
  <c r="S44" i="4"/>
  <c r="AE44" i="4" s="1"/>
  <c r="R44" i="4"/>
  <c r="AD44" i="4" s="1"/>
  <c r="Q44" i="4"/>
  <c r="AC44" i="4" s="1"/>
  <c r="AB42" i="4"/>
  <c r="AA42" i="4"/>
  <c r="Z42" i="4"/>
  <c r="Y42" i="4"/>
  <c r="X42" i="4"/>
  <c r="W42" i="4"/>
  <c r="V42" i="4"/>
  <c r="AH42" i="4" s="1"/>
  <c r="U42" i="4"/>
  <c r="AG42" i="4" s="1"/>
  <c r="T42" i="4"/>
  <c r="AF42" i="4" s="1"/>
  <c r="S42" i="4"/>
  <c r="AE42" i="4" s="1"/>
  <c r="R42" i="4"/>
  <c r="AD42" i="4" s="1"/>
  <c r="Q42" i="4"/>
  <c r="AC42" i="4" s="1"/>
  <c r="AB40" i="4"/>
  <c r="AA40" i="4"/>
  <c r="Z40" i="4"/>
  <c r="Y40" i="4"/>
  <c r="X40" i="4"/>
  <c r="W40" i="4"/>
  <c r="V40" i="4"/>
  <c r="AH40" i="4" s="1"/>
  <c r="U40" i="4"/>
  <c r="AG40" i="4" s="1"/>
  <c r="T40" i="4"/>
  <c r="S40" i="4"/>
  <c r="AE40" i="4" s="1"/>
  <c r="R40" i="4"/>
  <c r="AD40" i="4" s="1"/>
  <c r="Q40" i="4"/>
  <c r="P48" i="4"/>
  <c r="P65" i="5" s="1"/>
  <c r="P67" i="5" s="1"/>
  <c r="P66" i="5" s="1"/>
  <c r="O48" i="4"/>
  <c r="O65" i="5" s="1"/>
  <c r="O67" i="5" s="1"/>
  <c r="O66" i="5" s="1"/>
  <c r="N48" i="4"/>
  <c r="N65" i="5" s="1"/>
  <c r="N67" i="5" s="1"/>
  <c r="N66" i="5" s="1"/>
  <c r="M48" i="4"/>
  <c r="M65" i="5" s="1"/>
  <c r="M67" i="5" s="1"/>
  <c r="M66" i="5" s="1"/>
  <c r="L48" i="4"/>
  <c r="L65" i="5" s="1"/>
  <c r="L67" i="5" s="1"/>
  <c r="L66" i="5" s="1"/>
  <c r="K48" i="4"/>
  <c r="K65" i="5" s="1"/>
  <c r="K67" i="5" s="1"/>
  <c r="K66" i="5" s="1"/>
  <c r="J48" i="4"/>
  <c r="J54" i="4" s="1"/>
  <c r="I48" i="4"/>
  <c r="I65" i="5" s="1"/>
  <c r="I67" i="5" s="1"/>
  <c r="I66" i="5" s="1"/>
  <c r="H48" i="4"/>
  <c r="H65" i="5" s="1"/>
  <c r="H67" i="5" s="1"/>
  <c r="H66" i="5" s="1"/>
  <c r="G48" i="4"/>
  <c r="G65" i="5" s="1"/>
  <c r="G67" i="5" s="1"/>
  <c r="G66" i="5" s="1"/>
  <c r="F48" i="4"/>
  <c r="F65" i="5" s="1"/>
  <c r="F67" i="5" s="1"/>
  <c r="F66" i="5" s="1"/>
  <c r="D8" i="10"/>
  <c r="D7" i="10" s="1"/>
  <c r="D6" i="10" s="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N39" i="11"/>
  <c r="M39" i="11"/>
  <c r="L39" i="11"/>
  <c r="K39" i="11"/>
  <c r="F39" i="11"/>
  <c r="E39" i="11"/>
  <c r="E201" i="10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68" i="11"/>
  <c r="O68" i="11"/>
  <c r="N68" i="11"/>
  <c r="M68" i="11"/>
  <c r="L68" i="11"/>
  <c r="K68" i="11"/>
  <c r="J68" i="11"/>
  <c r="I68" i="11"/>
  <c r="H68" i="11"/>
  <c r="G68" i="11"/>
  <c r="F68" i="11"/>
  <c r="E195" i="10"/>
  <c r="AH191" i="10"/>
  <c r="AH67" i="11" s="1"/>
  <c r="AG191" i="10"/>
  <c r="AG67" i="11" s="1"/>
  <c r="AF191" i="10"/>
  <c r="AF67" i="11" s="1"/>
  <c r="AE191" i="10"/>
  <c r="AE67" i="11" s="1"/>
  <c r="AD191" i="10"/>
  <c r="AD67" i="11" s="1"/>
  <c r="AC191" i="10"/>
  <c r="AC67" i="11" s="1"/>
  <c r="AB191" i="10"/>
  <c r="AB67" i="11" s="1"/>
  <c r="AA191" i="10"/>
  <c r="AA67" i="11" s="1"/>
  <c r="Z191" i="10"/>
  <c r="Z67" i="11" s="1"/>
  <c r="Y191" i="10"/>
  <c r="Y67" i="11" s="1"/>
  <c r="X191" i="10"/>
  <c r="X67" i="11" s="1"/>
  <c r="W191" i="10"/>
  <c r="W67" i="11" s="1"/>
  <c r="V191" i="10"/>
  <c r="V67" i="11" s="1"/>
  <c r="U191" i="10"/>
  <c r="U67" i="11" s="1"/>
  <c r="T191" i="10"/>
  <c r="T67" i="11" s="1"/>
  <c r="S191" i="10"/>
  <c r="S67" i="11" s="1"/>
  <c r="R191" i="10"/>
  <c r="R67" i="11" s="1"/>
  <c r="Q191" i="10"/>
  <c r="Q67" i="11" s="1"/>
  <c r="P67" i="11"/>
  <c r="O67" i="11"/>
  <c r="N67" i="11"/>
  <c r="M67" i="11"/>
  <c r="L67" i="11"/>
  <c r="K67" i="11"/>
  <c r="J67" i="11"/>
  <c r="I67" i="11"/>
  <c r="H67" i="11"/>
  <c r="G67" i="11"/>
  <c r="F67" i="11"/>
  <c r="E190" i="10"/>
  <c r="E161" i="10"/>
  <c r="E141" i="10"/>
  <c r="E132" i="10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E84" i="10"/>
  <c r="E47" i="5" s="1"/>
  <c r="E76" i="10"/>
  <c r="E49" i="10"/>
  <c r="E137" i="4" s="1"/>
  <c r="E140" i="4" s="1"/>
  <c r="E23" i="4" s="1"/>
  <c r="E44" i="11"/>
  <c r="E9" i="11"/>
  <c r="E81" i="11" s="1"/>
  <c r="F8" i="11"/>
  <c r="F9" i="11" s="1"/>
  <c r="F81" i="11" s="1"/>
  <c r="E7" i="11"/>
  <c r="E6" i="11" s="1"/>
  <c r="E5" i="11"/>
  <c r="E9" i="10"/>
  <c r="E215" i="10" s="1"/>
  <c r="F8" i="10"/>
  <c r="G8" i="10" s="1"/>
  <c r="E7" i="10"/>
  <c r="E6" i="10" s="1"/>
  <c r="E5" i="10"/>
  <c r="P44" i="1"/>
  <c r="N44" i="1"/>
  <c r="M44" i="1"/>
  <c r="L44" i="1"/>
  <c r="H44" i="1"/>
  <c r="P42" i="1"/>
  <c r="O42" i="1"/>
  <c r="N42" i="1"/>
  <c r="L42" i="1"/>
  <c r="K42" i="1"/>
  <c r="J42" i="1"/>
  <c r="I42" i="1"/>
  <c r="H42" i="1"/>
  <c r="G42" i="1"/>
  <c r="F42" i="1"/>
  <c r="E44" i="1"/>
  <c r="E42" i="1"/>
  <c r="E66" i="5" l="1"/>
  <c r="R149" i="4"/>
  <c r="D39" i="10"/>
  <c r="D83" i="16"/>
  <c r="G216" i="10"/>
  <c r="G15" i="16"/>
  <c r="I216" i="10"/>
  <c r="I15" i="16"/>
  <c r="H216" i="10"/>
  <c r="H15" i="16"/>
  <c r="E67" i="11"/>
  <c r="N216" i="10"/>
  <c r="N15" i="16"/>
  <c r="E216" i="10"/>
  <c r="E15" i="16"/>
  <c r="F216" i="10"/>
  <c r="F15" i="16"/>
  <c r="E107" i="11"/>
  <c r="E54" i="11" s="1"/>
  <c r="P216" i="10"/>
  <c r="P15" i="16"/>
  <c r="K216" i="10"/>
  <c r="K15" i="16"/>
  <c r="O216" i="10"/>
  <c r="O15" i="16"/>
  <c r="J216" i="10"/>
  <c r="J15" i="16"/>
  <c r="M216" i="10"/>
  <c r="M15" i="16"/>
  <c r="L216" i="10"/>
  <c r="L15" i="16"/>
  <c r="X87" i="16"/>
  <c r="X73" i="16"/>
  <c r="X70" i="16"/>
  <c r="AO54" i="16"/>
  <c r="AO40" i="16"/>
  <c r="AO70" i="16"/>
  <c r="AO46" i="16"/>
  <c r="AO14" i="16"/>
  <c r="AO26" i="16"/>
  <c r="AO73" i="16"/>
  <c r="AO87" i="16"/>
  <c r="X10" i="16"/>
  <c r="X46" i="16"/>
  <c r="X54" i="16"/>
  <c r="X14" i="16"/>
  <c r="X26" i="16"/>
  <c r="X40" i="16"/>
  <c r="X56" i="15"/>
  <c r="X27" i="15"/>
  <c r="Y9" i="16"/>
  <c r="Y5" i="16"/>
  <c r="Y7" i="16"/>
  <c r="Y6" i="16" s="1"/>
  <c r="AP6" i="16" s="1"/>
  <c r="Z8" i="16"/>
  <c r="X14" i="15"/>
  <c r="X10" i="15"/>
  <c r="Y5" i="15"/>
  <c r="Y9" i="15"/>
  <c r="Y51" i="15" s="1"/>
  <c r="Y7" i="15"/>
  <c r="Y6" i="15" s="1"/>
  <c r="Z8" i="15"/>
  <c r="O139" i="8"/>
  <c r="H180" i="8"/>
  <c r="H182" i="8" s="1"/>
  <c r="H183" i="8" s="1"/>
  <c r="O187" i="8"/>
  <c r="R89" i="8"/>
  <c r="R90" i="8" s="1"/>
  <c r="J187" i="8"/>
  <c r="E26" i="8"/>
  <c r="E28" i="8" s="1"/>
  <c r="K176" i="8"/>
  <c r="K177" i="8" s="1"/>
  <c r="G117" i="8"/>
  <c r="H7" i="8"/>
  <c r="H6" i="8" s="1"/>
  <c r="G26" i="8"/>
  <c r="G28" i="8" s="1"/>
  <c r="P139" i="8"/>
  <c r="G176" i="8"/>
  <c r="G177" i="8" s="1"/>
  <c r="G130" i="8"/>
  <c r="P176" i="8"/>
  <c r="P177" i="8" s="1"/>
  <c r="P180" i="8"/>
  <c r="P182" i="8" s="1"/>
  <c r="P183" i="8" s="1"/>
  <c r="T150" i="8"/>
  <c r="S148" i="8"/>
  <c r="N187" i="8"/>
  <c r="Q154" i="8"/>
  <c r="R154" i="8" s="1"/>
  <c r="S154" i="8" s="1"/>
  <c r="T154" i="8" s="1"/>
  <c r="U154" i="8" s="1"/>
  <c r="V154" i="8" s="1"/>
  <c r="W154" i="8" s="1"/>
  <c r="X154" i="8" s="1"/>
  <c r="Y154" i="8" s="1"/>
  <c r="Z154" i="8" s="1"/>
  <c r="AA154" i="8" s="1"/>
  <c r="AB154" i="8" s="1"/>
  <c r="AC154" i="8" s="1"/>
  <c r="AD154" i="8" s="1"/>
  <c r="AE154" i="8" s="1"/>
  <c r="AF154" i="8" s="1"/>
  <c r="AG154" i="8" s="1"/>
  <c r="AH154" i="8" s="1"/>
  <c r="U115" i="8"/>
  <c r="U25" i="8" s="1"/>
  <c r="F41" i="8"/>
  <c r="V115" i="8"/>
  <c r="V25" i="8" s="1"/>
  <c r="F26" i="8"/>
  <c r="F28" i="8" s="1"/>
  <c r="F180" i="8" s="1"/>
  <c r="F182" i="8" s="1"/>
  <c r="F183" i="8" s="1"/>
  <c r="H164" i="10"/>
  <c r="G223" i="10"/>
  <c r="E28" i="10"/>
  <c r="E221" i="10"/>
  <c r="E232" i="10"/>
  <c r="X10" i="13"/>
  <c r="X14" i="13"/>
  <c r="Y9" i="1"/>
  <c r="Y10" i="1" s="1"/>
  <c r="Y7" i="1"/>
  <c r="Y6" i="1" s="1"/>
  <c r="Z8" i="1"/>
  <c r="Y5" i="1"/>
  <c r="Y7" i="13"/>
  <c r="Y6" i="13" s="1"/>
  <c r="Z8" i="13"/>
  <c r="Y9" i="13"/>
  <c r="Y5" i="13"/>
  <c r="D20" i="10"/>
  <c r="E64" i="10"/>
  <c r="E72" i="10"/>
  <c r="Q62" i="10"/>
  <c r="Q15" i="16" s="1"/>
  <c r="AG70" i="10"/>
  <c r="E68" i="11"/>
  <c r="E38" i="11"/>
  <c r="F99" i="10"/>
  <c r="E21" i="10"/>
  <c r="F70" i="11"/>
  <c r="L70" i="11"/>
  <c r="E55" i="10"/>
  <c r="E14" i="10"/>
  <c r="M70" i="11"/>
  <c r="K37" i="11"/>
  <c r="K70" i="11"/>
  <c r="N37" i="11"/>
  <c r="N70" i="11"/>
  <c r="V37" i="11"/>
  <c r="V40" i="11" s="1"/>
  <c r="V70" i="11"/>
  <c r="AD37" i="11"/>
  <c r="AD40" i="11" s="1"/>
  <c r="AD70" i="11"/>
  <c r="G38" i="11"/>
  <c r="O38" i="11"/>
  <c r="G37" i="11"/>
  <c r="O37" i="11"/>
  <c r="W37" i="11"/>
  <c r="W40" i="11" s="1"/>
  <c r="W70" i="11"/>
  <c r="AE37" i="11"/>
  <c r="AE40" i="11" s="1"/>
  <c r="AE70" i="11"/>
  <c r="H38" i="11"/>
  <c r="P38" i="11"/>
  <c r="AB37" i="11"/>
  <c r="AB40" i="11" s="1"/>
  <c r="AB70" i="11"/>
  <c r="U37" i="11"/>
  <c r="U40" i="11" s="1"/>
  <c r="U70" i="11"/>
  <c r="P37" i="11"/>
  <c r="I38" i="11"/>
  <c r="AA37" i="11"/>
  <c r="AA40" i="11" s="1"/>
  <c r="AA70" i="11"/>
  <c r="H37" i="11"/>
  <c r="AF37" i="11"/>
  <c r="AF40" i="11" s="1"/>
  <c r="AF70" i="11"/>
  <c r="I37" i="11"/>
  <c r="I70" i="11"/>
  <c r="Q37" i="11"/>
  <c r="Q40" i="11" s="1"/>
  <c r="Q70" i="11"/>
  <c r="Y37" i="11"/>
  <c r="Y40" i="11" s="1"/>
  <c r="Y70" i="11"/>
  <c r="AG37" i="11"/>
  <c r="AG40" i="11" s="1"/>
  <c r="AG70" i="11"/>
  <c r="J38" i="11"/>
  <c r="S37" i="11"/>
  <c r="S40" i="11" s="1"/>
  <c r="S70" i="11"/>
  <c r="T37" i="11"/>
  <c r="T40" i="11" s="1"/>
  <c r="T70" i="11"/>
  <c r="AC37" i="11"/>
  <c r="AC40" i="11" s="1"/>
  <c r="AC70" i="11"/>
  <c r="X37" i="11"/>
  <c r="X40" i="11" s="1"/>
  <c r="X70" i="11"/>
  <c r="J37" i="11"/>
  <c r="R37" i="11"/>
  <c r="R40" i="11" s="1"/>
  <c r="R70" i="11"/>
  <c r="Z37" i="11"/>
  <c r="Z40" i="11" s="1"/>
  <c r="Z70" i="11"/>
  <c r="AH37" i="11"/>
  <c r="AH40" i="11" s="1"/>
  <c r="AH70" i="11"/>
  <c r="F49" i="11"/>
  <c r="F14" i="11"/>
  <c r="E10" i="11"/>
  <c r="E49" i="11"/>
  <c r="E14" i="11"/>
  <c r="F121" i="10"/>
  <c r="G121" i="10" s="1"/>
  <c r="E170" i="5"/>
  <c r="E173" i="5" s="1"/>
  <c r="E175" i="5" s="1"/>
  <c r="E32" i="10"/>
  <c r="L28" i="4"/>
  <c r="L29" i="4" s="1"/>
  <c r="Q29" i="4"/>
  <c r="R97" i="8"/>
  <c r="R22" i="8" s="1"/>
  <c r="M53" i="4"/>
  <c r="M54" i="4"/>
  <c r="E51" i="4"/>
  <c r="P53" i="4"/>
  <c r="E52" i="4"/>
  <c r="F54" i="4"/>
  <c r="E53" i="4"/>
  <c r="F51" i="4"/>
  <c r="N54" i="4"/>
  <c r="M51" i="4"/>
  <c r="N51" i="4"/>
  <c r="H53" i="4"/>
  <c r="G51" i="4"/>
  <c r="O51" i="4"/>
  <c r="L52" i="4"/>
  <c r="I53" i="4"/>
  <c r="G54" i="4"/>
  <c r="O54" i="4"/>
  <c r="H51" i="4"/>
  <c r="P51" i="4"/>
  <c r="M52" i="4"/>
  <c r="K53" i="4"/>
  <c r="H54" i="4"/>
  <c r="P54" i="4"/>
  <c r="I51" i="4"/>
  <c r="F52" i="4"/>
  <c r="N52" i="4"/>
  <c r="L53" i="4"/>
  <c r="I54" i="4"/>
  <c r="K52" i="4"/>
  <c r="J51" i="4"/>
  <c r="G52" i="4"/>
  <c r="O52" i="4"/>
  <c r="K51" i="4"/>
  <c r="H52" i="4"/>
  <c r="P52" i="4"/>
  <c r="N53" i="4"/>
  <c r="K54" i="4"/>
  <c r="E54" i="4"/>
  <c r="L51" i="4"/>
  <c r="I52" i="4"/>
  <c r="F53" i="4"/>
  <c r="O53" i="4"/>
  <c r="L54" i="4"/>
  <c r="J65" i="5"/>
  <c r="J67" i="5" s="1"/>
  <c r="J66" i="5" s="1"/>
  <c r="J53" i="4"/>
  <c r="J52" i="4"/>
  <c r="G53" i="4"/>
  <c r="X104" i="8"/>
  <c r="W115" i="8"/>
  <c r="W25" i="8" s="1"/>
  <c r="I22" i="8"/>
  <c r="I23" i="8" s="1"/>
  <c r="I180" i="8" s="1"/>
  <c r="I182" i="8" s="1"/>
  <c r="I183" i="8" s="1"/>
  <c r="M22" i="8"/>
  <c r="M23" i="8" s="1"/>
  <c r="M176" i="8" s="1"/>
  <c r="M177" i="8" s="1"/>
  <c r="S118" i="8"/>
  <c r="R127" i="8"/>
  <c r="R124" i="8"/>
  <c r="K180" i="8"/>
  <c r="K182" i="8" s="1"/>
  <c r="K183" i="8" s="1"/>
  <c r="N180" i="8"/>
  <c r="N182" i="8" s="1"/>
  <c r="N183" i="8" s="1"/>
  <c r="T86" i="8"/>
  <c r="U86" i="8" s="1"/>
  <c r="F10" i="8"/>
  <c r="F163" i="8"/>
  <c r="F158" i="8"/>
  <c r="F103" i="8"/>
  <c r="F175" i="8"/>
  <c r="F117" i="8"/>
  <c r="F168" i="8"/>
  <c r="F19" i="8"/>
  <c r="F130" i="8"/>
  <c r="F73" i="8"/>
  <c r="F68" i="8"/>
  <c r="G68" i="8"/>
  <c r="G163" i="8"/>
  <c r="G78" i="8"/>
  <c r="G143" i="8"/>
  <c r="G175" i="8"/>
  <c r="G168" i="8"/>
  <c r="G19" i="8"/>
  <c r="G158" i="8"/>
  <c r="K37" i="8"/>
  <c r="H9" i="8"/>
  <c r="I8" i="8"/>
  <c r="H176" i="8"/>
  <c r="H177" i="8" s="1"/>
  <c r="O37" i="8"/>
  <c r="G10" i="8"/>
  <c r="S90" i="8"/>
  <c r="S97" i="8" s="1"/>
  <c r="S22" i="8" s="1"/>
  <c r="N139" i="8"/>
  <c r="H37" i="8"/>
  <c r="G41" i="8"/>
  <c r="G73" i="8"/>
  <c r="F78" i="8"/>
  <c r="E180" i="8"/>
  <c r="E182" i="8" s="1"/>
  <c r="E183" i="8" s="1"/>
  <c r="J180" i="8"/>
  <c r="J182" i="8" s="1"/>
  <c r="J183" i="8" s="1"/>
  <c r="J37" i="8"/>
  <c r="J176" i="8"/>
  <c r="J177" i="8" s="1"/>
  <c r="M180" i="8"/>
  <c r="M182" i="8" s="1"/>
  <c r="M183" i="8" s="1"/>
  <c r="G180" i="8"/>
  <c r="G182" i="8" s="1"/>
  <c r="G183" i="8" s="1"/>
  <c r="O180" i="8"/>
  <c r="O182" i="8" s="1"/>
  <c r="O183" i="8" s="1"/>
  <c r="O176" i="8"/>
  <c r="O177" i="8" s="1"/>
  <c r="M37" i="8"/>
  <c r="N37" i="8"/>
  <c r="N176" i="8"/>
  <c r="N177" i="8" s="1"/>
  <c r="P37" i="8"/>
  <c r="G37" i="8"/>
  <c r="E176" i="8"/>
  <c r="E177" i="8" s="1"/>
  <c r="E37" i="8"/>
  <c r="J45" i="8"/>
  <c r="L37" i="8"/>
  <c r="L180" i="8"/>
  <c r="L182" i="8" s="1"/>
  <c r="L183" i="8" s="1"/>
  <c r="L176" i="8"/>
  <c r="L177" i="8" s="1"/>
  <c r="Q137" i="8"/>
  <c r="Q27" i="8" s="1"/>
  <c r="S133" i="8"/>
  <c r="Q26" i="8"/>
  <c r="S135" i="8"/>
  <c r="S136" i="8" s="1"/>
  <c r="R133" i="8"/>
  <c r="R137" i="8" s="1"/>
  <c r="T133" i="8"/>
  <c r="U133" i="8"/>
  <c r="V132" i="8"/>
  <c r="R20" i="8"/>
  <c r="U95" i="8"/>
  <c r="R74" i="8"/>
  <c r="R76" i="8" s="1"/>
  <c r="R21" i="8" s="1"/>
  <c r="Y69" i="8"/>
  <c r="Z69" i="8" s="1"/>
  <c r="AA69" i="8" s="1"/>
  <c r="AB69" i="8" s="1"/>
  <c r="AC69" i="8" s="1"/>
  <c r="AD69" i="8" s="1"/>
  <c r="AE69" i="8" s="1"/>
  <c r="AF69" i="8" s="1"/>
  <c r="AG69" i="8" s="1"/>
  <c r="AH69" i="8" s="1"/>
  <c r="Q20" i="8"/>
  <c r="Q74" i="8"/>
  <c r="Q76" i="8" s="1"/>
  <c r="Q21" i="8" s="1"/>
  <c r="U75" i="8"/>
  <c r="T70" i="8"/>
  <c r="S71" i="8"/>
  <c r="J33" i="11"/>
  <c r="R33" i="11"/>
  <c r="Z33" i="11"/>
  <c r="AH33" i="11"/>
  <c r="E120" i="10"/>
  <c r="G44" i="1"/>
  <c r="E50" i="5"/>
  <c r="D206" i="10"/>
  <c r="D185" i="10"/>
  <c r="E90" i="10"/>
  <c r="D118" i="10"/>
  <c r="D127" i="10" s="1"/>
  <c r="E105" i="10"/>
  <c r="E53" i="5" s="1"/>
  <c r="E56" i="5" s="1"/>
  <c r="Z48" i="4"/>
  <c r="Z65" i="5" s="1"/>
  <c r="W48" i="4"/>
  <c r="W65" i="5" s="1"/>
  <c r="AH48" i="4"/>
  <c r="AH65" i="5" s="1"/>
  <c r="AA48" i="4"/>
  <c r="AA65" i="5" s="1"/>
  <c r="X48" i="4"/>
  <c r="X65" i="5" s="1"/>
  <c r="R105" i="4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AG105" i="4" s="1"/>
  <c r="AH105" i="4" s="1"/>
  <c r="R107" i="4"/>
  <c r="S107" i="4" s="1"/>
  <c r="T107" i="4" s="1"/>
  <c r="U107" i="4" s="1"/>
  <c r="V107" i="4" s="1"/>
  <c r="W107" i="4" s="1"/>
  <c r="X107" i="4" s="1"/>
  <c r="Y107" i="4" s="1"/>
  <c r="Z107" i="4" s="1"/>
  <c r="AA107" i="4" s="1"/>
  <c r="AB107" i="4" s="1"/>
  <c r="AC107" i="4" s="1"/>
  <c r="AD107" i="4" s="1"/>
  <c r="AE107" i="4" s="1"/>
  <c r="AF107" i="4" s="1"/>
  <c r="AG107" i="4" s="1"/>
  <c r="AH107" i="4" s="1"/>
  <c r="Q48" i="4"/>
  <c r="Q65" i="5" s="1"/>
  <c r="AC40" i="4"/>
  <c r="AC48" i="4" s="1"/>
  <c r="AC65" i="5" s="1"/>
  <c r="Y48" i="4"/>
  <c r="Y65" i="5" s="1"/>
  <c r="AD48" i="4"/>
  <c r="AD65" i="5" s="1"/>
  <c r="R48" i="4"/>
  <c r="R65" i="5" s="1"/>
  <c r="S48" i="4"/>
  <c r="S65" i="5" s="1"/>
  <c r="AE48" i="4"/>
  <c r="AE65" i="5" s="1"/>
  <c r="U48" i="4"/>
  <c r="U65" i="5" s="1"/>
  <c r="AF40" i="4"/>
  <c r="AF48" i="4" s="1"/>
  <c r="AF65" i="5" s="1"/>
  <c r="T48" i="4"/>
  <c r="T65" i="5" s="1"/>
  <c r="AB48" i="4"/>
  <c r="AB65" i="5" s="1"/>
  <c r="V48" i="4"/>
  <c r="V65" i="5" s="1"/>
  <c r="AG48" i="4"/>
  <c r="AG65" i="5" s="1"/>
  <c r="E98" i="10"/>
  <c r="E33" i="11"/>
  <c r="M33" i="11"/>
  <c r="U33" i="11"/>
  <c r="AC33" i="11"/>
  <c r="E104" i="10"/>
  <c r="E111" i="10"/>
  <c r="E117" i="10"/>
  <c r="R108" i="4"/>
  <c r="S108" i="4" s="1"/>
  <c r="T108" i="4" s="1"/>
  <c r="U108" i="4" s="1"/>
  <c r="V108" i="4" s="1"/>
  <c r="W108" i="4" s="1"/>
  <c r="X108" i="4" s="1"/>
  <c r="Y108" i="4" s="1"/>
  <c r="Z108" i="4" s="1"/>
  <c r="AA108" i="4" s="1"/>
  <c r="AB108" i="4" s="1"/>
  <c r="AC108" i="4" s="1"/>
  <c r="AD108" i="4" s="1"/>
  <c r="AE108" i="4" s="1"/>
  <c r="AF108" i="4" s="1"/>
  <c r="AG108" i="4" s="1"/>
  <c r="AH108" i="4" s="1"/>
  <c r="R106" i="4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AH106" i="4" s="1"/>
  <c r="Q82" i="4"/>
  <c r="AC82" i="4" s="1"/>
  <c r="AA81" i="4"/>
  <c r="R79" i="4"/>
  <c r="AD79" i="4" s="1"/>
  <c r="Z79" i="4"/>
  <c r="T79" i="4"/>
  <c r="AF79" i="4" s="1"/>
  <c r="AB79" i="4"/>
  <c r="S80" i="4"/>
  <c r="AE80" i="4" s="1"/>
  <c r="AA80" i="4"/>
  <c r="U82" i="4"/>
  <c r="AG82" i="4" s="1"/>
  <c r="V79" i="4"/>
  <c r="AH79" i="4" s="1"/>
  <c r="Q79" i="4"/>
  <c r="AC79" i="4" s="1"/>
  <c r="I33" i="11"/>
  <c r="Q33" i="11"/>
  <c r="Y33" i="11"/>
  <c r="AG33" i="11"/>
  <c r="F33" i="11"/>
  <c r="N33" i="11"/>
  <c r="V33" i="11"/>
  <c r="AD33" i="11"/>
  <c r="G33" i="11"/>
  <c r="O33" i="11"/>
  <c r="W33" i="11"/>
  <c r="AE33" i="11"/>
  <c r="D9" i="10"/>
  <c r="H33" i="11"/>
  <c r="P33" i="11"/>
  <c r="X33" i="11"/>
  <c r="AF33" i="11"/>
  <c r="M37" i="11"/>
  <c r="D5" i="10"/>
  <c r="F37" i="11"/>
  <c r="K38" i="11"/>
  <c r="E37" i="11"/>
  <c r="L38" i="11"/>
  <c r="M38" i="11"/>
  <c r="F38" i="11"/>
  <c r="N38" i="11"/>
  <c r="L37" i="11"/>
  <c r="K33" i="11"/>
  <c r="S33" i="11"/>
  <c r="AA33" i="11"/>
  <c r="L33" i="11"/>
  <c r="T33" i="11"/>
  <c r="AB33" i="11"/>
  <c r="G39" i="11"/>
  <c r="O39" i="11"/>
  <c r="H39" i="11"/>
  <c r="P39" i="11"/>
  <c r="I39" i="11"/>
  <c r="J39" i="11"/>
  <c r="E36" i="10"/>
  <c r="F155" i="10"/>
  <c r="F165" i="5" s="1"/>
  <c r="F168" i="5" s="1"/>
  <c r="F7" i="11"/>
  <c r="F6" i="11" s="1"/>
  <c r="G8" i="11"/>
  <c r="G9" i="11" s="1"/>
  <c r="G81" i="11" s="1"/>
  <c r="F5" i="11"/>
  <c r="E200" i="10"/>
  <c r="E194" i="10"/>
  <c r="E189" i="10"/>
  <c r="E95" i="10"/>
  <c r="E89" i="10"/>
  <c r="E83" i="10"/>
  <c r="E179" i="10"/>
  <c r="E160" i="10"/>
  <c r="E154" i="10"/>
  <c r="E148" i="10"/>
  <c r="E140" i="10"/>
  <c r="E131" i="10"/>
  <c r="E75" i="10"/>
  <c r="F9" i="10"/>
  <c r="F215" i="10" s="1"/>
  <c r="F7" i="10"/>
  <c r="F6" i="10" s="1"/>
  <c r="F5" i="10"/>
  <c r="F10" i="11"/>
  <c r="E169" i="10"/>
  <c r="E48" i="10"/>
  <c r="E10" i="10"/>
  <c r="H8" i="10"/>
  <c r="G7" i="10"/>
  <c r="G6" i="10" s="1"/>
  <c r="AJ6" i="10" s="1"/>
  <c r="G5" i="10"/>
  <c r="AJ5" i="10" s="1"/>
  <c r="G9" i="10"/>
  <c r="G215" i="10" s="1"/>
  <c r="Q179" i="5"/>
  <c r="Q48" i="8" s="1"/>
  <c r="Q172" i="5"/>
  <c r="S149" i="4" l="1"/>
  <c r="E28" i="5"/>
  <c r="E108" i="11"/>
  <c r="E55" i="11" s="1"/>
  <c r="E63" i="16"/>
  <c r="E21" i="5"/>
  <c r="E70" i="11"/>
  <c r="AU5" i="10"/>
  <c r="E82" i="16"/>
  <c r="AJ10" i="10"/>
  <c r="Y73" i="16"/>
  <c r="Y70" i="16"/>
  <c r="Y87" i="16"/>
  <c r="AP5" i="16"/>
  <c r="Y10" i="16"/>
  <c r="Y54" i="16"/>
  <c r="Y14" i="16"/>
  <c r="Y26" i="16"/>
  <c r="Y40" i="16"/>
  <c r="Y46" i="16"/>
  <c r="Y56" i="15"/>
  <c r="Y27" i="15"/>
  <c r="AA8" i="16"/>
  <c r="Z5" i="16"/>
  <c r="Z9" i="16"/>
  <c r="Z7" i="16"/>
  <c r="Z6" i="16" s="1"/>
  <c r="Z5" i="15"/>
  <c r="Z9" i="15"/>
  <c r="Z51" i="15" s="1"/>
  <c r="Z7" i="15"/>
  <c r="Z6" i="15" s="1"/>
  <c r="AA8" i="15"/>
  <c r="Y10" i="15"/>
  <c r="Y14" i="15"/>
  <c r="F37" i="8"/>
  <c r="F176" i="8"/>
  <c r="F177" i="8" s="1"/>
  <c r="I37" i="8"/>
  <c r="I176" i="8"/>
  <c r="I177" i="8" s="1"/>
  <c r="T148" i="8"/>
  <c r="U150" i="8"/>
  <c r="R128" i="8"/>
  <c r="R26" i="8" s="1"/>
  <c r="R62" i="10"/>
  <c r="R15" i="16" s="1"/>
  <c r="Q216" i="10"/>
  <c r="F28" i="10"/>
  <c r="I164" i="10"/>
  <c r="H223" i="10"/>
  <c r="H29" i="10"/>
  <c r="E226" i="10"/>
  <c r="E229" i="10"/>
  <c r="F72" i="10"/>
  <c r="F221" i="10"/>
  <c r="F232" i="10"/>
  <c r="G72" i="10"/>
  <c r="G232" i="10"/>
  <c r="G221" i="10"/>
  <c r="Y10" i="13"/>
  <c r="Y14" i="13"/>
  <c r="E46" i="1"/>
  <c r="E20" i="5"/>
  <c r="Z7" i="1"/>
  <c r="Z6" i="1" s="1"/>
  <c r="AA8" i="1"/>
  <c r="Z5" i="1"/>
  <c r="Z9" i="1"/>
  <c r="Z10" i="1" s="1"/>
  <c r="AA8" i="13"/>
  <c r="Z5" i="13"/>
  <c r="Z7" i="13"/>
  <c r="Z6" i="13" s="1"/>
  <c r="Z9" i="13"/>
  <c r="F14" i="10"/>
  <c r="F64" i="10"/>
  <c r="AH70" i="10"/>
  <c r="G14" i="10"/>
  <c r="G64" i="10"/>
  <c r="G99" i="10"/>
  <c r="F21" i="10"/>
  <c r="F195" i="10"/>
  <c r="E37" i="10"/>
  <c r="D22" i="10"/>
  <c r="D23" i="10" s="1"/>
  <c r="D10" i="10"/>
  <c r="D14" i="10"/>
  <c r="H70" i="11"/>
  <c r="P70" i="11"/>
  <c r="G70" i="11"/>
  <c r="J70" i="11"/>
  <c r="O70" i="11"/>
  <c r="G49" i="11"/>
  <c r="G14" i="11"/>
  <c r="K28" i="4"/>
  <c r="K29" i="4" s="1"/>
  <c r="P28" i="4"/>
  <c r="R29" i="4"/>
  <c r="X115" i="8"/>
  <c r="X25" i="8" s="1"/>
  <c r="Y104" i="8"/>
  <c r="H68" i="8"/>
  <c r="H73" i="8"/>
  <c r="H158" i="8"/>
  <c r="H103" i="8"/>
  <c r="H163" i="8"/>
  <c r="H175" i="8"/>
  <c r="H19" i="8"/>
  <c r="H78" i="8"/>
  <c r="H168" i="8"/>
  <c r="H117" i="8"/>
  <c r="H41" i="8"/>
  <c r="H143" i="8"/>
  <c r="H10" i="8"/>
  <c r="H130" i="8"/>
  <c r="T89" i="8"/>
  <c r="T90" i="8" s="1"/>
  <c r="T97" i="8" s="1"/>
  <c r="T22" i="8" s="1"/>
  <c r="S124" i="8"/>
  <c r="T118" i="8"/>
  <c r="S127" i="8"/>
  <c r="J8" i="8"/>
  <c r="I9" i="8"/>
  <c r="I5" i="8"/>
  <c r="I7" i="8"/>
  <c r="I6" i="8" s="1"/>
  <c r="Q183" i="8"/>
  <c r="R183" i="8" s="1"/>
  <c r="U89" i="8"/>
  <c r="U90" i="8" s="1"/>
  <c r="U97" i="8" s="1"/>
  <c r="U22" i="8" s="1"/>
  <c r="V86" i="8"/>
  <c r="K45" i="8"/>
  <c r="Q28" i="8"/>
  <c r="Q177" i="8"/>
  <c r="R177" i="8" s="1"/>
  <c r="S177" i="8" s="1"/>
  <c r="T177" i="8" s="1"/>
  <c r="U177" i="8" s="1"/>
  <c r="V177" i="8" s="1"/>
  <c r="W177" i="8" s="1"/>
  <c r="X177" i="8" s="1"/>
  <c r="Y177" i="8" s="1"/>
  <c r="Z177" i="8" s="1"/>
  <c r="AA177" i="8" s="1"/>
  <c r="AB177" i="8" s="1"/>
  <c r="AC177" i="8" s="1"/>
  <c r="AD177" i="8" s="1"/>
  <c r="AE177" i="8" s="1"/>
  <c r="AF177" i="8" s="1"/>
  <c r="AG177" i="8" s="1"/>
  <c r="AH177" i="8" s="1"/>
  <c r="Q139" i="8"/>
  <c r="S137" i="8"/>
  <c r="T135" i="8"/>
  <c r="T136" i="8" s="1"/>
  <c r="T137" i="8" s="1"/>
  <c r="R27" i="8"/>
  <c r="W132" i="8"/>
  <c r="V133" i="8"/>
  <c r="R23" i="8"/>
  <c r="R99" i="8"/>
  <c r="V95" i="8"/>
  <c r="S20" i="8"/>
  <c r="S74" i="8"/>
  <c r="S76" i="8" s="1"/>
  <c r="S21" i="8" s="1"/>
  <c r="V75" i="8"/>
  <c r="U70" i="8"/>
  <c r="T71" i="8"/>
  <c r="H121" i="10"/>
  <c r="G98" i="10"/>
  <c r="G120" i="10"/>
  <c r="F98" i="10"/>
  <c r="F120" i="10"/>
  <c r="E113" i="10"/>
  <c r="E58" i="5"/>
  <c r="E91" i="10"/>
  <c r="F105" i="10"/>
  <c r="D208" i="10"/>
  <c r="E40" i="1"/>
  <c r="G117" i="10"/>
  <c r="G111" i="10"/>
  <c r="G104" i="10"/>
  <c r="F117" i="10"/>
  <c r="F111" i="10"/>
  <c r="F104" i="10"/>
  <c r="H8" i="11"/>
  <c r="H7" i="11" s="1"/>
  <c r="H6" i="11" s="1"/>
  <c r="F84" i="10"/>
  <c r="O40" i="11"/>
  <c r="J40" i="11"/>
  <c r="K40" i="11"/>
  <c r="M40" i="11"/>
  <c r="H40" i="11"/>
  <c r="L40" i="11"/>
  <c r="E40" i="11"/>
  <c r="P40" i="11"/>
  <c r="G40" i="11"/>
  <c r="I40" i="11"/>
  <c r="N40" i="11"/>
  <c r="F40" i="11"/>
  <c r="F190" i="10"/>
  <c r="F36" i="10" s="1"/>
  <c r="F76" i="10"/>
  <c r="G155" i="10"/>
  <c r="G165" i="5" s="1"/>
  <c r="G168" i="5" s="1"/>
  <c r="F170" i="10"/>
  <c r="G7" i="11"/>
  <c r="G6" i="11" s="1"/>
  <c r="AJ6" i="11" s="1"/>
  <c r="G5" i="11"/>
  <c r="AJ5" i="11" s="1"/>
  <c r="G194" i="10"/>
  <c r="G200" i="10"/>
  <c r="F194" i="10"/>
  <c r="F200" i="10"/>
  <c r="F189" i="10"/>
  <c r="G189" i="10"/>
  <c r="G89" i="10"/>
  <c r="G95" i="10"/>
  <c r="F89" i="10"/>
  <c r="F95" i="10"/>
  <c r="F179" i="10"/>
  <c r="F83" i="10"/>
  <c r="G179" i="10"/>
  <c r="G83" i="10"/>
  <c r="F154" i="10"/>
  <c r="F160" i="10"/>
  <c r="G154" i="10"/>
  <c r="G160" i="10"/>
  <c r="G148" i="10"/>
  <c r="F148" i="10"/>
  <c r="F131" i="10"/>
  <c r="F140" i="10"/>
  <c r="G131" i="10"/>
  <c r="G140" i="10"/>
  <c r="F75" i="10"/>
  <c r="G75" i="10"/>
  <c r="G55" i="10"/>
  <c r="F55" i="10"/>
  <c r="F10" i="10"/>
  <c r="F48" i="10"/>
  <c r="F169" i="10"/>
  <c r="G10" i="11"/>
  <c r="G169" i="10"/>
  <c r="G10" i="10"/>
  <c r="G48" i="10"/>
  <c r="H5" i="10"/>
  <c r="H9" i="10"/>
  <c r="H215" i="10" s="1"/>
  <c r="H7" i="10"/>
  <c r="H6" i="10" s="1"/>
  <c r="I8" i="10"/>
  <c r="R179" i="5"/>
  <c r="R48" i="8" s="1"/>
  <c r="R172" i="5"/>
  <c r="T149" i="4" l="1"/>
  <c r="AJ10" i="11"/>
  <c r="AJ81" i="11" s="1"/>
  <c r="AU5" i="11"/>
  <c r="F90" i="10"/>
  <c r="D41" i="10"/>
  <c r="D81" i="16"/>
  <c r="D79" i="16"/>
  <c r="E59" i="16"/>
  <c r="F112" i="10"/>
  <c r="AJ221" i="10"/>
  <c r="AJ75" i="10"/>
  <c r="AJ98" i="10"/>
  <c r="AJ232" i="10"/>
  <c r="AJ64" i="10"/>
  <c r="AJ72" i="10"/>
  <c r="AJ14" i="10"/>
  <c r="AJ215" i="10"/>
  <c r="AJ55" i="10"/>
  <c r="AJ140" i="10"/>
  <c r="AJ48" i="10"/>
  <c r="AJ131" i="10"/>
  <c r="AJ95" i="10"/>
  <c r="AJ117" i="10"/>
  <c r="AJ111" i="10"/>
  <c r="AJ189" i="10"/>
  <c r="AJ194" i="10"/>
  <c r="AJ89" i="10"/>
  <c r="AJ120" i="10"/>
  <c r="AJ154" i="10"/>
  <c r="AJ169" i="10"/>
  <c r="AJ200" i="10"/>
  <c r="AJ83" i="10"/>
  <c r="AJ104" i="10"/>
  <c r="AJ148" i="10"/>
  <c r="AJ160" i="10"/>
  <c r="AJ179" i="10"/>
  <c r="D80" i="16"/>
  <c r="E52" i="1"/>
  <c r="AU10" i="10"/>
  <c r="AV5" i="10"/>
  <c r="E17" i="11"/>
  <c r="E18" i="11"/>
  <c r="AP10" i="16"/>
  <c r="Z70" i="16"/>
  <c r="Z87" i="16"/>
  <c r="Z73" i="16"/>
  <c r="Z10" i="16"/>
  <c r="Z54" i="16"/>
  <c r="Z14" i="16"/>
  <c r="Z26" i="16"/>
  <c r="Z40" i="16"/>
  <c r="Z46" i="16"/>
  <c r="Z56" i="15"/>
  <c r="Z27" i="15"/>
  <c r="AA9" i="16"/>
  <c r="AA7" i="16"/>
  <c r="AA6" i="16" s="1"/>
  <c r="AB8" i="16"/>
  <c r="AA5" i="16"/>
  <c r="AA9" i="15"/>
  <c r="AA51" i="15" s="1"/>
  <c r="AA7" i="15"/>
  <c r="AA6" i="15" s="1"/>
  <c r="AB8" i="15"/>
  <c r="AA5" i="15"/>
  <c r="Z10" i="15"/>
  <c r="Z14" i="15"/>
  <c r="R139" i="8"/>
  <c r="R28" i="8"/>
  <c r="S128" i="8"/>
  <c r="S26" i="8" s="1"/>
  <c r="U148" i="8"/>
  <c r="V150" i="8"/>
  <c r="J164" i="10"/>
  <c r="I223" i="10"/>
  <c r="I29" i="10"/>
  <c r="S62" i="10"/>
  <c r="S15" i="16" s="1"/>
  <c r="R216" i="10"/>
  <c r="H72" i="10"/>
  <c r="H221" i="10"/>
  <c r="H232" i="10"/>
  <c r="Z10" i="13"/>
  <c r="Z14" i="13"/>
  <c r="AB8" i="1"/>
  <c r="AA7" i="1"/>
  <c r="AA6" i="1" s="1"/>
  <c r="AA5" i="1"/>
  <c r="AA9" i="1"/>
  <c r="AA10" i="1" s="1"/>
  <c r="AB8" i="13"/>
  <c r="AA5" i="13"/>
  <c r="AA7" i="13"/>
  <c r="AA6" i="13" s="1"/>
  <c r="AA9" i="13"/>
  <c r="H14" i="10"/>
  <c r="H64" i="10"/>
  <c r="G195" i="10"/>
  <c r="F37" i="10"/>
  <c r="H99" i="10"/>
  <c r="G21" i="10"/>
  <c r="I8" i="11"/>
  <c r="I7" i="11" s="1"/>
  <c r="I6" i="11" s="1"/>
  <c r="J28" i="4"/>
  <c r="J29" i="4" s="1"/>
  <c r="Q28" i="4"/>
  <c r="P30" i="4"/>
  <c r="P33" i="4" s="1"/>
  <c r="Y115" i="8"/>
  <c r="Y25" i="8" s="1"/>
  <c r="Z104" i="8"/>
  <c r="S183" i="8"/>
  <c r="T183" i="8" s="1"/>
  <c r="I158" i="8"/>
  <c r="I130" i="8"/>
  <c r="I168" i="8"/>
  <c r="I163" i="8"/>
  <c r="I143" i="8"/>
  <c r="I175" i="8"/>
  <c r="I19" i="8"/>
  <c r="I68" i="8"/>
  <c r="I73" i="8"/>
  <c r="I78" i="8"/>
  <c r="I117" i="8"/>
  <c r="I41" i="8"/>
  <c r="I10" i="8"/>
  <c r="I103" i="8"/>
  <c r="T127" i="8"/>
  <c r="T124" i="8"/>
  <c r="T128" i="8" s="1"/>
  <c r="T26" i="8" s="1"/>
  <c r="U118" i="8"/>
  <c r="J7" i="8"/>
  <c r="J6" i="8" s="1"/>
  <c r="K8" i="8"/>
  <c r="J5" i="8"/>
  <c r="J9" i="8"/>
  <c r="V89" i="8"/>
  <c r="V90" i="8" s="1"/>
  <c r="V97" i="8" s="1"/>
  <c r="V22" i="8" s="1"/>
  <c r="W86" i="8"/>
  <c r="L45" i="8"/>
  <c r="S27" i="8"/>
  <c r="S28" i="8" s="1"/>
  <c r="U135" i="8"/>
  <c r="U136" i="8" s="1"/>
  <c r="U137" i="8" s="1"/>
  <c r="T27" i="8"/>
  <c r="W133" i="8"/>
  <c r="X132" i="8"/>
  <c r="S99" i="8"/>
  <c r="W95" i="8"/>
  <c r="S23" i="8"/>
  <c r="T20" i="8"/>
  <c r="T74" i="8"/>
  <c r="T76" i="8" s="1"/>
  <c r="T21" i="8" s="1"/>
  <c r="W75" i="8"/>
  <c r="V70" i="8"/>
  <c r="U71" i="8"/>
  <c r="I121" i="10"/>
  <c r="F170" i="5"/>
  <c r="F173" i="5" s="1"/>
  <c r="H98" i="10"/>
  <c r="H120" i="10"/>
  <c r="S172" i="5"/>
  <c r="G105" i="10"/>
  <c r="F53" i="5"/>
  <c r="F56" i="5" s="1"/>
  <c r="G84" i="10"/>
  <c r="F47" i="5"/>
  <c r="F50" i="5" s="1"/>
  <c r="H117" i="10"/>
  <c r="H111" i="10"/>
  <c r="H104" i="10"/>
  <c r="H5" i="11"/>
  <c r="H9" i="11"/>
  <c r="H81" i="11" s="1"/>
  <c r="X81" i="4"/>
  <c r="G190" i="10"/>
  <c r="G36" i="10" s="1"/>
  <c r="H194" i="10"/>
  <c r="H200" i="10"/>
  <c r="H189" i="10"/>
  <c r="H89" i="10"/>
  <c r="H95" i="10"/>
  <c r="H179" i="10"/>
  <c r="H83" i="10"/>
  <c r="H154" i="10"/>
  <c r="H160" i="10"/>
  <c r="H148" i="10"/>
  <c r="H131" i="10"/>
  <c r="H140" i="10"/>
  <c r="H75" i="10"/>
  <c r="H55" i="10"/>
  <c r="H169" i="10"/>
  <c r="H48" i="10"/>
  <c r="H10" i="10"/>
  <c r="I5" i="10"/>
  <c r="J8" i="10"/>
  <c r="I9" i="10"/>
  <c r="I215" i="10" s="1"/>
  <c r="I7" i="10"/>
  <c r="I6" i="10" s="1"/>
  <c r="S179" i="5"/>
  <c r="S48" i="8" s="1"/>
  <c r="E96" i="10" l="1"/>
  <c r="U149" i="4"/>
  <c r="AJ49" i="11"/>
  <c r="AJ14" i="11"/>
  <c r="AU10" i="11"/>
  <c r="AV5" i="11"/>
  <c r="E118" i="10"/>
  <c r="E22" i="10" s="1"/>
  <c r="F20" i="5"/>
  <c r="F175" i="5"/>
  <c r="AU55" i="10"/>
  <c r="AU75" i="10"/>
  <c r="AU89" i="10"/>
  <c r="AU98" i="10"/>
  <c r="AU111" i="10"/>
  <c r="AU200" i="10"/>
  <c r="AU48" i="10"/>
  <c r="AU104" i="10"/>
  <c r="AU117" i="10"/>
  <c r="AU179" i="10"/>
  <c r="AU140" i="10"/>
  <c r="AU232" i="10"/>
  <c r="AU131" i="10"/>
  <c r="AU148" i="10"/>
  <c r="AU194" i="10"/>
  <c r="AU221" i="10"/>
  <c r="AU64" i="10"/>
  <c r="AU154" i="10"/>
  <c r="AU189" i="10"/>
  <c r="AU215" i="10"/>
  <c r="AU169" i="10"/>
  <c r="AU72" i="10"/>
  <c r="AU83" i="10"/>
  <c r="AU95" i="10"/>
  <c r="AU120" i="10"/>
  <c r="AU160" i="10"/>
  <c r="AU14" i="10"/>
  <c r="F21" i="5"/>
  <c r="AW5" i="10"/>
  <c r="AV10" i="10"/>
  <c r="AP54" i="16"/>
  <c r="AP70" i="16"/>
  <c r="AP40" i="16"/>
  <c r="AP26" i="16"/>
  <c r="AP46" i="16"/>
  <c r="AP14" i="16"/>
  <c r="AP73" i="16"/>
  <c r="AP87" i="16"/>
  <c r="AA87" i="16"/>
  <c r="AA70" i="16"/>
  <c r="AA73" i="16"/>
  <c r="AA10" i="16"/>
  <c r="AA26" i="16"/>
  <c r="AA40" i="16"/>
  <c r="AA46" i="16"/>
  <c r="AA14" i="16"/>
  <c r="AA54" i="16"/>
  <c r="AA56" i="15"/>
  <c r="AA27" i="15"/>
  <c r="AB9" i="16"/>
  <c r="AC8" i="16"/>
  <c r="AB7" i="16"/>
  <c r="AB6" i="16" s="1"/>
  <c r="AQ6" i="16" s="1"/>
  <c r="AB5" i="16"/>
  <c r="AB9" i="15"/>
  <c r="AB51" i="15" s="1"/>
  <c r="AB7" i="15"/>
  <c r="AB6" i="15" s="1"/>
  <c r="AC8" i="15"/>
  <c r="AB5" i="15"/>
  <c r="AA10" i="15"/>
  <c r="AA14" i="15"/>
  <c r="S139" i="8"/>
  <c r="T139" i="8"/>
  <c r="T28" i="8"/>
  <c r="V148" i="8"/>
  <c r="W150" i="8"/>
  <c r="T62" i="10"/>
  <c r="S216" i="10"/>
  <c r="F226" i="10"/>
  <c r="F229" i="10"/>
  <c r="G226" i="10"/>
  <c r="G229" i="10"/>
  <c r="K164" i="10"/>
  <c r="J223" i="10"/>
  <c r="J29" i="10"/>
  <c r="E20" i="10"/>
  <c r="I72" i="10"/>
  <c r="I232" i="10"/>
  <c r="I221" i="10"/>
  <c r="AA10" i="13"/>
  <c r="AA14" i="13"/>
  <c r="AC8" i="1"/>
  <c r="AB5" i="1"/>
  <c r="AB9" i="1"/>
  <c r="AB10" i="1" s="1"/>
  <c r="AB7" i="1"/>
  <c r="AB6" i="1" s="1"/>
  <c r="AB5" i="13"/>
  <c r="AB7" i="13"/>
  <c r="AB6" i="13" s="1"/>
  <c r="AC8" i="13"/>
  <c r="AB9" i="13"/>
  <c r="I14" i="10"/>
  <c r="I64" i="10"/>
  <c r="H155" i="10"/>
  <c r="H165" i="5" s="1"/>
  <c r="H168" i="5" s="1"/>
  <c r="G28" i="10"/>
  <c r="G170" i="10"/>
  <c r="F32" i="10"/>
  <c r="F82" i="16" s="1"/>
  <c r="I99" i="10"/>
  <c r="H21" i="10"/>
  <c r="H195" i="10"/>
  <c r="G37" i="10"/>
  <c r="H10" i="11"/>
  <c r="H14" i="11"/>
  <c r="H49" i="11"/>
  <c r="I9" i="11"/>
  <c r="I81" i="11" s="1"/>
  <c r="J8" i="11"/>
  <c r="J7" i="11" s="1"/>
  <c r="J6" i="11" s="1"/>
  <c r="AK6" i="11" s="1"/>
  <c r="I5" i="11"/>
  <c r="R28" i="4"/>
  <c r="R30" i="4" s="1"/>
  <c r="R33" i="4" s="1"/>
  <c r="Q30" i="4"/>
  <c r="Q33" i="4" s="1"/>
  <c r="Z115" i="8"/>
  <c r="Z25" i="8" s="1"/>
  <c r="AA104" i="8"/>
  <c r="U183" i="8"/>
  <c r="V183" i="8" s="1"/>
  <c r="J10" i="8"/>
  <c r="J73" i="8"/>
  <c r="J41" i="8"/>
  <c r="J103" i="8"/>
  <c r="J68" i="8"/>
  <c r="J78" i="8"/>
  <c r="J117" i="8"/>
  <c r="J158" i="8"/>
  <c r="J163" i="8"/>
  <c r="J19" i="8"/>
  <c r="J143" i="8"/>
  <c r="J130" i="8"/>
  <c r="J168" i="8"/>
  <c r="J175" i="8"/>
  <c r="K5" i="8"/>
  <c r="L8" i="8"/>
  <c r="K9" i="8"/>
  <c r="K7" i="8"/>
  <c r="K6" i="8" s="1"/>
  <c r="U124" i="8"/>
  <c r="V118" i="8"/>
  <c r="U127" i="8"/>
  <c r="W89" i="8"/>
  <c r="W90" i="8" s="1"/>
  <c r="W97" i="8" s="1"/>
  <c r="W22" i="8" s="1"/>
  <c r="X86" i="8"/>
  <c r="M45" i="8"/>
  <c r="V135" i="8"/>
  <c r="W135" i="8" s="1"/>
  <c r="U27" i="8"/>
  <c r="X133" i="8"/>
  <c r="Y132" i="8"/>
  <c r="T99" i="8"/>
  <c r="X95" i="8"/>
  <c r="U20" i="8"/>
  <c r="U74" i="8"/>
  <c r="U76" i="8" s="1"/>
  <c r="U21" i="8" s="1"/>
  <c r="T23" i="8"/>
  <c r="X75" i="8"/>
  <c r="W70" i="8"/>
  <c r="V71" i="8"/>
  <c r="J121" i="10"/>
  <c r="I98" i="10"/>
  <c r="I120" i="10"/>
  <c r="F58" i="5"/>
  <c r="T172" i="5"/>
  <c r="U172" i="5" s="1"/>
  <c r="F113" i="10"/>
  <c r="F40" i="1"/>
  <c r="G53" i="5"/>
  <c r="G56" i="5" s="1"/>
  <c r="G21" i="5" s="1"/>
  <c r="G47" i="5"/>
  <c r="G50" i="5" s="1"/>
  <c r="G20" i="5" s="1"/>
  <c r="F46" i="1"/>
  <c r="F91" i="10"/>
  <c r="I117" i="10"/>
  <c r="I111" i="10"/>
  <c r="I104" i="10"/>
  <c r="Y80" i="4"/>
  <c r="Z80" i="4"/>
  <c r="H190" i="10"/>
  <c r="H36" i="10" s="1"/>
  <c r="I194" i="10"/>
  <c r="I200" i="10"/>
  <c r="I189" i="10"/>
  <c r="I89" i="10"/>
  <c r="I95" i="10"/>
  <c r="I179" i="10"/>
  <c r="I83" i="10"/>
  <c r="I154" i="10"/>
  <c r="I160" i="10"/>
  <c r="I148" i="10"/>
  <c r="I131" i="10"/>
  <c r="I140" i="10"/>
  <c r="I75" i="10"/>
  <c r="I55" i="10"/>
  <c r="I48" i="10"/>
  <c r="I10" i="10"/>
  <c r="I169" i="10"/>
  <c r="J9" i="10"/>
  <c r="J215" i="10" s="1"/>
  <c r="J7" i="10"/>
  <c r="J6" i="10" s="1"/>
  <c r="AK6" i="10" s="1"/>
  <c r="K8" i="10"/>
  <c r="J5" i="10"/>
  <c r="T179" i="5"/>
  <c r="E225" i="10" l="1"/>
  <c r="V149" i="4"/>
  <c r="AU81" i="11"/>
  <c r="AU14" i="11"/>
  <c r="AU49" i="11"/>
  <c r="AW5" i="11"/>
  <c r="AV10" i="11"/>
  <c r="G59" i="16"/>
  <c r="AV232" i="10"/>
  <c r="AV75" i="10"/>
  <c r="AV140" i="10"/>
  <c r="AV189" i="10"/>
  <c r="AV55" i="10"/>
  <c r="AV83" i="10"/>
  <c r="AV179" i="10"/>
  <c r="AV95" i="10"/>
  <c r="AV131" i="10"/>
  <c r="AV194" i="10"/>
  <c r="AV14" i="10"/>
  <c r="AV72" i="10"/>
  <c r="AV111" i="10"/>
  <c r="AV64" i="10"/>
  <c r="AV89" i="10"/>
  <c r="AV154" i="10"/>
  <c r="AV48" i="10"/>
  <c r="AV160" i="10"/>
  <c r="AV200" i="10"/>
  <c r="AV221" i="10"/>
  <c r="AV117" i="10"/>
  <c r="AV215" i="10"/>
  <c r="AV120" i="10"/>
  <c r="AV148" i="10"/>
  <c r="AV104" i="10"/>
  <c r="AV98" i="10"/>
  <c r="AV169" i="10"/>
  <c r="G90" i="10"/>
  <c r="F59" i="16"/>
  <c r="AW10" i="10"/>
  <c r="F108" i="11"/>
  <c r="F55" i="11" s="1"/>
  <c r="F28" i="5"/>
  <c r="F63" i="16"/>
  <c r="U62" i="10"/>
  <c r="U15" i="16" s="1"/>
  <c r="T15" i="16"/>
  <c r="G112" i="10"/>
  <c r="AK5" i="10"/>
  <c r="AK10" i="10" s="1"/>
  <c r="E80" i="16"/>
  <c r="F17" i="11"/>
  <c r="F18" i="11"/>
  <c r="AQ5" i="16"/>
  <c r="AB70" i="16"/>
  <c r="AB73" i="16"/>
  <c r="AB87" i="16"/>
  <c r="AB10" i="16"/>
  <c r="AB26" i="16"/>
  <c r="AB40" i="16"/>
  <c r="AB46" i="16"/>
  <c r="AB54" i="16"/>
  <c r="AB14" i="16"/>
  <c r="AB56" i="15"/>
  <c r="AB27" i="15"/>
  <c r="AC9" i="16"/>
  <c r="AC7" i="16"/>
  <c r="AC6" i="16" s="1"/>
  <c r="AD8" i="16"/>
  <c r="AC5" i="16"/>
  <c r="AC9" i="15"/>
  <c r="AC51" i="15" s="1"/>
  <c r="AC7" i="15"/>
  <c r="AC6" i="15" s="1"/>
  <c r="AD8" i="15"/>
  <c r="AC5" i="15"/>
  <c r="AB10" i="15"/>
  <c r="AB14" i="15"/>
  <c r="U128" i="8"/>
  <c r="U26" i="8" s="1"/>
  <c r="U28" i="8" s="1"/>
  <c r="W148" i="8"/>
  <c r="X150" i="8"/>
  <c r="U216" i="10"/>
  <c r="T216" i="10"/>
  <c r="L164" i="10"/>
  <c r="K223" i="10"/>
  <c r="K29" i="10"/>
  <c r="J72" i="10"/>
  <c r="J232" i="10"/>
  <c r="J221" i="10"/>
  <c r="AB10" i="13"/>
  <c r="AB14" i="13"/>
  <c r="U179" i="5"/>
  <c r="U48" i="8" s="1"/>
  <c r="T48" i="8"/>
  <c r="AC5" i="1"/>
  <c r="AC9" i="1"/>
  <c r="AC10" i="1" s="1"/>
  <c r="AC7" i="1"/>
  <c r="AC6" i="1" s="1"/>
  <c r="AD8" i="1"/>
  <c r="AC5" i="13"/>
  <c r="AC9" i="13"/>
  <c r="AD8" i="13"/>
  <c r="AC7" i="13"/>
  <c r="AC6" i="13" s="1"/>
  <c r="J14" i="10"/>
  <c r="J64" i="10"/>
  <c r="G170" i="5"/>
  <c r="G173" i="5" s="1"/>
  <c r="I155" i="10"/>
  <c r="I165" i="5" s="1"/>
  <c r="I168" i="5" s="1"/>
  <c r="H28" i="10"/>
  <c r="J99" i="10"/>
  <c r="I21" i="10"/>
  <c r="I195" i="10"/>
  <c r="H37" i="10"/>
  <c r="H170" i="10"/>
  <c r="H170" i="5" s="1"/>
  <c r="H173" i="5" s="1"/>
  <c r="H175" i="5" s="1"/>
  <c r="G32" i="10"/>
  <c r="G82" i="16" s="1"/>
  <c r="K8" i="11"/>
  <c r="K7" i="11" s="1"/>
  <c r="K6" i="11" s="1"/>
  <c r="J9" i="11"/>
  <c r="J81" i="11" s="1"/>
  <c r="I10" i="11"/>
  <c r="I14" i="11"/>
  <c r="I49" i="11"/>
  <c r="J5" i="11"/>
  <c r="AA115" i="8"/>
  <c r="AA25" i="8" s="1"/>
  <c r="AB104" i="8"/>
  <c r="V124" i="8"/>
  <c r="V127" i="8"/>
  <c r="V128" i="8"/>
  <c r="V26" i="8" s="1"/>
  <c r="W118" i="8"/>
  <c r="U139" i="8"/>
  <c r="K163" i="8"/>
  <c r="K73" i="8"/>
  <c r="K158" i="8"/>
  <c r="K175" i="8"/>
  <c r="K117" i="8"/>
  <c r="K78" i="8"/>
  <c r="K68" i="8"/>
  <c r="K41" i="8"/>
  <c r="K143" i="8"/>
  <c r="K103" i="8"/>
  <c r="K168" i="8"/>
  <c r="K10" i="8"/>
  <c r="K19" i="8"/>
  <c r="K130" i="8"/>
  <c r="L5" i="8"/>
  <c r="L9" i="8"/>
  <c r="M8" i="8"/>
  <c r="L7" i="8"/>
  <c r="L6" i="8" s="1"/>
  <c r="W183" i="8"/>
  <c r="X183" i="8" s="1"/>
  <c r="Y86" i="8"/>
  <c r="X89" i="8"/>
  <c r="X90" i="8" s="1"/>
  <c r="X97" i="8" s="1"/>
  <c r="X22" i="8" s="1"/>
  <c r="N45" i="8"/>
  <c r="V136" i="8"/>
  <c r="V137" i="8" s="1"/>
  <c r="V27" i="8" s="1"/>
  <c r="V28" i="8" s="1"/>
  <c r="W136" i="8"/>
  <c r="W137" i="8" s="1"/>
  <c r="X135" i="8"/>
  <c r="Z132" i="8"/>
  <c r="Y133" i="8"/>
  <c r="U99" i="8"/>
  <c r="Y95" i="8"/>
  <c r="U23" i="8"/>
  <c r="V20" i="8"/>
  <c r="V74" i="8"/>
  <c r="V76" i="8" s="1"/>
  <c r="V21" i="8" s="1"/>
  <c r="Y75" i="8"/>
  <c r="X70" i="8"/>
  <c r="W71" i="8"/>
  <c r="K121" i="10"/>
  <c r="J98" i="10"/>
  <c r="J120" i="10"/>
  <c r="G58" i="5"/>
  <c r="G113" i="10"/>
  <c r="G40" i="1"/>
  <c r="G18" i="11" s="1"/>
  <c r="H105" i="10"/>
  <c r="H84" i="10"/>
  <c r="G46" i="1"/>
  <c r="G17" i="11" s="1"/>
  <c r="G91" i="10"/>
  <c r="J117" i="10"/>
  <c r="J111" i="10"/>
  <c r="J104" i="10"/>
  <c r="I190" i="10"/>
  <c r="I36" i="10" s="1"/>
  <c r="J194" i="10"/>
  <c r="J200" i="10"/>
  <c r="J189" i="10"/>
  <c r="J89" i="10"/>
  <c r="J95" i="10"/>
  <c r="J179" i="10"/>
  <c r="J83" i="10"/>
  <c r="J154" i="10"/>
  <c r="J160" i="10"/>
  <c r="J148" i="10"/>
  <c r="J131" i="10"/>
  <c r="J140" i="10"/>
  <c r="J75" i="10"/>
  <c r="J55" i="10"/>
  <c r="J169" i="10"/>
  <c r="J10" i="10"/>
  <c r="J48" i="10"/>
  <c r="K9" i="10"/>
  <c r="K215" i="10" s="1"/>
  <c r="K7" i="10"/>
  <c r="K6" i="10" s="1"/>
  <c r="L8" i="10"/>
  <c r="K5" i="10"/>
  <c r="V172" i="5"/>
  <c r="W149" i="4" l="1"/>
  <c r="AW10" i="11"/>
  <c r="AK5" i="11"/>
  <c r="AV81" i="11"/>
  <c r="AV14" i="11"/>
  <c r="AV49" i="11"/>
  <c r="F118" i="10"/>
  <c r="F22" i="10" s="1"/>
  <c r="H112" i="10"/>
  <c r="F96" i="10"/>
  <c r="V62" i="10"/>
  <c r="W62" i="10" s="1"/>
  <c r="X62" i="10" s="1"/>
  <c r="AJ82" i="16" a="1"/>
  <c r="AJ82" i="16" s="1"/>
  <c r="H28" i="5"/>
  <c r="H63" i="16"/>
  <c r="H108" i="11"/>
  <c r="H55" i="11" s="1"/>
  <c r="AW120" i="10"/>
  <c r="AW148" i="10"/>
  <c r="AW95" i="10"/>
  <c r="AW221" i="10"/>
  <c r="AW98" i="10"/>
  <c r="AW169" i="10"/>
  <c r="AW14" i="10"/>
  <c r="AW140" i="10"/>
  <c r="AW131" i="10"/>
  <c r="AW154" i="10"/>
  <c r="AW232" i="10"/>
  <c r="AW72" i="10"/>
  <c r="AW104" i="10"/>
  <c r="AW160" i="10"/>
  <c r="AW48" i="10"/>
  <c r="AW194" i="10"/>
  <c r="AW64" i="10"/>
  <c r="AW55" i="10"/>
  <c r="AW111" i="10"/>
  <c r="AW200" i="10"/>
  <c r="AW75" i="10"/>
  <c r="AW89" i="10"/>
  <c r="AW215" i="10"/>
  <c r="AW83" i="10"/>
  <c r="AW117" i="10"/>
  <c r="AW179" i="10"/>
  <c r="AW189" i="10"/>
  <c r="AK169" i="10"/>
  <c r="AK48" i="10"/>
  <c r="AK72" i="10"/>
  <c r="AK83" i="10"/>
  <c r="AK95" i="10"/>
  <c r="AK160" i="10"/>
  <c r="AK55" i="10"/>
  <c r="AK75" i="10"/>
  <c r="AK89" i="10"/>
  <c r="AK120" i="10"/>
  <c r="AK111" i="10"/>
  <c r="AK200" i="10"/>
  <c r="AK64" i="10"/>
  <c r="AK104" i="10"/>
  <c r="AK117" i="10"/>
  <c r="AK179" i="10"/>
  <c r="AK131" i="10"/>
  <c r="AK215" i="10"/>
  <c r="AK98" i="10"/>
  <c r="AK140" i="10"/>
  <c r="AK221" i="10"/>
  <c r="AK154" i="10"/>
  <c r="AK189" i="10"/>
  <c r="AK232" i="10"/>
  <c r="AK148" i="10"/>
  <c r="AK194" i="10"/>
  <c r="AK14" i="10"/>
  <c r="G175" i="5"/>
  <c r="AQ10" i="16"/>
  <c r="AQ26" i="16" s="1"/>
  <c r="AC73" i="16"/>
  <c r="AC87" i="16"/>
  <c r="AC70" i="16"/>
  <c r="AC10" i="16"/>
  <c r="AC40" i="16"/>
  <c r="AC46" i="16"/>
  <c r="AC26" i="16"/>
  <c r="AC54" i="16"/>
  <c r="AC14" i="16"/>
  <c r="AC56" i="15"/>
  <c r="AC27" i="15"/>
  <c r="AD9" i="16"/>
  <c r="AE8" i="16"/>
  <c r="AD7" i="16"/>
  <c r="AD6" i="16" s="1"/>
  <c r="AD5" i="16"/>
  <c r="AC10" i="15"/>
  <c r="AC14" i="15"/>
  <c r="AD7" i="15"/>
  <c r="AD6" i="15" s="1"/>
  <c r="AE8" i="15"/>
  <c r="AD5" i="15"/>
  <c r="AD9" i="15"/>
  <c r="AD51" i="15" s="1"/>
  <c r="X148" i="8"/>
  <c r="Y150" i="8"/>
  <c r="F20" i="10"/>
  <c r="M164" i="10"/>
  <c r="L223" i="10"/>
  <c r="L29" i="10"/>
  <c r="K72" i="10"/>
  <c r="K221" i="10"/>
  <c r="K232" i="10"/>
  <c r="AC10" i="13"/>
  <c r="AC14" i="13"/>
  <c r="V179" i="5"/>
  <c r="W179" i="5" s="1"/>
  <c r="AD5" i="1"/>
  <c r="AD9" i="1"/>
  <c r="AD10" i="1" s="1"/>
  <c r="AD7" i="1"/>
  <c r="AD6" i="1" s="1"/>
  <c r="AE8" i="1"/>
  <c r="AD9" i="13"/>
  <c r="AD7" i="13"/>
  <c r="AD6" i="13" s="1"/>
  <c r="AE8" i="13"/>
  <c r="AD5" i="13"/>
  <c r="K14" i="10"/>
  <c r="K64" i="10"/>
  <c r="J155" i="10"/>
  <c r="J165" i="5" s="1"/>
  <c r="J168" i="5" s="1"/>
  <c r="I28" i="10"/>
  <c r="J195" i="10"/>
  <c r="I37" i="10"/>
  <c r="K99" i="10"/>
  <c r="J21" i="10"/>
  <c r="K5" i="11"/>
  <c r="K9" i="11"/>
  <c r="L8" i="11"/>
  <c r="M8" i="11" s="1"/>
  <c r="J14" i="11"/>
  <c r="J49" i="11"/>
  <c r="J10" i="11"/>
  <c r="AC104" i="8"/>
  <c r="AB115" i="8"/>
  <c r="AB25" i="8" s="1"/>
  <c r="W124" i="8"/>
  <c r="X118" i="8"/>
  <c r="W127" i="8"/>
  <c r="M9" i="8"/>
  <c r="M5" i="8"/>
  <c r="M7" i="8"/>
  <c r="M6" i="8" s="1"/>
  <c r="N8" i="8"/>
  <c r="L73" i="8"/>
  <c r="L163" i="8"/>
  <c r="L78" i="8"/>
  <c r="L143" i="8"/>
  <c r="L41" i="8"/>
  <c r="L103" i="8"/>
  <c r="L117" i="8"/>
  <c r="L158" i="8"/>
  <c r="L168" i="8"/>
  <c r="L130" i="8"/>
  <c r="L19" i="8"/>
  <c r="L10" i="8"/>
  <c r="L175" i="8"/>
  <c r="L68" i="8"/>
  <c r="Y183" i="8"/>
  <c r="Z183" i="8" s="1"/>
  <c r="AA183" i="8" s="1"/>
  <c r="Z86" i="8"/>
  <c r="Y89" i="8"/>
  <c r="Y90" i="8" s="1"/>
  <c r="Y97" i="8" s="1"/>
  <c r="Y22" i="8" s="1"/>
  <c r="O45" i="8"/>
  <c r="V139" i="8"/>
  <c r="W27" i="8"/>
  <c r="X136" i="8"/>
  <c r="X137" i="8" s="1"/>
  <c r="Y135" i="8"/>
  <c r="AA132" i="8"/>
  <c r="Z133" i="8"/>
  <c r="V99" i="8"/>
  <c r="Z95" i="8"/>
  <c r="V23" i="8"/>
  <c r="W20" i="8"/>
  <c r="W74" i="8"/>
  <c r="W76" i="8" s="1"/>
  <c r="W21" i="8" s="1"/>
  <c r="Z75" i="8"/>
  <c r="X71" i="8"/>
  <c r="Y70" i="8"/>
  <c r="L121" i="10"/>
  <c r="K98" i="10"/>
  <c r="K120" i="10"/>
  <c r="H53" i="5"/>
  <c r="H56" i="5" s="1"/>
  <c r="H90" i="10"/>
  <c r="G96" i="10"/>
  <c r="H47" i="5"/>
  <c r="H50" i="5" s="1"/>
  <c r="K111" i="10"/>
  <c r="K104" i="10"/>
  <c r="K117" i="10"/>
  <c r="J190" i="10"/>
  <c r="J36" i="10" s="1"/>
  <c r="K194" i="10"/>
  <c r="K200" i="10"/>
  <c r="K189" i="10"/>
  <c r="K89" i="10"/>
  <c r="K95" i="10"/>
  <c r="K179" i="10"/>
  <c r="K83" i="10"/>
  <c r="K154" i="10"/>
  <c r="K160" i="10"/>
  <c r="K148" i="10"/>
  <c r="K131" i="10"/>
  <c r="K140" i="10"/>
  <c r="K75" i="10"/>
  <c r="K55" i="10"/>
  <c r="K10" i="10"/>
  <c r="K48" i="10"/>
  <c r="K169" i="10"/>
  <c r="L9" i="10"/>
  <c r="L215" i="10" s="1"/>
  <c r="L7" i="10"/>
  <c r="L6" i="10" s="1"/>
  <c r="M8" i="10"/>
  <c r="L5" i="10"/>
  <c r="W172" i="5"/>
  <c r="G118" i="10" l="1"/>
  <c r="G22" i="10" s="1"/>
  <c r="X149" i="4"/>
  <c r="AW81" i="11"/>
  <c r="AW14" i="11"/>
  <c r="AW49" i="11"/>
  <c r="AK10" i="11"/>
  <c r="F225" i="10"/>
  <c r="F80" i="16"/>
  <c r="V15" i="16"/>
  <c r="V216" i="10"/>
  <c r="X216" i="10"/>
  <c r="X15" i="16"/>
  <c r="H21" i="5"/>
  <c r="H20" i="5"/>
  <c r="W216" i="10"/>
  <c r="W15" i="16"/>
  <c r="G28" i="5"/>
  <c r="G63" i="16"/>
  <c r="G108" i="11"/>
  <c r="G55" i="11" s="1"/>
  <c r="AQ70" i="16"/>
  <c r="AQ14" i="16"/>
  <c r="AQ87" i="16"/>
  <c r="AQ73" i="16"/>
  <c r="AQ54" i="16"/>
  <c r="AQ46" i="16"/>
  <c r="AQ40" i="16"/>
  <c r="AD73" i="16"/>
  <c r="AD87" i="16"/>
  <c r="AD70" i="16"/>
  <c r="AD10" i="16"/>
  <c r="AD40" i="16"/>
  <c r="AD46" i="16"/>
  <c r="AD54" i="16"/>
  <c r="AD14" i="16"/>
  <c r="AD26" i="16"/>
  <c r="AD56" i="15"/>
  <c r="AD27" i="15"/>
  <c r="AE9" i="16"/>
  <c r="AF8" i="16"/>
  <c r="AE7" i="16"/>
  <c r="AE6" i="16" s="1"/>
  <c r="AE5" i="16"/>
  <c r="AF8" i="15"/>
  <c r="AE5" i="15"/>
  <c r="AE9" i="15"/>
  <c r="AE51" i="15" s="1"/>
  <c r="AE7" i="15"/>
  <c r="AE6" i="15" s="1"/>
  <c r="AD10" i="15"/>
  <c r="AD14" i="15"/>
  <c r="W128" i="8"/>
  <c r="W26" i="8"/>
  <c r="W28" i="8" s="1"/>
  <c r="W139" i="8"/>
  <c r="Y148" i="8"/>
  <c r="Z150" i="8"/>
  <c r="Y62" i="10"/>
  <c r="G20" i="10"/>
  <c r="G225" i="10"/>
  <c r="I170" i="10"/>
  <c r="I170" i="5" s="1"/>
  <c r="I173" i="5" s="1"/>
  <c r="H229" i="10"/>
  <c r="H226" i="10"/>
  <c r="N164" i="10"/>
  <c r="M223" i="10"/>
  <c r="M29" i="10"/>
  <c r="L72" i="10"/>
  <c r="L221" i="10"/>
  <c r="L232" i="10"/>
  <c r="AD10" i="13"/>
  <c r="AD14" i="13"/>
  <c r="W48" i="8"/>
  <c r="X179" i="5"/>
  <c r="X48" i="8" s="1"/>
  <c r="V48" i="8"/>
  <c r="AE9" i="1"/>
  <c r="AE10" i="1" s="1"/>
  <c r="AE7" i="1"/>
  <c r="AE6" i="1" s="1"/>
  <c r="AF8" i="1"/>
  <c r="AE5" i="1"/>
  <c r="AE9" i="13"/>
  <c r="AE7" i="13"/>
  <c r="AE6" i="13" s="1"/>
  <c r="AE5" i="13"/>
  <c r="AF8" i="13"/>
  <c r="K49" i="11"/>
  <c r="K81" i="11"/>
  <c r="H32" i="10"/>
  <c r="H82" i="16" s="1"/>
  <c r="L14" i="10"/>
  <c r="L64" i="10"/>
  <c r="L5" i="11"/>
  <c r="L9" i="11"/>
  <c r="L99" i="10"/>
  <c r="K21" i="10"/>
  <c r="K195" i="10"/>
  <c r="J37" i="10"/>
  <c r="K155" i="10"/>
  <c r="J28" i="10"/>
  <c r="L7" i="11"/>
  <c r="L6" i="11" s="1"/>
  <c r="K14" i="11"/>
  <c r="K10" i="11"/>
  <c r="AD104" i="8"/>
  <c r="AC115" i="8"/>
  <c r="AC25" i="8" s="1"/>
  <c r="M117" i="8"/>
  <c r="M158" i="8"/>
  <c r="M163" i="8"/>
  <c r="M175" i="8"/>
  <c r="M103" i="8"/>
  <c r="M168" i="8"/>
  <c r="M19" i="8"/>
  <c r="M143" i="8"/>
  <c r="M130" i="8"/>
  <c r="M10" i="8"/>
  <c r="M68" i="8"/>
  <c r="M41" i="8"/>
  <c r="M73" i="8"/>
  <c r="M78" i="8"/>
  <c r="N9" i="8"/>
  <c r="N5" i="8"/>
  <c r="N7" i="8"/>
  <c r="N6" i="8" s="1"/>
  <c r="O8" i="8"/>
  <c r="Y118" i="8"/>
  <c r="X124" i="8"/>
  <c r="X127" i="8"/>
  <c r="AB183" i="8"/>
  <c r="AC183" i="8" s="1"/>
  <c r="Z89" i="8"/>
  <c r="Z90" i="8" s="1"/>
  <c r="Z97" i="8" s="1"/>
  <c r="Z22" i="8" s="1"/>
  <c r="AA86" i="8"/>
  <c r="P45" i="8"/>
  <c r="X27" i="8"/>
  <c r="Y136" i="8"/>
  <c r="Y137" i="8" s="1"/>
  <c r="Z135" i="8"/>
  <c r="AA133" i="8"/>
  <c r="AB132" i="8"/>
  <c r="W99" i="8"/>
  <c r="AA95" i="8"/>
  <c r="W23" i="8"/>
  <c r="X20" i="8"/>
  <c r="X74" i="8"/>
  <c r="X76" i="8" s="1"/>
  <c r="X21" i="8" s="1"/>
  <c r="AA75" i="8"/>
  <c r="Y71" i="8"/>
  <c r="Z70" i="8"/>
  <c r="M121" i="10"/>
  <c r="H58" i="5"/>
  <c r="L98" i="10"/>
  <c r="L120" i="10"/>
  <c r="H113" i="10"/>
  <c r="H40" i="1"/>
  <c r="I105" i="10"/>
  <c r="I84" i="10"/>
  <c r="H91" i="10"/>
  <c r="H46" i="1"/>
  <c r="L117" i="10"/>
  <c r="L111" i="10"/>
  <c r="L104" i="10"/>
  <c r="K190" i="10"/>
  <c r="K36" i="10" s="1"/>
  <c r="L194" i="10"/>
  <c r="L200" i="10"/>
  <c r="L189" i="10"/>
  <c r="L89" i="10"/>
  <c r="L95" i="10"/>
  <c r="L179" i="10"/>
  <c r="L83" i="10"/>
  <c r="L154" i="10"/>
  <c r="L160" i="10"/>
  <c r="L148" i="10"/>
  <c r="L131" i="10"/>
  <c r="L140" i="10"/>
  <c r="L75" i="10"/>
  <c r="L55" i="10"/>
  <c r="N8" i="11"/>
  <c r="M7" i="11"/>
  <c r="M6" i="11" s="1"/>
  <c r="AL6" i="11" s="1"/>
  <c r="M9" i="11"/>
  <c r="M81" i="11" s="1"/>
  <c r="M5" i="11"/>
  <c r="AL5" i="11" s="1"/>
  <c r="L10" i="10"/>
  <c r="L48" i="10"/>
  <c r="L169" i="10"/>
  <c r="M7" i="10"/>
  <c r="M6" i="10" s="1"/>
  <c r="AL6" i="10" s="1"/>
  <c r="N8" i="10"/>
  <c r="M5" i="10"/>
  <c r="M9" i="10"/>
  <c r="M215" i="10" s="1"/>
  <c r="X172" i="5"/>
  <c r="Y172" i="5" s="1"/>
  <c r="Y149" i="4" l="1"/>
  <c r="AL10" i="11"/>
  <c r="AK81" i="11"/>
  <c r="AK14" i="11"/>
  <c r="AK49" i="11"/>
  <c r="I90" i="10"/>
  <c r="H59" i="16"/>
  <c r="Y216" i="10"/>
  <c r="Y15" i="16"/>
  <c r="AL5" i="10"/>
  <c r="AL10" i="10" s="1"/>
  <c r="I112" i="10"/>
  <c r="I175" i="5"/>
  <c r="G80" i="16"/>
  <c r="H17" i="11"/>
  <c r="H18" i="11"/>
  <c r="AE87" i="16"/>
  <c r="AE70" i="16"/>
  <c r="AE73" i="16"/>
  <c r="AE10" i="16"/>
  <c r="AE46" i="16"/>
  <c r="AE54" i="16"/>
  <c r="AE14" i="16"/>
  <c r="AE26" i="16"/>
  <c r="AE40" i="16"/>
  <c r="AE56" i="15"/>
  <c r="AE27" i="15"/>
  <c r="AF9" i="16"/>
  <c r="AF5" i="16"/>
  <c r="AG8" i="16"/>
  <c r="AF7" i="16"/>
  <c r="AF6" i="16" s="1"/>
  <c r="AE14" i="15"/>
  <c r="AE10" i="15"/>
  <c r="AG8" i="15"/>
  <c r="AF5" i="15"/>
  <c r="AF9" i="15"/>
  <c r="AF51" i="15" s="1"/>
  <c r="AF7" i="15"/>
  <c r="AF6" i="15" s="1"/>
  <c r="K165" i="5"/>
  <c r="K168" i="5" s="1"/>
  <c r="X128" i="8"/>
  <c r="X26" i="8" s="1"/>
  <c r="X28" i="8" s="1"/>
  <c r="Z148" i="8"/>
  <c r="AA150" i="8"/>
  <c r="Z62" i="10"/>
  <c r="I32" i="10"/>
  <c r="I82" i="16" s="1"/>
  <c r="I226" i="10"/>
  <c r="I229" i="10"/>
  <c r="O164" i="10"/>
  <c r="N223" i="10"/>
  <c r="N29" i="10"/>
  <c r="M72" i="10"/>
  <c r="M221" i="10"/>
  <c r="M232" i="10"/>
  <c r="AE10" i="13"/>
  <c r="AE14" i="13"/>
  <c r="Y179" i="5"/>
  <c r="Y48" i="8" s="1"/>
  <c r="AF9" i="1"/>
  <c r="AF10" i="1" s="1"/>
  <c r="AF7" i="1"/>
  <c r="AF6" i="1" s="1"/>
  <c r="AG8" i="1"/>
  <c r="AF5" i="1"/>
  <c r="AF9" i="13"/>
  <c r="AF7" i="13"/>
  <c r="AF6" i="13" s="1"/>
  <c r="AG8" i="13"/>
  <c r="AF5" i="13"/>
  <c r="L49" i="11"/>
  <c r="L81" i="11"/>
  <c r="J170" i="10"/>
  <c r="J170" i="5" s="1"/>
  <c r="J173" i="5" s="1"/>
  <c r="J175" i="5" s="1"/>
  <c r="M14" i="10"/>
  <c r="M64" i="10"/>
  <c r="L14" i="11"/>
  <c r="L10" i="11"/>
  <c r="L155" i="10"/>
  <c r="K28" i="10"/>
  <c r="L195" i="10"/>
  <c r="K37" i="10"/>
  <c r="M99" i="10"/>
  <c r="L21" i="10"/>
  <c r="M49" i="11"/>
  <c r="M14" i="11"/>
  <c r="AE104" i="8"/>
  <c r="AD115" i="8"/>
  <c r="AD25" i="8" s="1"/>
  <c r="X139" i="8"/>
  <c r="Z118" i="8"/>
  <c r="Y127" i="8"/>
  <c r="Y124" i="8"/>
  <c r="P8" i="8"/>
  <c r="O5" i="8"/>
  <c r="O7" i="8"/>
  <c r="O6" i="8" s="1"/>
  <c r="O9" i="8"/>
  <c r="N73" i="8"/>
  <c r="N78" i="8"/>
  <c r="N103" i="8"/>
  <c r="N143" i="8"/>
  <c r="N117" i="8"/>
  <c r="N158" i="8"/>
  <c r="N168" i="8"/>
  <c r="N68" i="8"/>
  <c r="N130" i="8"/>
  <c r="N163" i="8"/>
  <c r="N175" i="8"/>
  <c r="N19" i="8"/>
  <c r="N41" i="8"/>
  <c r="N10" i="8"/>
  <c r="AD183" i="8"/>
  <c r="AB86" i="8"/>
  <c r="AA89" i="8"/>
  <c r="AA90" i="8" s="1"/>
  <c r="AA97" i="8" s="1"/>
  <c r="AA22" i="8" s="1"/>
  <c r="Q45" i="8"/>
  <c r="Y27" i="8"/>
  <c r="Z136" i="8"/>
  <c r="Z137" i="8" s="1"/>
  <c r="AA135" i="8"/>
  <c r="AB133" i="8"/>
  <c r="AC132" i="8"/>
  <c r="X99" i="8"/>
  <c r="AB95" i="8"/>
  <c r="X23" i="8"/>
  <c r="Y20" i="8"/>
  <c r="Y74" i="8"/>
  <c r="Y76" i="8" s="1"/>
  <c r="Y21" i="8" s="1"/>
  <c r="AB75" i="8"/>
  <c r="Z71" i="8"/>
  <c r="AA70" i="8"/>
  <c r="N121" i="10"/>
  <c r="M98" i="10"/>
  <c r="M120" i="10"/>
  <c r="I53" i="5"/>
  <c r="I56" i="5" s="1"/>
  <c r="I47" i="5"/>
  <c r="I50" i="5" s="1"/>
  <c r="M117" i="10"/>
  <c r="M111" i="10"/>
  <c r="M104" i="10"/>
  <c r="L190" i="10"/>
  <c r="L36" i="10" s="1"/>
  <c r="M194" i="10"/>
  <c r="M200" i="10"/>
  <c r="M189" i="10"/>
  <c r="M89" i="10"/>
  <c r="M95" i="10"/>
  <c r="M179" i="10"/>
  <c r="M83" i="10"/>
  <c r="M154" i="10"/>
  <c r="M160" i="10"/>
  <c r="M148" i="10"/>
  <c r="M131" i="10"/>
  <c r="M140" i="10"/>
  <c r="M75" i="10"/>
  <c r="M55" i="10"/>
  <c r="N9" i="11"/>
  <c r="N81" i="11" s="1"/>
  <c r="N5" i="11"/>
  <c r="N7" i="11"/>
  <c r="N6" i="11" s="1"/>
  <c r="O8" i="11"/>
  <c r="M10" i="11"/>
  <c r="O8" i="10"/>
  <c r="N5" i="10"/>
  <c r="N9" i="10"/>
  <c r="N215" i="10" s="1"/>
  <c r="N7" i="10"/>
  <c r="N6" i="10" s="1"/>
  <c r="M169" i="10"/>
  <c r="M48" i="10"/>
  <c r="M10" i="10"/>
  <c r="Z172" i="5"/>
  <c r="Z149" i="4" l="1"/>
  <c r="AL81" i="11"/>
  <c r="AL14" i="11"/>
  <c r="AL49" i="11"/>
  <c r="H118" i="10"/>
  <c r="H22" i="10" s="1"/>
  <c r="H96" i="10"/>
  <c r="H20" i="10" s="1"/>
  <c r="I63" i="16"/>
  <c r="I108" i="11"/>
  <c r="I55" i="11" s="1"/>
  <c r="I28" i="5"/>
  <c r="I20" i="5"/>
  <c r="AL215" i="10"/>
  <c r="AL55" i="10"/>
  <c r="AL120" i="10"/>
  <c r="AL140" i="10"/>
  <c r="AL98" i="10"/>
  <c r="AL131" i="10"/>
  <c r="AL221" i="10"/>
  <c r="AL104" i="10"/>
  <c r="AL154" i="10"/>
  <c r="AL189" i="10"/>
  <c r="AL95" i="10"/>
  <c r="AL160" i="10"/>
  <c r="AL232" i="10"/>
  <c r="AL148" i="10"/>
  <c r="AL194" i="10"/>
  <c r="AL179" i="10"/>
  <c r="AL14" i="10"/>
  <c r="AL169" i="10"/>
  <c r="AL200" i="10"/>
  <c r="AL75" i="10"/>
  <c r="AL89" i="10"/>
  <c r="AL111" i="10"/>
  <c r="AL48" i="10"/>
  <c r="AL64" i="10"/>
  <c r="AL72" i="10"/>
  <c r="AL117" i="10"/>
  <c r="AL83" i="10"/>
  <c r="Z216" i="10"/>
  <c r="Z15" i="16"/>
  <c r="J63" i="16"/>
  <c r="J108" i="11"/>
  <c r="J55" i="11" s="1"/>
  <c r="J28" i="5"/>
  <c r="I21" i="5"/>
  <c r="AJ80" i="16" a="1"/>
  <c r="AJ80" i="16" s="1"/>
  <c r="AF87" i="16"/>
  <c r="AF70" i="16"/>
  <c r="AF73" i="16"/>
  <c r="AF10" i="16"/>
  <c r="AF46" i="16"/>
  <c r="AF54" i="16"/>
  <c r="AF14" i="16"/>
  <c r="AF26" i="16"/>
  <c r="AF40" i="16"/>
  <c r="AF56" i="15"/>
  <c r="AF27" i="15"/>
  <c r="AH8" i="16"/>
  <c r="AG9" i="16"/>
  <c r="AG5" i="16"/>
  <c r="AG7" i="16"/>
  <c r="AG6" i="16" s="1"/>
  <c r="AG5" i="15"/>
  <c r="AG9" i="15"/>
  <c r="AG51" i="15" s="1"/>
  <c r="AG7" i="15"/>
  <c r="AG6" i="15" s="1"/>
  <c r="AH8" i="15"/>
  <c r="AF14" i="15"/>
  <c r="AF10" i="15"/>
  <c r="M155" i="10"/>
  <c r="L165" i="5"/>
  <c r="L168" i="5" s="1"/>
  <c r="Y128" i="8"/>
  <c r="Y139" i="8" s="1"/>
  <c r="AA148" i="8"/>
  <c r="AB150" i="8"/>
  <c r="AA62" i="10"/>
  <c r="P164" i="10"/>
  <c r="O223" i="10"/>
  <c r="O29" i="10"/>
  <c r="N72" i="10"/>
  <c r="N221" i="10"/>
  <c r="N232" i="10"/>
  <c r="AF10" i="13"/>
  <c r="AF14" i="13"/>
  <c r="Z179" i="5"/>
  <c r="Z48" i="8" s="1"/>
  <c r="AG9" i="1"/>
  <c r="AG10" i="1" s="1"/>
  <c r="AG7" i="1"/>
  <c r="AG6" i="1" s="1"/>
  <c r="AH8" i="1"/>
  <c r="AG5" i="1"/>
  <c r="AG7" i="13"/>
  <c r="AG6" i="13" s="1"/>
  <c r="AH8" i="13"/>
  <c r="AG5" i="13"/>
  <c r="AG9" i="13"/>
  <c r="N14" i="10"/>
  <c r="N64" i="10"/>
  <c r="N99" i="10"/>
  <c r="M21" i="10"/>
  <c r="M195" i="10"/>
  <c r="L37" i="10"/>
  <c r="N49" i="11"/>
  <c r="N14" i="11"/>
  <c r="AF104" i="8"/>
  <c r="AE115" i="8"/>
  <c r="AE25" i="8" s="1"/>
  <c r="Y26" i="8"/>
  <c r="Y28" i="8" s="1"/>
  <c r="P9" i="8"/>
  <c r="P5" i="8"/>
  <c r="P7" i="8"/>
  <c r="P6" i="8" s="1"/>
  <c r="Z124" i="8"/>
  <c r="AA118" i="8"/>
  <c r="Z127" i="8"/>
  <c r="O73" i="8"/>
  <c r="O10" i="8"/>
  <c r="O103" i="8"/>
  <c r="O41" i="8"/>
  <c r="O117" i="8"/>
  <c r="O130" i="8"/>
  <c r="O68" i="8"/>
  <c r="O78" i="8"/>
  <c r="O163" i="8"/>
  <c r="O168" i="8"/>
  <c r="O19" i="8"/>
  <c r="O158" i="8"/>
  <c r="O175" i="8"/>
  <c r="O143" i="8"/>
  <c r="AE183" i="8"/>
  <c r="AF183" i="8" s="1"/>
  <c r="AB89" i="8"/>
  <c r="AB90" i="8" s="1"/>
  <c r="AB97" i="8" s="1"/>
  <c r="AB22" i="8" s="1"/>
  <c r="AC86" i="8"/>
  <c r="R45" i="8"/>
  <c r="Z27" i="8"/>
  <c r="AA136" i="8"/>
  <c r="AA137" i="8" s="1"/>
  <c r="AB135" i="8"/>
  <c r="AD132" i="8"/>
  <c r="AC133" i="8"/>
  <c r="Y99" i="8"/>
  <c r="AC95" i="8"/>
  <c r="Z20" i="8"/>
  <c r="Z74" i="8"/>
  <c r="Z76" i="8" s="1"/>
  <c r="Z21" i="8" s="1"/>
  <c r="Y23" i="8"/>
  <c r="AC75" i="8"/>
  <c r="AB70" i="8"/>
  <c r="AA71" i="8"/>
  <c r="O121" i="10"/>
  <c r="N98" i="10"/>
  <c r="N120" i="10"/>
  <c r="I58" i="5"/>
  <c r="Q158" i="5"/>
  <c r="R158" i="5" s="1"/>
  <c r="J105" i="10"/>
  <c r="I40" i="1"/>
  <c r="I113" i="10"/>
  <c r="I91" i="10"/>
  <c r="I46" i="1"/>
  <c r="J84" i="10"/>
  <c r="N117" i="10"/>
  <c r="N111" i="10"/>
  <c r="N104" i="10"/>
  <c r="M190" i="10"/>
  <c r="M36" i="10" s="1"/>
  <c r="N194" i="10"/>
  <c r="N200" i="10"/>
  <c r="N189" i="10"/>
  <c r="N89" i="10"/>
  <c r="N95" i="10"/>
  <c r="N179" i="10"/>
  <c r="N83" i="10"/>
  <c r="N154" i="10"/>
  <c r="N160" i="10"/>
  <c r="N148" i="10"/>
  <c r="N131" i="10"/>
  <c r="N140" i="10"/>
  <c r="N75" i="10"/>
  <c r="N55" i="10"/>
  <c r="O7" i="11"/>
  <c r="O6" i="11" s="1"/>
  <c r="O5" i="11"/>
  <c r="O9" i="11"/>
  <c r="O81" i="11" s="1"/>
  <c r="P8" i="11"/>
  <c r="N10" i="11"/>
  <c r="P8" i="10"/>
  <c r="O5" i="10"/>
  <c r="O9" i="10"/>
  <c r="O215" i="10" s="1"/>
  <c r="O7" i="10"/>
  <c r="O6" i="10" s="1"/>
  <c r="N169" i="10"/>
  <c r="N48" i="10"/>
  <c r="N10" i="10"/>
  <c r="AA172" i="5"/>
  <c r="AA149" i="4" l="1"/>
  <c r="H225" i="10"/>
  <c r="H80" i="16"/>
  <c r="J90" i="10"/>
  <c r="AB62" i="10"/>
  <c r="AA15" i="16"/>
  <c r="J112" i="10"/>
  <c r="I59" i="16"/>
  <c r="I18" i="11"/>
  <c r="I17" i="11"/>
  <c r="AG73" i="16"/>
  <c r="AG70" i="16"/>
  <c r="AG87" i="16"/>
  <c r="AG10" i="16"/>
  <c r="AG54" i="16"/>
  <c r="AG14" i="16"/>
  <c r="AG26" i="16"/>
  <c r="AG46" i="16"/>
  <c r="AG40" i="16"/>
  <c r="AG56" i="15"/>
  <c r="AG27" i="15"/>
  <c r="AH5" i="16"/>
  <c r="AH9" i="16"/>
  <c r="AH7" i="16"/>
  <c r="AH6" i="16" s="1"/>
  <c r="AG10" i="15"/>
  <c r="AG14" i="15"/>
  <c r="AH5" i="15"/>
  <c r="AH9" i="15"/>
  <c r="AH51" i="15" s="1"/>
  <c r="AH7" i="15"/>
  <c r="AH6" i="15" s="1"/>
  <c r="N155" i="10"/>
  <c r="M165" i="5"/>
  <c r="M168" i="5" s="1"/>
  <c r="L28" i="10"/>
  <c r="AA216" i="10"/>
  <c r="AB148" i="8"/>
  <c r="AC150" i="8"/>
  <c r="Z128" i="8"/>
  <c r="Z26" i="8" s="1"/>
  <c r="Z28" i="8" s="1"/>
  <c r="K170" i="10"/>
  <c r="J229" i="10"/>
  <c r="J226" i="10"/>
  <c r="P29" i="10"/>
  <c r="P223" i="10"/>
  <c r="O72" i="10"/>
  <c r="O221" i="10"/>
  <c r="O232" i="10"/>
  <c r="AG10" i="13"/>
  <c r="AG14" i="13"/>
  <c r="AA179" i="5"/>
  <c r="AA48" i="8" s="1"/>
  <c r="AH7" i="1"/>
  <c r="AH6" i="1" s="1"/>
  <c r="AH5" i="1"/>
  <c r="AH9" i="1"/>
  <c r="AH10" i="1" s="1"/>
  <c r="AH5" i="13"/>
  <c r="AH9" i="13"/>
  <c r="AH7" i="13"/>
  <c r="AH6" i="13" s="1"/>
  <c r="J32" i="10"/>
  <c r="J82" i="16" s="1"/>
  <c r="O14" i="10"/>
  <c r="O64" i="10"/>
  <c r="O99" i="10"/>
  <c r="N21" i="10"/>
  <c r="N195" i="10"/>
  <c r="M37" i="10"/>
  <c r="K170" i="5"/>
  <c r="K173" i="5" s="1"/>
  <c r="O14" i="11"/>
  <c r="O49" i="11"/>
  <c r="AF115" i="8"/>
  <c r="AF25" i="8" s="1"/>
  <c r="AG104" i="8"/>
  <c r="P78" i="8"/>
  <c r="P158" i="8"/>
  <c r="P68" i="8"/>
  <c r="P168" i="8"/>
  <c r="P19" i="8"/>
  <c r="P73" i="8"/>
  <c r="P103" i="8"/>
  <c r="P143" i="8"/>
  <c r="P117" i="8"/>
  <c r="P175" i="8"/>
  <c r="P130" i="8"/>
  <c r="P10" i="8"/>
  <c r="P163" i="8"/>
  <c r="P41" i="8"/>
  <c r="AB118" i="8"/>
  <c r="AA127" i="8"/>
  <c r="AA124" i="8"/>
  <c r="AA128" i="8"/>
  <c r="AA26" i="8" s="1"/>
  <c r="AG183" i="8"/>
  <c r="AH183" i="8" s="1"/>
  <c r="AC89" i="8"/>
  <c r="AC90" i="8" s="1"/>
  <c r="AC97" i="8" s="1"/>
  <c r="AC22" i="8" s="1"/>
  <c r="AD86" i="8"/>
  <c r="S45" i="8"/>
  <c r="AA27" i="8"/>
  <c r="AB136" i="8"/>
  <c r="AB137" i="8" s="1"/>
  <c r="AC135" i="8"/>
  <c r="AE132" i="8"/>
  <c r="AD133" i="8"/>
  <c r="Z99" i="8"/>
  <c r="AD95" i="8"/>
  <c r="AA20" i="8"/>
  <c r="AA74" i="8"/>
  <c r="AA76" i="8" s="1"/>
  <c r="AA21" i="8" s="1"/>
  <c r="Z23" i="8"/>
  <c r="AD75" i="8"/>
  <c r="AC70" i="8"/>
  <c r="AB71" i="8"/>
  <c r="P121" i="10"/>
  <c r="O98" i="10"/>
  <c r="O120" i="10"/>
  <c r="S158" i="5"/>
  <c r="J53" i="5"/>
  <c r="J56" i="5" s="1"/>
  <c r="J47" i="5"/>
  <c r="J50" i="5" s="1"/>
  <c r="O117" i="10"/>
  <c r="O111" i="10"/>
  <c r="O104" i="10"/>
  <c r="N190" i="10"/>
  <c r="N36" i="10" s="1"/>
  <c r="O194" i="10"/>
  <c r="O200" i="10"/>
  <c r="O189" i="10"/>
  <c r="O89" i="10"/>
  <c r="O95" i="10"/>
  <c r="O179" i="10"/>
  <c r="O83" i="10"/>
  <c r="O154" i="10"/>
  <c r="O160" i="10"/>
  <c r="O148" i="10"/>
  <c r="O131" i="10"/>
  <c r="O140" i="10"/>
  <c r="O75" i="10"/>
  <c r="O55" i="10"/>
  <c r="O10" i="11"/>
  <c r="P5" i="11"/>
  <c r="P9" i="11"/>
  <c r="P81" i="11" s="1"/>
  <c r="Q8" i="11"/>
  <c r="P7" i="11"/>
  <c r="P6" i="11" s="1"/>
  <c r="AM6" i="11" s="1"/>
  <c r="P5" i="10"/>
  <c r="P9" i="10"/>
  <c r="P215" i="10" s="1"/>
  <c r="P7" i="10"/>
  <c r="P6" i="10" s="1"/>
  <c r="AM6" i="10" s="1"/>
  <c r="Q8" i="10"/>
  <c r="O169" i="10"/>
  <c r="O48" i="10"/>
  <c r="O10" i="10"/>
  <c r="AB172" i="5"/>
  <c r="AC172" i="5" s="1"/>
  <c r="AB149" i="4" l="1"/>
  <c r="AM5" i="11"/>
  <c r="AM10" i="11" s="1"/>
  <c r="I96" i="10"/>
  <c r="I118" i="10"/>
  <c r="I22" i="10" s="1"/>
  <c r="AB216" i="10"/>
  <c r="AB15" i="16"/>
  <c r="AM5" i="10"/>
  <c r="AM10" i="10" s="1"/>
  <c r="J20" i="5"/>
  <c r="AK82" i="16" a="1"/>
  <c r="AK82" i="16" s="1"/>
  <c r="AU82" i="16"/>
  <c r="J21" i="5"/>
  <c r="K175" i="5"/>
  <c r="AC62" i="10"/>
  <c r="AH70" i="16"/>
  <c r="AH87" i="16"/>
  <c r="AH73" i="16"/>
  <c r="AM64" i="16" a="1"/>
  <c r="AM64" i="16" s="1"/>
  <c r="AQ61" i="16" a="1"/>
  <c r="AQ61" i="16" s="1"/>
  <c r="AJ61" i="16" a="1"/>
  <c r="AJ61" i="16" s="1"/>
  <c r="AU61" i="16" a="1"/>
  <c r="AU61" i="16" s="1"/>
  <c r="AS64" i="16" a="1"/>
  <c r="AS64" i="16" s="1"/>
  <c r="AR64" i="16" a="1"/>
  <c r="AR64" i="16" s="1"/>
  <c r="AS61" i="16" a="1"/>
  <c r="AS61" i="16" s="1"/>
  <c r="AR61" i="16" a="1"/>
  <c r="AR61" i="16" s="1"/>
  <c r="AJ64" i="16" a="1"/>
  <c r="AJ64" i="16" s="1"/>
  <c r="AV64" i="16" a="1"/>
  <c r="AV64" i="16" s="1"/>
  <c r="AU9" i="16"/>
  <c r="AU64" i="16" a="1"/>
  <c r="AU64" i="16" s="1"/>
  <c r="AW61" i="16" a="1"/>
  <c r="AW61" i="16" s="1"/>
  <c r="AV9" i="16"/>
  <c r="AW64" i="16" a="1"/>
  <c r="AW64" i="16" s="1"/>
  <c r="AV61" i="16" a="1"/>
  <c r="AV61" i="16" s="1"/>
  <c r="AW9" i="16"/>
  <c r="AK64" i="16" a="1"/>
  <c r="AK64" i="16" s="1"/>
  <c r="AL61" i="16" a="1"/>
  <c r="AL61" i="16" s="1"/>
  <c r="AK61" i="16" a="1"/>
  <c r="AK61" i="16" s="1"/>
  <c r="AL64" i="16" a="1"/>
  <c r="AL64" i="16" s="1"/>
  <c r="AM61" i="16" a="1"/>
  <c r="AM61" i="16" s="1"/>
  <c r="AN64" i="16" a="1"/>
  <c r="AN64" i="16" s="1"/>
  <c r="AN61" i="16" a="1"/>
  <c r="AN61" i="16" s="1"/>
  <c r="AO64" i="16" a="1"/>
  <c r="AO64" i="16" s="1"/>
  <c r="AO61" i="16" a="1"/>
  <c r="AO61" i="16" s="1"/>
  <c r="AP64" i="16" a="1"/>
  <c r="AP64" i="16" s="1"/>
  <c r="AP61" i="16" a="1"/>
  <c r="AP61" i="16" s="1"/>
  <c r="AQ64" i="16" a="1"/>
  <c r="AQ64" i="16" s="1"/>
  <c r="AH10" i="16"/>
  <c r="AH54" i="16"/>
  <c r="AH14" i="16"/>
  <c r="AH26" i="16"/>
  <c r="AH40" i="16"/>
  <c r="AH46" i="16"/>
  <c r="AH56" i="15"/>
  <c r="AH27" i="15"/>
  <c r="AH10" i="15"/>
  <c r="AH14" i="15"/>
  <c r="O155" i="10"/>
  <c r="N165" i="5"/>
  <c r="N168" i="5" s="1"/>
  <c r="M28" i="10"/>
  <c r="AC216" i="10"/>
  <c r="Z139" i="8"/>
  <c r="AC148" i="8"/>
  <c r="AD150" i="8"/>
  <c r="I20" i="10"/>
  <c r="I80" i="16" s="1"/>
  <c r="I225" i="10"/>
  <c r="K229" i="10"/>
  <c r="K226" i="10"/>
  <c r="P72" i="10"/>
  <c r="P221" i="10"/>
  <c r="P232" i="10"/>
  <c r="AH10" i="13"/>
  <c r="AH14" i="13"/>
  <c r="AB179" i="5"/>
  <c r="AB48" i="8" s="1"/>
  <c r="P14" i="10"/>
  <c r="P64" i="10"/>
  <c r="N28" i="10"/>
  <c r="O195" i="10"/>
  <c r="N37" i="10"/>
  <c r="P99" i="10"/>
  <c r="O21" i="10"/>
  <c r="L170" i="10"/>
  <c r="K32" i="10"/>
  <c r="K82" i="16" s="1"/>
  <c r="P14" i="11"/>
  <c r="P49" i="11"/>
  <c r="AG115" i="8"/>
  <c r="AG25" i="8" s="1"/>
  <c r="AH104" i="8"/>
  <c r="AH115" i="8" s="1"/>
  <c r="AH25" i="8" s="1"/>
  <c r="AA139" i="8"/>
  <c r="AA28" i="8"/>
  <c r="AC118" i="8"/>
  <c r="AB124" i="8"/>
  <c r="AB127" i="8"/>
  <c r="AB128" i="8"/>
  <c r="AB26" i="8" s="1"/>
  <c r="AD89" i="8"/>
  <c r="AD90" i="8" s="1"/>
  <c r="AD97" i="8" s="1"/>
  <c r="AD22" i="8" s="1"/>
  <c r="AE86" i="8"/>
  <c r="T45" i="8"/>
  <c r="AB27" i="8"/>
  <c r="AD135" i="8"/>
  <c r="AC136" i="8"/>
  <c r="AC137" i="8" s="1"/>
  <c r="AE133" i="8"/>
  <c r="AF132" i="8"/>
  <c r="AA99" i="8"/>
  <c r="AE95" i="8"/>
  <c r="AB20" i="8"/>
  <c r="AB74" i="8"/>
  <c r="AB76" i="8" s="1"/>
  <c r="AB21" i="8" s="1"/>
  <c r="AA23" i="8"/>
  <c r="AE75" i="8"/>
  <c r="AD70" i="8"/>
  <c r="AC71" i="8"/>
  <c r="Q121" i="10"/>
  <c r="P98" i="10"/>
  <c r="P120" i="10"/>
  <c r="J58" i="5"/>
  <c r="T158" i="5"/>
  <c r="J40" i="1"/>
  <c r="J113" i="10"/>
  <c r="K105" i="10"/>
  <c r="K84" i="10"/>
  <c r="J91" i="10"/>
  <c r="J46" i="1"/>
  <c r="P117" i="10"/>
  <c r="P111" i="10"/>
  <c r="P104" i="10"/>
  <c r="O190" i="10"/>
  <c r="O36" i="10" s="1"/>
  <c r="P194" i="10"/>
  <c r="P200" i="10"/>
  <c r="P189" i="10"/>
  <c r="P89" i="10"/>
  <c r="P95" i="10"/>
  <c r="P179" i="10"/>
  <c r="P83" i="10"/>
  <c r="P154" i="10"/>
  <c r="P160" i="10"/>
  <c r="P148" i="10"/>
  <c r="P131" i="10"/>
  <c r="P140" i="10"/>
  <c r="P75" i="10"/>
  <c r="P55" i="10"/>
  <c r="P10" i="11"/>
  <c r="R8" i="11"/>
  <c r="Q9" i="11"/>
  <c r="Q81" i="11" s="1"/>
  <c r="Q5" i="11"/>
  <c r="Q7" i="11"/>
  <c r="Q6" i="11" s="1"/>
  <c r="P169" i="10"/>
  <c r="P48" i="10"/>
  <c r="P10" i="10"/>
  <c r="Q5" i="10"/>
  <c r="Q9" i="10"/>
  <c r="Q215" i="10" s="1"/>
  <c r="Q7" i="10"/>
  <c r="Q6" i="10" s="1"/>
  <c r="R8" i="10"/>
  <c r="AD172" i="5"/>
  <c r="AC149" i="4" l="1"/>
  <c r="AM81" i="11"/>
  <c r="AM14" i="11"/>
  <c r="AM49" i="11"/>
  <c r="J59" i="16"/>
  <c r="K112" i="10"/>
  <c r="AM221" i="10"/>
  <c r="AM154" i="10"/>
  <c r="AM189" i="10"/>
  <c r="AM232" i="10"/>
  <c r="AM148" i="10"/>
  <c r="AM194" i="10"/>
  <c r="AM111" i="10"/>
  <c r="AM169" i="10"/>
  <c r="AM200" i="10"/>
  <c r="AM83" i="10"/>
  <c r="AM95" i="10"/>
  <c r="AM117" i="10"/>
  <c r="AM160" i="10"/>
  <c r="AM179" i="10"/>
  <c r="AM14" i="10"/>
  <c r="AM64" i="10"/>
  <c r="AM72" i="10"/>
  <c r="AM120" i="10"/>
  <c r="AM75" i="10"/>
  <c r="AM89" i="10"/>
  <c r="AM48" i="10"/>
  <c r="AM215" i="10"/>
  <c r="AM55" i="10"/>
  <c r="AM98" i="10"/>
  <c r="AM140" i="10"/>
  <c r="AM104" i="10"/>
  <c r="AM131" i="10"/>
  <c r="K90" i="10"/>
  <c r="AD62" i="10"/>
  <c r="AC15" i="16"/>
  <c r="K108" i="11"/>
  <c r="K55" i="11" s="1"/>
  <c r="K28" i="5"/>
  <c r="K63" i="16"/>
  <c r="J17" i="11"/>
  <c r="J18" i="11"/>
  <c r="P155" i="10"/>
  <c r="O165" i="5"/>
  <c r="O168" i="5" s="1"/>
  <c r="AD148" i="8"/>
  <c r="AE150" i="8"/>
  <c r="Q72" i="10"/>
  <c r="Q232" i="10"/>
  <c r="Q221" i="10"/>
  <c r="AC179" i="5"/>
  <c r="AC48" i="8" s="1"/>
  <c r="Q14" i="10"/>
  <c r="Q64" i="10"/>
  <c r="P195" i="10"/>
  <c r="O37" i="10"/>
  <c r="Q99" i="10"/>
  <c r="Q102" i="10" s="1"/>
  <c r="P21" i="10"/>
  <c r="L170" i="5"/>
  <c r="L173" i="5" s="1"/>
  <c r="L175" i="5" s="1"/>
  <c r="Q14" i="11"/>
  <c r="Q49" i="11"/>
  <c r="AB139" i="8"/>
  <c r="AB28" i="8"/>
  <c r="AD118" i="8"/>
  <c r="AC127" i="8"/>
  <c r="AC128" i="8" s="1"/>
  <c r="AC26" i="8" s="1"/>
  <c r="AC124" i="8"/>
  <c r="AE89" i="8"/>
  <c r="AE90" i="8" s="1"/>
  <c r="AE97" i="8" s="1"/>
  <c r="AE22" i="8" s="1"/>
  <c r="AF86" i="8"/>
  <c r="U45" i="8"/>
  <c r="AC27" i="8"/>
  <c r="AD136" i="8"/>
  <c r="AD137" i="8" s="1"/>
  <c r="AE135" i="8"/>
  <c r="AF133" i="8"/>
  <c r="AG132" i="8"/>
  <c r="AB99" i="8"/>
  <c r="AF95" i="8"/>
  <c r="AB23" i="8"/>
  <c r="AC20" i="8"/>
  <c r="AC74" i="8"/>
  <c r="AC76" i="8" s="1"/>
  <c r="AC21" i="8" s="1"/>
  <c r="AF75" i="8"/>
  <c r="AE70" i="8"/>
  <c r="AD71" i="8"/>
  <c r="Q125" i="10"/>
  <c r="R121" i="10" s="1"/>
  <c r="Q98" i="10"/>
  <c r="Q120" i="10"/>
  <c r="U158" i="5"/>
  <c r="K53" i="5"/>
  <c r="K56" i="5" s="1"/>
  <c r="K21" i="5" s="1"/>
  <c r="J96" i="10"/>
  <c r="K47" i="5"/>
  <c r="K50" i="5" s="1"/>
  <c r="K20" i="5" s="1"/>
  <c r="Q117" i="10"/>
  <c r="Q111" i="10"/>
  <c r="Q104" i="10"/>
  <c r="P190" i="10"/>
  <c r="P36" i="10" s="1"/>
  <c r="Q194" i="10"/>
  <c r="Q200" i="10"/>
  <c r="Q189" i="10"/>
  <c r="Q89" i="10"/>
  <c r="Q95" i="10"/>
  <c r="Q179" i="10"/>
  <c r="Q83" i="10"/>
  <c r="Q154" i="10"/>
  <c r="Q160" i="10"/>
  <c r="Q148" i="10"/>
  <c r="Q131" i="10"/>
  <c r="Q140" i="10"/>
  <c r="Q75" i="10"/>
  <c r="Q55" i="10"/>
  <c r="Q10" i="11"/>
  <c r="R9" i="11"/>
  <c r="R81" i="11" s="1"/>
  <c r="S8" i="11"/>
  <c r="R7" i="11"/>
  <c r="R6" i="11" s="1"/>
  <c r="R5" i="11"/>
  <c r="R9" i="10"/>
  <c r="R215" i="10" s="1"/>
  <c r="R7" i="10"/>
  <c r="R6" i="10" s="1"/>
  <c r="S8" i="10"/>
  <c r="R5" i="10"/>
  <c r="Q48" i="10"/>
  <c r="Q169" i="10"/>
  <c r="Q10" i="10"/>
  <c r="AE172" i="5"/>
  <c r="AD149" i="4" l="1"/>
  <c r="J118" i="10"/>
  <c r="J22" i="10" s="1"/>
  <c r="K59" i="16"/>
  <c r="L63" i="16"/>
  <c r="L28" i="5"/>
  <c r="L108" i="11"/>
  <c r="L55" i="11" s="1"/>
  <c r="AD216" i="10"/>
  <c r="AD15" i="16"/>
  <c r="AE62" i="10"/>
  <c r="AF62" i="10" s="1"/>
  <c r="P165" i="5"/>
  <c r="P168" i="5" s="1"/>
  <c r="O28" i="10"/>
  <c r="AD179" i="5"/>
  <c r="AD48" i="8" s="1"/>
  <c r="AE148" i="8"/>
  <c r="AF150" i="8"/>
  <c r="J20" i="10"/>
  <c r="L229" i="10"/>
  <c r="L226" i="10"/>
  <c r="R72" i="10"/>
  <c r="R232" i="10"/>
  <c r="R221" i="10"/>
  <c r="Q21" i="10"/>
  <c r="R14" i="10"/>
  <c r="R64" i="10"/>
  <c r="Q195" i="10"/>
  <c r="Q198" i="10" s="1"/>
  <c r="P37" i="10"/>
  <c r="Q155" i="10"/>
  <c r="P28" i="10"/>
  <c r="L32" i="10"/>
  <c r="L82" i="16" s="1"/>
  <c r="M170" i="10"/>
  <c r="R14" i="11"/>
  <c r="R49" i="11"/>
  <c r="AC139" i="8"/>
  <c r="AC28" i="8"/>
  <c r="AE118" i="8"/>
  <c r="AD127" i="8"/>
  <c r="AD124" i="8"/>
  <c r="AD128" i="8"/>
  <c r="AD26" i="8" s="1"/>
  <c r="AG86" i="8"/>
  <c r="AF89" i="8"/>
  <c r="AF90" i="8" s="1"/>
  <c r="AF97" i="8" s="1"/>
  <c r="AF22" i="8" s="1"/>
  <c r="V45" i="8"/>
  <c r="AD27" i="8"/>
  <c r="AE136" i="8"/>
  <c r="AE137" i="8" s="1"/>
  <c r="AF135" i="8"/>
  <c r="AH132" i="8"/>
  <c r="AH133" i="8" s="1"/>
  <c r="AG133" i="8"/>
  <c r="AC99" i="8"/>
  <c r="AG95" i="8"/>
  <c r="AH95" i="8"/>
  <c r="AD20" i="8"/>
  <c r="AD74" i="8"/>
  <c r="AD76" i="8" s="1"/>
  <c r="AD21" i="8" s="1"/>
  <c r="AC23" i="8"/>
  <c r="AG75" i="8"/>
  <c r="AF70" i="8"/>
  <c r="AE71" i="8"/>
  <c r="R125" i="10"/>
  <c r="S121" i="10" s="1"/>
  <c r="R98" i="10"/>
  <c r="R120" i="10"/>
  <c r="K58" i="5"/>
  <c r="V158" i="5"/>
  <c r="R99" i="10"/>
  <c r="R102" i="10" s="1"/>
  <c r="K40" i="1"/>
  <c r="K18" i="11" s="1"/>
  <c r="K113" i="10"/>
  <c r="L105" i="10"/>
  <c r="L84" i="10"/>
  <c r="K91" i="10"/>
  <c r="K46" i="1"/>
  <c r="K17" i="11" s="1"/>
  <c r="R117" i="10"/>
  <c r="R111" i="10"/>
  <c r="R104" i="10"/>
  <c r="Q190" i="10"/>
  <c r="Q192" i="10" s="1"/>
  <c r="Q36" i="10" s="1"/>
  <c r="R194" i="10"/>
  <c r="R200" i="10"/>
  <c r="R189" i="10"/>
  <c r="R89" i="10"/>
  <c r="R95" i="10"/>
  <c r="R179" i="10"/>
  <c r="R83" i="10"/>
  <c r="R154" i="10"/>
  <c r="R160" i="10"/>
  <c r="R148" i="10"/>
  <c r="R131" i="10"/>
  <c r="R140" i="10"/>
  <c r="R75" i="10"/>
  <c r="R55" i="10"/>
  <c r="T8" i="11"/>
  <c r="S9" i="11"/>
  <c r="S81" i="11" s="1"/>
  <c r="S7" i="11"/>
  <c r="S6" i="11" s="1"/>
  <c r="AN6" i="11" s="1"/>
  <c r="S5" i="11"/>
  <c r="AN5" i="11" s="1"/>
  <c r="R10" i="11"/>
  <c r="S9" i="10"/>
  <c r="S215" i="10" s="1"/>
  <c r="S7" i="10"/>
  <c r="S6" i="10" s="1"/>
  <c r="AN6" i="10" s="1"/>
  <c r="T8" i="10"/>
  <c r="S5" i="10"/>
  <c r="R48" i="10"/>
  <c r="R169" i="10"/>
  <c r="R10" i="10"/>
  <c r="AF172" i="5"/>
  <c r="AG172" i="5" s="1"/>
  <c r="J225" i="10" l="1"/>
  <c r="AE149" i="4"/>
  <c r="AN10" i="11"/>
  <c r="AK22" i="10" a="1"/>
  <c r="AK22" i="10" s="1"/>
  <c r="AG62" i="10"/>
  <c r="AG216" i="10" s="1"/>
  <c r="L112" i="10"/>
  <c r="AF216" i="10"/>
  <c r="AF15" i="16"/>
  <c r="AE15" i="16"/>
  <c r="AE216" i="10"/>
  <c r="AN5" i="10"/>
  <c r="AJ144" i="10" a="1"/>
  <c r="AJ144" i="10" s="1"/>
  <c r="AJ33" i="10" a="1"/>
  <c r="AJ33" i="10" s="1"/>
  <c r="AJ32" i="10" a="1"/>
  <c r="AJ32" i="10" s="1"/>
  <c r="AJ87" i="10" a="1"/>
  <c r="AJ87" i="10" s="1"/>
  <c r="AJ93" i="10" a="1"/>
  <c r="AJ93" i="10" s="1"/>
  <c r="AJ115" i="10" a="1"/>
  <c r="AJ115" i="10" s="1"/>
  <c r="AJ152" i="10" a="1"/>
  <c r="AJ152" i="10" s="1"/>
  <c r="AJ21" i="10" a="1"/>
  <c r="AJ21" i="10" s="1"/>
  <c r="AJ164" i="10" a="1"/>
  <c r="AJ164" i="10" s="1"/>
  <c r="AJ102" i="10" a="1"/>
  <c r="AJ102" i="10" s="1"/>
  <c r="AJ37" i="10" a="1"/>
  <c r="AJ37" i="10" s="1"/>
  <c r="AJ79" i="10" a="1"/>
  <c r="AJ79" i="10" s="1"/>
  <c r="AJ68" i="10" a="1"/>
  <c r="AJ68" i="10" s="1"/>
  <c r="AJ125" i="10" a="1"/>
  <c r="AJ125" i="10" s="1"/>
  <c r="AJ29" i="10" a="1"/>
  <c r="AJ29" i="10" s="1"/>
  <c r="AJ36" i="10" a="1"/>
  <c r="AJ36" i="10" s="1"/>
  <c r="AJ16" i="10" a="1"/>
  <c r="AJ16" i="10" s="1"/>
  <c r="AJ158" i="10" a="1"/>
  <c r="AJ158" i="10" s="1"/>
  <c r="AJ60" i="10" a="1"/>
  <c r="AJ60" i="10" s="1"/>
  <c r="AJ28" i="10" a="1"/>
  <c r="AJ28" i="10" s="1"/>
  <c r="AJ17" i="10" a="1"/>
  <c r="AJ17" i="10" s="1"/>
  <c r="AJ198" i="10" a="1"/>
  <c r="AJ198" i="10" s="1"/>
  <c r="AJ192" i="10" a="1"/>
  <c r="AJ192" i="10" s="1"/>
  <c r="AJ173" i="10" a="1"/>
  <c r="AJ173" i="10" s="1"/>
  <c r="AJ26" i="10" a="1"/>
  <c r="AJ26" i="10" s="1"/>
  <c r="AJ25" i="10" a="1"/>
  <c r="AJ25" i="10" s="1"/>
  <c r="AJ136" i="10" a="1"/>
  <c r="AJ136" i="10" s="1"/>
  <c r="AJ180" i="10" a="1"/>
  <c r="AJ180" i="10" s="1"/>
  <c r="AJ109" i="10" a="1"/>
  <c r="AJ109" i="10" s="1"/>
  <c r="AU21" i="10"/>
  <c r="AU32" i="10"/>
  <c r="AU102" i="10"/>
  <c r="AU68" i="10"/>
  <c r="AU20" i="10"/>
  <c r="AU60" i="10"/>
  <c r="AU93" i="10"/>
  <c r="AU26" i="10"/>
  <c r="AU29" i="10"/>
  <c r="AU180" i="10"/>
  <c r="AU25" i="10"/>
  <c r="AU173" i="10"/>
  <c r="AU109" i="10"/>
  <c r="AU198" i="10"/>
  <c r="AU158" i="10"/>
  <c r="AU115" i="10"/>
  <c r="AU17" i="10"/>
  <c r="AU37" i="10"/>
  <c r="AU22" i="10"/>
  <c r="AU164" i="10"/>
  <c r="AU192" i="10"/>
  <c r="AU136" i="10"/>
  <c r="AU79" i="10"/>
  <c r="AU33" i="10"/>
  <c r="AU152" i="10"/>
  <c r="AU28" i="10"/>
  <c r="AU144" i="10"/>
  <c r="AU36" i="10"/>
  <c r="AU16" i="10"/>
  <c r="AU125" i="10"/>
  <c r="AU87" i="10"/>
  <c r="AK102" i="10" a="1"/>
  <c r="AK102" i="10" s="1"/>
  <c r="AK192" i="10" a="1"/>
  <c r="AK192" i="10" s="1"/>
  <c r="AK36" i="10" a="1"/>
  <c r="AK36" i="10" s="1"/>
  <c r="AK17" i="10" a="1"/>
  <c r="AK17" i="10" s="1"/>
  <c r="AK152" i="10" a="1"/>
  <c r="AK152" i="10" s="1"/>
  <c r="AK136" i="10" a="1"/>
  <c r="AK136" i="10" s="1"/>
  <c r="AK28" i="10" a="1"/>
  <c r="AK28" i="10" s="1"/>
  <c r="AK173" i="10" a="1"/>
  <c r="AK173" i="10" s="1"/>
  <c r="AK26" i="10" a="1"/>
  <c r="AK26" i="10" s="1"/>
  <c r="AK68" i="10" a="1"/>
  <c r="AK68" i="10" s="1"/>
  <c r="AK87" i="10" a="1"/>
  <c r="AK87" i="10" s="1"/>
  <c r="AK144" i="10" a="1"/>
  <c r="AK144" i="10" s="1"/>
  <c r="AK109" i="10" a="1"/>
  <c r="AK109" i="10" s="1"/>
  <c r="AK198" i="10" a="1"/>
  <c r="AK198" i="10" s="1"/>
  <c r="AK164" i="10" a="1"/>
  <c r="AK164" i="10" s="1"/>
  <c r="AK125" i="10" a="1"/>
  <c r="AK125" i="10" s="1"/>
  <c r="AK16" i="10" a="1"/>
  <c r="AK16" i="10" s="1"/>
  <c r="AK180" i="10" a="1"/>
  <c r="AK180" i="10" s="1"/>
  <c r="AK33" i="10" a="1"/>
  <c r="AK33" i="10" s="1"/>
  <c r="AK158" i="10" a="1"/>
  <c r="AK158" i="10" s="1"/>
  <c r="AK115" i="10" a="1"/>
  <c r="AK115" i="10" s="1"/>
  <c r="AK60" i="10" a="1"/>
  <c r="AK60" i="10" s="1"/>
  <c r="AK32" i="10" a="1"/>
  <c r="AK32" i="10" s="1"/>
  <c r="AK37" i="10" a="1"/>
  <c r="AK37" i="10" s="1"/>
  <c r="AK79" i="10" a="1"/>
  <c r="AK79" i="10" s="1"/>
  <c r="AK93" i="10" a="1"/>
  <c r="AK93" i="10" s="1"/>
  <c r="AK25" i="10" a="1"/>
  <c r="AK25" i="10" s="1"/>
  <c r="AK29" i="10" a="1"/>
  <c r="AK29" i="10" s="1"/>
  <c r="AK21" i="10" a="1"/>
  <c r="AK21" i="10" s="1"/>
  <c r="AJ22" i="10" a="1"/>
  <c r="AJ22" i="10" s="1"/>
  <c r="AJ20" i="10" a="1"/>
  <c r="AJ20" i="10" s="1"/>
  <c r="AL158" i="10" a="1"/>
  <c r="AL158" i="10" s="1"/>
  <c r="AL68" i="10" a="1"/>
  <c r="AL68" i="10" s="1"/>
  <c r="AL33" i="10" a="1"/>
  <c r="AL33" i="10" s="1"/>
  <c r="AL25" i="10" a="1"/>
  <c r="AL25" i="10" s="1"/>
  <c r="AL29" i="10" a="1"/>
  <c r="AL29" i="10" s="1"/>
  <c r="AL17" i="10" a="1"/>
  <c r="AL17" i="10" s="1"/>
  <c r="AL164" i="10" a="1"/>
  <c r="AL164" i="10" s="1"/>
  <c r="AL21" i="10" a="1"/>
  <c r="AL21" i="10" s="1"/>
  <c r="AL26" i="10" a="1"/>
  <c r="AL26" i="10" s="1"/>
  <c r="AL28" i="10" a="1"/>
  <c r="AL28" i="10" s="1"/>
  <c r="AL102" i="10" a="1"/>
  <c r="AL102" i="10" s="1"/>
  <c r="AL192" i="10" a="1"/>
  <c r="AL192" i="10" s="1"/>
  <c r="AL125" i="10" a="1"/>
  <c r="AL125" i="10" s="1"/>
  <c r="AL36" i="10" a="1"/>
  <c r="AL36" i="10" s="1"/>
  <c r="AL136" i="10" a="1"/>
  <c r="AL136" i="10" s="1"/>
  <c r="AL60" i="10" a="1"/>
  <c r="AL60" i="10" s="1"/>
  <c r="AL79" i="10" a="1"/>
  <c r="AL79" i="10" s="1"/>
  <c r="AL198" i="10" a="1"/>
  <c r="AL198" i="10" s="1"/>
  <c r="AL16" i="10" a="1"/>
  <c r="AL16" i="10" s="1"/>
  <c r="AL144" i="10" a="1"/>
  <c r="AL144" i="10" s="1"/>
  <c r="AL180" i="10" a="1"/>
  <c r="AL180" i="10" s="1"/>
  <c r="AL173" i="10" a="1"/>
  <c r="AL173" i="10" s="1"/>
  <c r="AL152" i="10" a="1"/>
  <c r="AL152" i="10" s="1"/>
  <c r="AL37" i="10" a="1"/>
  <c r="AL37" i="10" s="1"/>
  <c r="AM158" i="10" a="1"/>
  <c r="AM158" i="10" s="1"/>
  <c r="AM26" i="10" a="1"/>
  <c r="AM26" i="10" s="1"/>
  <c r="AM198" i="10" a="1"/>
  <c r="AM198" i="10" s="1"/>
  <c r="AM192" i="10" a="1"/>
  <c r="AM192" i="10" s="1"/>
  <c r="AM79" i="10" a="1"/>
  <c r="AM79" i="10" s="1"/>
  <c r="AM25" i="10" a="1"/>
  <c r="AM25" i="10" s="1"/>
  <c r="AM68" i="10" a="1"/>
  <c r="AM68" i="10" s="1"/>
  <c r="AM102" i="10" a="1"/>
  <c r="AM102" i="10" s="1"/>
  <c r="AM125" i="10" a="1"/>
  <c r="AM125" i="10" s="1"/>
  <c r="AM144" i="10" a="1"/>
  <c r="AM144" i="10" s="1"/>
  <c r="AM60" i="10" a="1"/>
  <c r="AM60" i="10" s="1"/>
  <c r="AM16" i="10" a="1"/>
  <c r="AM16" i="10" s="1"/>
  <c r="AM33" i="10" a="1"/>
  <c r="AM33" i="10" s="1"/>
  <c r="AM173" i="10" a="1"/>
  <c r="AM173" i="10" s="1"/>
  <c r="AM180" i="10" a="1"/>
  <c r="AM180" i="10" s="1"/>
  <c r="AM164" i="10" a="1"/>
  <c r="AM164" i="10" s="1"/>
  <c r="AM36" i="10" a="1"/>
  <c r="AM36" i="10" s="1"/>
  <c r="AM37" i="10" a="1"/>
  <c r="AM37" i="10" s="1"/>
  <c r="AM136" i="10" a="1"/>
  <c r="AM136" i="10" s="1"/>
  <c r="AM152" i="10" a="1"/>
  <c r="AM152" i="10" s="1"/>
  <c r="AM28" i="10" a="1"/>
  <c r="AM28" i="10" s="1"/>
  <c r="AM29" i="10" a="1"/>
  <c r="AM29" i="10" s="1"/>
  <c r="AM21" i="10" a="1"/>
  <c r="AM21" i="10" s="1"/>
  <c r="AM17" i="10" a="1"/>
  <c r="AM17" i="10" s="1"/>
  <c r="L90" i="10"/>
  <c r="AG15" i="16"/>
  <c r="AK20" i="10" a="1"/>
  <c r="AK20" i="10" s="1"/>
  <c r="J80" i="16"/>
  <c r="Q158" i="10"/>
  <c r="Q28" i="10" s="1"/>
  <c r="Q165" i="5"/>
  <c r="Q168" i="5" s="1"/>
  <c r="AE179" i="5"/>
  <c r="AF179" i="5" s="1"/>
  <c r="AF48" i="8" s="1"/>
  <c r="AF148" i="8"/>
  <c r="AG150" i="8"/>
  <c r="S72" i="10"/>
  <c r="S221" i="10"/>
  <c r="S232" i="10"/>
  <c r="R21" i="10"/>
  <c r="S14" i="10"/>
  <c r="S64" i="10"/>
  <c r="R195" i="10"/>
  <c r="R198" i="10" s="1"/>
  <c r="Q37" i="10"/>
  <c r="M170" i="5"/>
  <c r="M173" i="5" s="1"/>
  <c r="M175" i="5" s="1"/>
  <c r="S14" i="11"/>
  <c r="S49" i="11"/>
  <c r="AD28" i="8"/>
  <c r="AD139" i="8"/>
  <c r="AE124" i="8"/>
  <c r="AF118" i="8"/>
  <c r="AE127" i="8"/>
  <c r="AE128" i="8"/>
  <c r="AE26" i="8" s="1"/>
  <c r="AH86" i="8"/>
  <c r="AH89" i="8" s="1"/>
  <c r="AH90" i="8" s="1"/>
  <c r="AH97" i="8" s="1"/>
  <c r="AH22" i="8" s="1"/>
  <c r="AG89" i="8"/>
  <c r="AG90" i="8" s="1"/>
  <c r="AG97" i="8" s="1"/>
  <c r="AG22" i="8" s="1"/>
  <c r="W45" i="8"/>
  <c r="AE27" i="8"/>
  <c r="AF136" i="8"/>
  <c r="AF137" i="8" s="1"/>
  <c r="AG135" i="8"/>
  <c r="AD99" i="8"/>
  <c r="AE20" i="8"/>
  <c r="AE74" i="8"/>
  <c r="AE76" i="8" s="1"/>
  <c r="AE21" i="8" s="1"/>
  <c r="AD23" i="8"/>
  <c r="AH75" i="8"/>
  <c r="AF71" i="8"/>
  <c r="AG70" i="8"/>
  <c r="S125" i="10"/>
  <c r="T121" i="10" s="1"/>
  <c r="S98" i="10"/>
  <c r="S120" i="10"/>
  <c r="W158" i="5"/>
  <c r="S99" i="10"/>
  <c r="S102" i="10" s="1"/>
  <c r="L53" i="5"/>
  <c r="L56" i="5" s="1"/>
  <c r="L21" i="5" s="1"/>
  <c r="L47" i="5"/>
  <c r="L50" i="5" s="1"/>
  <c r="L20" i="5" s="1"/>
  <c r="S117" i="10"/>
  <c r="S111" i="10"/>
  <c r="S104" i="10"/>
  <c r="R190" i="10"/>
  <c r="R192" i="10" s="1"/>
  <c r="R36" i="10" s="1"/>
  <c r="S194" i="10"/>
  <c r="S200" i="10"/>
  <c r="S189" i="10"/>
  <c r="S89" i="10"/>
  <c r="S95" i="10"/>
  <c r="S179" i="10"/>
  <c r="S83" i="10"/>
  <c r="S154" i="10"/>
  <c r="S160" i="10"/>
  <c r="S148" i="10"/>
  <c r="S131" i="10"/>
  <c r="S140" i="10"/>
  <c r="S75" i="10"/>
  <c r="S55" i="10"/>
  <c r="S10" i="11"/>
  <c r="U8" i="11"/>
  <c r="T7" i="11"/>
  <c r="T6" i="11" s="1"/>
  <c r="T5" i="11"/>
  <c r="T9" i="11"/>
  <c r="T81" i="11" s="1"/>
  <c r="S169" i="10"/>
  <c r="S10" i="10"/>
  <c r="S48" i="10"/>
  <c r="T9" i="10"/>
  <c r="T215" i="10" s="1"/>
  <c r="T7" i="10"/>
  <c r="T6" i="10" s="1"/>
  <c r="U8" i="10"/>
  <c r="T5" i="10"/>
  <c r="AH172" i="5"/>
  <c r="AH62" i="10" l="1"/>
  <c r="L59" i="16"/>
  <c r="K118" i="10"/>
  <c r="K22" i="10" s="1"/>
  <c r="AF149" i="4"/>
  <c r="AN81" i="11"/>
  <c r="AN14" i="11"/>
  <c r="AN49" i="11"/>
  <c r="AL70" i="10"/>
  <c r="AJ70" i="10"/>
  <c r="AM70" i="10"/>
  <c r="AU70" i="10"/>
  <c r="AK70" i="10"/>
  <c r="K96" i="10"/>
  <c r="K20" i="10" s="1"/>
  <c r="K80" i="16" s="1"/>
  <c r="AU118" i="10"/>
  <c r="AJ118" i="10"/>
  <c r="AL73" i="10"/>
  <c r="AU73" i="10"/>
  <c r="AJ73" i="10"/>
  <c r="AK73" i="10"/>
  <c r="AM73" i="10"/>
  <c r="AK118" i="10"/>
  <c r="M108" i="11"/>
  <c r="M55" i="11" s="1"/>
  <c r="M28" i="5"/>
  <c r="M63" i="16"/>
  <c r="AJ185" i="10"/>
  <c r="AJ223" i="10"/>
  <c r="AU96" i="10"/>
  <c r="AJ229" i="10"/>
  <c r="AJ226" i="10"/>
  <c r="AJ96" i="10"/>
  <c r="AL229" i="10"/>
  <c r="AL226" i="10"/>
  <c r="AK96" i="10"/>
  <c r="AU223" i="10"/>
  <c r="AU185" i="10"/>
  <c r="AM229" i="10"/>
  <c r="AM226" i="10"/>
  <c r="AL185" i="10"/>
  <c r="AL223" i="10"/>
  <c r="AK223" i="10"/>
  <c r="AK185" i="10"/>
  <c r="AN102" i="10" a="1"/>
  <c r="AN102" i="10" s="1"/>
  <c r="AN125" i="10" a="1"/>
  <c r="AN125" i="10" s="1"/>
  <c r="AH216" i="10"/>
  <c r="AH15" i="16"/>
  <c r="AM223" i="10"/>
  <c r="AM185" i="10"/>
  <c r="AK226" i="10"/>
  <c r="AK229" i="10"/>
  <c r="AU229" i="10"/>
  <c r="AU226" i="10"/>
  <c r="AN10" i="10"/>
  <c r="AU80" i="16"/>
  <c r="AK80" i="16" a="1"/>
  <c r="AK80" i="16" s="1"/>
  <c r="R155" i="10"/>
  <c r="AG179" i="5"/>
  <c r="AG48" i="8" s="1"/>
  <c r="AE48" i="8"/>
  <c r="AE28" i="8"/>
  <c r="AG148" i="8"/>
  <c r="AH150" i="8"/>
  <c r="AH148" i="8" s="1"/>
  <c r="K225" i="10"/>
  <c r="M226" i="10"/>
  <c r="M229" i="10"/>
  <c r="T72" i="10"/>
  <c r="T221" i="10"/>
  <c r="T232" i="10"/>
  <c r="S21" i="10"/>
  <c r="AN21" i="10" s="1" a="1"/>
  <c r="AN21" i="10" s="1"/>
  <c r="T14" i="10"/>
  <c r="T64" i="10"/>
  <c r="S195" i="10"/>
  <c r="S198" i="10" s="1"/>
  <c r="AN198" i="10" s="1" a="1"/>
  <c r="AN198" i="10" s="1"/>
  <c r="R37" i="10"/>
  <c r="N170" i="10"/>
  <c r="M32" i="10"/>
  <c r="T14" i="11"/>
  <c r="T49" i="11"/>
  <c r="AG118" i="8"/>
  <c r="AF124" i="8"/>
  <c r="AF127" i="8"/>
  <c r="AF128" i="8" s="1"/>
  <c r="AF26" i="8" s="1"/>
  <c r="AE139" i="8"/>
  <c r="X45" i="8"/>
  <c r="AF27" i="8"/>
  <c r="AG136" i="8"/>
  <c r="AG137" i="8" s="1"/>
  <c r="AH135" i="8"/>
  <c r="AH136" i="8" s="1"/>
  <c r="AH137" i="8" s="1"/>
  <c r="AE99" i="8"/>
  <c r="AF20" i="8"/>
  <c r="AF74" i="8"/>
  <c r="AF76" i="8" s="1"/>
  <c r="AF21" i="8" s="1"/>
  <c r="AE23" i="8"/>
  <c r="AG71" i="8"/>
  <c r="AH70" i="8"/>
  <c r="AH71" i="8" s="1"/>
  <c r="T125" i="10"/>
  <c r="U121" i="10" s="1"/>
  <c r="L58" i="5"/>
  <c r="T98" i="10"/>
  <c r="T120" i="10"/>
  <c r="X158" i="5"/>
  <c r="T99" i="10"/>
  <c r="T102" i="10" s="1"/>
  <c r="M105" i="10"/>
  <c r="L40" i="1"/>
  <c r="L18" i="11" s="1"/>
  <c r="L113" i="10"/>
  <c r="L91" i="10"/>
  <c r="L46" i="1"/>
  <c r="L17" i="11" s="1"/>
  <c r="M84" i="10"/>
  <c r="T117" i="10"/>
  <c r="T111" i="10"/>
  <c r="T104" i="10"/>
  <c r="S190" i="10"/>
  <c r="S192" i="10" s="1"/>
  <c r="S36" i="10" s="1"/>
  <c r="AN36" i="10" s="1" a="1"/>
  <c r="AN36" i="10" s="1"/>
  <c r="T194" i="10"/>
  <c r="T200" i="10"/>
  <c r="T189" i="10"/>
  <c r="T89" i="10"/>
  <c r="T95" i="10"/>
  <c r="T179" i="10"/>
  <c r="T83" i="10"/>
  <c r="T154" i="10"/>
  <c r="T160" i="10"/>
  <c r="T148" i="10"/>
  <c r="T131" i="10"/>
  <c r="T140" i="10"/>
  <c r="T75" i="10"/>
  <c r="T55" i="10"/>
  <c r="T10" i="11"/>
  <c r="V8" i="11"/>
  <c r="U7" i="11"/>
  <c r="U6" i="11" s="1"/>
  <c r="U5" i="11"/>
  <c r="U9" i="11"/>
  <c r="U81" i="11" s="1"/>
  <c r="U7" i="10"/>
  <c r="U6" i="10" s="1"/>
  <c r="V8" i="10"/>
  <c r="U5" i="10"/>
  <c r="U9" i="10"/>
  <c r="U215" i="10" s="1"/>
  <c r="T169" i="10"/>
  <c r="T10" i="10"/>
  <c r="T48" i="10"/>
  <c r="AG149" i="4" l="1"/>
  <c r="AJ225" i="10"/>
  <c r="AU225" i="10"/>
  <c r="AK225" i="10"/>
  <c r="M90" i="10"/>
  <c r="M112" i="10"/>
  <c r="AN64" i="10"/>
  <c r="AN98" i="10"/>
  <c r="AN169" i="10"/>
  <c r="AN215" i="10"/>
  <c r="AN95" i="10"/>
  <c r="AN104" i="10"/>
  <c r="AN160" i="10"/>
  <c r="AN14" i="10"/>
  <c r="AN89" i="10"/>
  <c r="AN48" i="10"/>
  <c r="AN83" i="10"/>
  <c r="AN72" i="10"/>
  <c r="AN55" i="10"/>
  <c r="AN111" i="10"/>
  <c r="AN200" i="10"/>
  <c r="AN117" i="10"/>
  <c r="AN179" i="10"/>
  <c r="AN221" i="10"/>
  <c r="AN75" i="10"/>
  <c r="AN140" i="10"/>
  <c r="AN154" i="10"/>
  <c r="AN189" i="10"/>
  <c r="AN232" i="10"/>
  <c r="AN120" i="10"/>
  <c r="AN131" i="10"/>
  <c r="AN148" i="10"/>
  <c r="AN194" i="10"/>
  <c r="AN192" i="10" a="1"/>
  <c r="AN192" i="10" s="1"/>
  <c r="M82" i="16"/>
  <c r="AL32" i="10" a="1"/>
  <c r="AL32" i="10" s="1"/>
  <c r="R158" i="10"/>
  <c r="R165" i="5"/>
  <c r="R168" i="5" s="1"/>
  <c r="AH179" i="5"/>
  <c r="AH48" i="8" s="1"/>
  <c r="U72" i="10"/>
  <c r="U221" i="10"/>
  <c r="U232" i="10"/>
  <c r="T21" i="10"/>
  <c r="U14" i="10"/>
  <c r="U64" i="10"/>
  <c r="T195" i="10"/>
  <c r="T198" i="10" s="1"/>
  <c r="S37" i="10"/>
  <c r="AN37" i="10" s="1" a="1"/>
  <c r="AN37" i="10" s="1"/>
  <c r="N170" i="5"/>
  <c r="N173" i="5" s="1"/>
  <c r="N175" i="5" s="1"/>
  <c r="U49" i="11"/>
  <c r="U14" i="11"/>
  <c r="AF139" i="8"/>
  <c r="AF28" i="8"/>
  <c r="AG127" i="8"/>
  <c r="AH118" i="8"/>
  <c r="AG124" i="8"/>
  <c r="AG128" i="8"/>
  <c r="AG26" i="8" s="1"/>
  <c r="Y45" i="8"/>
  <c r="AH27" i="8"/>
  <c r="AG27" i="8"/>
  <c r="AF99" i="8"/>
  <c r="AH20" i="8"/>
  <c r="AH74" i="8"/>
  <c r="AH76" i="8" s="1"/>
  <c r="AH21" i="8" s="1"/>
  <c r="AG20" i="8"/>
  <c r="AG74" i="8"/>
  <c r="AG76" i="8" s="1"/>
  <c r="AG21" i="8" s="1"/>
  <c r="AF23" i="8"/>
  <c r="U125" i="10"/>
  <c r="V121" i="10" s="1"/>
  <c r="U98" i="10"/>
  <c r="U120" i="10"/>
  <c r="Y158" i="5"/>
  <c r="U99" i="10"/>
  <c r="U102" i="10" s="1"/>
  <c r="AL109" i="10" a="1"/>
  <c r="AL109" i="10" s="1"/>
  <c r="M53" i="5"/>
  <c r="M56" i="5" s="1"/>
  <c r="M21" i="5" s="1"/>
  <c r="AL87" i="10" a="1"/>
  <c r="AL87" i="10" s="1"/>
  <c r="M47" i="5"/>
  <c r="M50" i="5" s="1"/>
  <c r="M20" i="5" s="1"/>
  <c r="U117" i="10"/>
  <c r="U111" i="10"/>
  <c r="U104" i="10"/>
  <c r="T190" i="10"/>
  <c r="T192" i="10" s="1"/>
  <c r="T36" i="10" s="1"/>
  <c r="U194" i="10"/>
  <c r="U200" i="10"/>
  <c r="U189" i="10"/>
  <c r="U89" i="10"/>
  <c r="U95" i="10"/>
  <c r="U179" i="10"/>
  <c r="U83" i="10"/>
  <c r="U154" i="10"/>
  <c r="U160" i="10"/>
  <c r="U148" i="10"/>
  <c r="U131" i="10"/>
  <c r="U140" i="10"/>
  <c r="U75" i="10"/>
  <c r="U55" i="10"/>
  <c r="V9" i="11"/>
  <c r="V81" i="11" s="1"/>
  <c r="W8" i="11"/>
  <c r="V7" i="11"/>
  <c r="V6" i="11" s="1"/>
  <c r="AO6" i="11" s="1"/>
  <c r="V5" i="11"/>
  <c r="U10" i="11"/>
  <c r="U169" i="10"/>
  <c r="U48" i="10"/>
  <c r="U10" i="10"/>
  <c r="W8" i="10"/>
  <c r="V9" i="10"/>
  <c r="V215" i="10" s="1"/>
  <c r="V5" i="10"/>
  <c r="V7" i="10"/>
  <c r="V6" i="10" s="1"/>
  <c r="AO6" i="10" s="1"/>
  <c r="L118" i="10" l="1"/>
  <c r="L22" i="10" s="1"/>
  <c r="AH149" i="4"/>
  <c r="AO5" i="11"/>
  <c r="AO10" i="11" s="1"/>
  <c r="M59" i="16"/>
  <c r="L96" i="10"/>
  <c r="L225" i="10" s="1"/>
  <c r="AO5" i="10"/>
  <c r="AL82" i="16" a="1"/>
  <c r="AL82" i="16" s="1"/>
  <c r="N108" i="11"/>
  <c r="N55" i="11" s="1"/>
  <c r="N28" i="5"/>
  <c r="N63" i="16"/>
  <c r="S155" i="10"/>
  <c r="R28" i="10"/>
  <c r="N226" i="10"/>
  <c r="N229" i="10"/>
  <c r="L20" i="10"/>
  <c r="L80" i="16" s="1"/>
  <c r="V72" i="10"/>
  <c r="V221" i="10"/>
  <c r="V232" i="10"/>
  <c r="U21" i="10"/>
  <c r="V14" i="10"/>
  <c r="V64" i="10"/>
  <c r="U195" i="10"/>
  <c r="U198" i="10" s="1"/>
  <c r="T37" i="10"/>
  <c r="O170" i="10"/>
  <c r="N32" i="10"/>
  <c r="N82" i="16" s="1"/>
  <c r="V49" i="11"/>
  <c r="V14" i="11"/>
  <c r="AG28" i="8"/>
  <c r="AH127" i="8"/>
  <c r="AH124" i="8"/>
  <c r="AH128" i="8" s="1"/>
  <c r="AG139" i="8"/>
  <c r="Z45" i="8"/>
  <c r="AG99" i="8"/>
  <c r="AH99" i="8"/>
  <c r="AG23" i="8"/>
  <c r="AH23" i="8"/>
  <c r="V125" i="10"/>
  <c r="W121" i="10" s="1"/>
  <c r="M58" i="5"/>
  <c r="V98" i="10"/>
  <c r="V120" i="10"/>
  <c r="Z158" i="5"/>
  <c r="V99" i="10"/>
  <c r="V102" i="10" s="1"/>
  <c r="M40" i="1"/>
  <c r="M18" i="11" s="1"/>
  <c r="M113" i="10"/>
  <c r="N105" i="10"/>
  <c r="M91" i="10"/>
  <c r="M46" i="1"/>
  <c r="M17" i="11" s="1"/>
  <c r="N84" i="10"/>
  <c r="V117" i="10"/>
  <c r="V111" i="10"/>
  <c r="V104" i="10"/>
  <c r="U190" i="10"/>
  <c r="U192" i="10" s="1"/>
  <c r="U36" i="10" s="1"/>
  <c r="V194" i="10"/>
  <c r="V200" i="10"/>
  <c r="V189" i="10"/>
  <c r="V89" i="10"/>
  <c r="V95" i="10"/>
  <c r="V179" i="10"/>
  <c r="V83" i="10"/>
  <c r="V154" i="10"/>
  <c r="V160" i="10"/>
  <c r="V148" i="10"/>
  <c r="V131" i="10"/>
  <c r="V140" i="10"/>
  <c r="V75" i="10"/>
  <c r="V55" i="10"/>
  <c r="V10" i="11"/>
  <c r="W7" i="11"/>
  <c r="W6" i="11" s="1"/>
  <c r="W5" i="11"/>
  <c r="X8" i="11"/>
  <c r="W9" i="11"/>
  <c r="W81" i="11" s="1"/>
  <c r="X8" i="10"/>
  <c r="W5" i="10"/>
  <c r="W7" i="10"/>
  <c r="W6" i="10" s="1"/>
  <c r="W9" i="10"/>
  <c r="W215" i="10" s="1"/>
  <c r="V169" i="10"/>
  <c r="V48" i="10"/>
  <c r="V10" i="10"/>
  <c r="AO81" i="11" l="1"/>
  <c r="AO14" i="11"/>
  <c r="AO49" i="11"/>
  <c r="AV102" i="10"/>
  <c r="AO10" i="10"/>
  <c r="AV125" i="10"/>
  <c r="M96" i="10"/>
  <c r="S158" i="10"/>
  <c r="AN158" i="10" s="1" a="1"/>
  <c r="AN158" i="10" s="1"/>
  <c r="S165" i="5"/>
  <c r="S168" i="5" s="1"/>
  <c r="W72" i="10"/>
  <c r="W232" i="10"/>
  <c r="W221" i="10"/>
  <c r="V21" i="10"/>
  <c r="AV21" i="10" s="1"/>
  <c r="W14" i="10"/>
  <c r="W64" i="10"/>
  <c r="V195" i="10"/>
  <c r="V198" i="10" s="1"/>
  <c r="U37" i="10"/>
  <c r="O170" i="5"/>
  <c r="O173" i="5" s="1"/>
  <c r="O175" i="5" s="1"/>
  <c r="W14" i="11"/>
  <c r="W49" i="11"/>
  <c r="AH26" i="8"/>
  <c r="AH28" i="8" s="1"/>
  <c r="AH139" i="8"/>
  <c r="AA45" i="8"/>
  <c r="W125" i="10"/>
  <c r="X121" i="10" s="1"/>
  <c r="W98" i="10"/>
  <c r="W120" i="10"/>
  <c r="AA158" i="5"/>
  <c r="W99" i="10"/>
  <c r="W102" i="10" s="1"/>
  <c r="N53" i="5"/>
  <c r="N56" i="5" s="1"/>
  <c r="N21" i="5" s="1"/>
  <c r="N47" i="5"/>
  <c r="N50" i="5" s="1"/>
  <c r="N20" i="5" s="1"/>
  <c r="W117" i="10"/>
  <c r="W111" i="10"/>
  <c r="W104" i="10"/>
  <c r="V190" i="10"/>
  <c r="V192" i="10" s="1"/>
  <c r="V36" i="10" s="1"/>
  <c r="W194" i="10"/>
  <c r="W200" i="10"/>
  <c r="W189" i="10"/>
  <c r="W89" i="10"/>
  <c r="W95" i="10"/>
  <c r="W179" i="10"/>
  <c r="W83" i="10"/>
  <c r="W154" i="10"/>
  <c r="W160" i="10"/>
  <c r="W148" i="10"/>
  <c r="W131" i="10"/>
  <c r="W140" i="10"/>
  <c r="W75" i="10"/>
  <c r="W55" i="10"/>
  <c r="W10" i="11"/>
  <c r="X5" i="11"/>
  <c r="X9" i="11"/>
  <c r="X81" i="11" s="1"/>
  <c r="X7" i="11"/>
  <c r="X6" i="11" s="1"/>
  <c r="Y8" i="11"/>
  <c r="W169" i="10"/>
  <c r="W10" i="10"/>
  <c r="W48" i="10"/>
  <c r="X5" i="10"/>
  <c r="X9" i="10"/>
  <c r="X215" i="10" s="1"/>
  <c r="X7" i="10"/>
  <c r="X6" i="10" s="1"/>
  <c r="Y8" i="10"/>
  <c r="N59" i="16" l="1"/>
  <c r="AO221" i="10"/>
  <c r="AO111" i="10"/>
  <c r="AO154" i="10"/>
  <c r="AO169" i="10"/>
  <c r="AO200" i="10"/>
  <c r="AO232" i="10"/>
  <c r="AO120" i="10"/>
  <c r="AO117" i="10"/>
  <c r="AO148" i="10"/>
  <c r="AO160" i="10"/>
  <c r="AO179" i="10"/>
  <c r="AO14" i="10"/>
  <c r="AO104" i="10"/>
  <c r="AO48" i="10"/>
  <c r="AO194" i="10"/>
  <c r="AO64" i="10"/>
  <c r="AO72" i="10"/>
  <c r="AO83" i="10"/>
  <c r="AO98" i="10"/>
  <c r="AO215" i="10"/>
  <c r="AO55" i="10"/>
  <c r="AO75" i="10"/>
  <c r="AO140" i="10"/>
  <c r="AO189" i="10"/>
  <c r="AO95" i="10"/>
  <c r="AO131" i="10"/>
  <c r="AO89" i="10"/>
  <c r="O108" i="11"/>
  <c r="O55" i="11" s="1"/>
  <c r="O28" i="5"/>
  <c r="O63" i="16"/>
  <c r="N112" i="10"/>
  <c r="AL115" i="10" a="1"/>
  <c r="AL115" i="10" s="1"/>
  <c r="M118" i="10"/>
  <c r="M22" i="10" s="1"/>
  <c r="AL22" i="10" s="1" a="1"/>
  <c r="AL22" i="10" s="1"/>
  <c r="N90" i="10"/>
  <c r="AL93" i="10" a="1"/>
  <c r="AL93" i="10" s="1"/>
  <c r="T155" i="10"/>
  <c r="S28" i="10"/>
  <c r="O226" i="10"/>
  <c r="O229" i="10"/>
  <c r="M20" i="10"/>
  <c r="M225" i="10"/>
  <c r="X72" i="10"/>
  <c r="X221" i="10"/>
  <c r="X232" i="10"/>
  <c r="W21" i="10"/>
  <c r="X14" i="10"/>
  <c r="X64" i="10"/>
  <c r="W195" i="10"/>
  <c r="W198" i="10" s="1"/>
  <c r="V37" i="10"/>
  <c r="P170" i="10"/>
  <c r="O32" i="10"/>
  <c r="O82" i="16" s="1"/>
  <c r="X14" i="11"/>
  <c r="X49" i="11"/>
  <c r="AB45" i="8"/>
  <c r="X125" i="10"/>
  <c r="Y121" i="10" s="1"/>
  <c r="X98" i="10"/>
  <c r="X120" i="10"/>
  <c r="N58" i="5"/>
  <c r="AB158" i="5"/>
  <c r="X99" i="10"/>
  <c r="X102" i="10" s="1"/>
  <c r="N113" i="10"/>
  <c r="N40" i="1"/>
  <c r="N18" i="11" s="1"/>
  <c r="O105" i="10"/>
  <c r="O84" i="10"/>
  <c r="N91" i="10"/>
  <c r="N46" i="1"/>
  <c r="N17" i="11" s="1"/>
  <c r="X117" i="10"/>
  <c r="X111" i="10"/>
  <c r="X104" i="10"/>
  <c r="W190" i="10"/>
  <c r="W192" i="10" s="1"/>
  <c r="W36" i="10" s="1"/>
  <c r="X194" i="10"/>
  <c r="X200" i="10"/>
  <c r="X189" i="10"/>
  <c r="X89" i="10"/>
  <c r="X95" i="10"/>
  <c r="X179" i="10"/>
  <c r="X83" i="10"/>
  <c r="X154" i="10"/>
  <c r="X160" i="10"/>
  <c r="X148" i="10"/>
  <c r="X131" i="10"/>
  <c r="X140" i="10"/>
  <c r="X75" i="10"/>
  <c r="X55" i="10"/>
  <c r="Z8" i="11"/>
  <c r="Y9" i="11"/>
  <c r="Y81" i="11" s="1"/>
  <c r="Y5" i="11"/>
  <c r="AP5" i="11" s="1"/>
  <c r="Y7" i="11"/>
  <c r="Y6" i="11" s="1"/>
  <c r="AP6" i="11" s="1"/>
  <c r="X10" i="11"/>
  <c r="Y5" i="10"/>
  <c r="Z8" i="10"/>
  <c r="Y9" i="10"/>
  <c r="Y215" i="10" s="1"/>
  <c r="Y7" i="10"/>
  <c r="Y6" i="10" s="1"/>
  <c r="AP6" i="10" s="1"/>
  <c r="X169" i="10"/>
  <c r="X48" i="10"/>
  <c r="X10" i="10"/>
  <c r="AP10" i="11" l="1"/>
  <c r="AP81" i="11" s="1"/>
  <c r="AL96" i="10"/>
  <c r="AL118" i="10"/>
  <c r="AN28" i="10" a="1"/>
  <c r="AN28" i="10" s="1"/>
  <c r="O112" i="10"/>
  <c r="AP5" i="10"/>
  <c r="AP10" i="10" s="1"/>
  <c r="O90" i="10"/>
  <c r="AL20" i="10" a="1"/>
  <c r="AL20" i="10" s="1"/>
  <c r="M80" i="16"/>
  <c r="T158" i="10"/>
  <c r="T165" i="5"/>
  <c r="T168" i="5" s="1"/>
  <c r="Y72" i="10"/>
  <c r="Y221" i="10"/>
  <c r="Y232" i="10"/>
  <c r="X21" i="10"/>
  <c r="Y14" i="10"/>
  <c r="Y64" i="10"/>
  <c r="X195" i="10"/>
  <c r="X198" i="10" s="1"/>
  <c r="W37" i="10"/>
  <c r="P170" i="5"/>
  <c r="P173" i="5" s="1"/>
  <c r="P175" i="5" s="1"/>
  <c r="Y14" i="11"/>
  <c r="Y49" i="11"/>
  <c r="AC45" i="8"/>
  <c r="Y125" i="10"/>
  <c r="Z121" i="10" s="1"/>
  <c r="Y98" i="10"/>
  <c r="Y120" i="10"/>
  <c r="AC158" i="5"/>
  <c r="Y99" i="10"/>
  <c r="Y102" i="10" s="1"/>
  <c r="O53" i="5"/>
  <c r="O56" i="5" s="1"/>
  <c r="O21" i="5" s="1"/>
  <c r="O47" i="5"/>
  <c r="O50" i="5" s="1"/>
  <c r="O20" i="5" s="1"/>
  <c r="Y117" i="10"/>
  <c r="Y111" i="10"/>
  <c r="Y104" i="10"/>
  <c r="X190" i="10"/>
  <c r="X192" i="10" s="1"/>
  <c r="X36" i="10" s="1"/>
  <c r="Y194" i="10"/>
  <c r="Y200" i="10"/>
  <c r="Y189" i="10"/>
  <c r="Y89" i="10"/>
  <c r="Y95" i="10"/>
  <c r="Y179" i="10"/>
  <c r="Y83" i="10"/>
  <c r="Y154" i="10"/>
  <c r="Y160" i="10"/>
  <c r="Y148" i="10"/>
  <c r="Y131" i="10"/>
  <c r="Y140" i="10"/>
  <c r="Y75" i="10"/>
  <c r="Y55" i="10"/>
  <c r="Y10" i="11"/>
  <c r="Z9" i="11"/>
  <c r="Z81" i="11" s="1"/>
  <c r="AA8" i="11"/>
  <c r="Z7" i="11"/>
  <c r="Z6" i="11" s="1"/>
  <c r="Z5" i="11"/>
  <c r="Z9" i="10"/>
  <c r="Z215" i="10" s="1"/>
  <c r="Z7" i="10"/>
  <c r="Z6" i="10" s="1"/>
  <c r="AA8" i="10"/>
  <c r="Z5" i="10"/>
  <c r="Y48" i="10"/>
  <c r="Y10" i="10"/>
  <c r="Y169" i="10"/>
  <c r="N96" i="10" l="1"/>
  <c r="N20" i="10" s="1"/>
  <c r="N118" i="10"/>
  <c r="N22" i="10" s="1"/>
  <c r="AP49" i="11"/>
  <c r="AP14" i="11"/>
  <c r="AL225" i="10"/>
  <c r="O59" i="16"/>
  <c r="AP89" i="10"/>
  <c r="AP72" i="10"/>
  <c r="AP55" i="10"/>
  <c r="AP111" i="10"/>
  <c r="AP169" i="10"/>
  <c r="AP200" i="10"/>
  <c r="AP189" i="10"/>
  <c r="AP104" i="10"/>
  <c r="AP131" i="10"/>
  <c r="AP148" i="10"/>
  <c r="AP83" i="10"/>
  <c r="AP117" i="10"/>
  <c r="AP160" i="10"/>
  <c r="AP179" i="10"/>
  <c r="AP194" i="10"/>
  <c r="AP14" i="10"/>
  <c r="AP232" i="10"/>
  <c r="AP221" i="10"/>
  <c r="AP75" i="10"/>
  <c r="AP120" i="10"/>
  <c r="AP140" i="10"/>
  <c r="AP154" i="10"/>
  <c r="AP48" i="10"/>
  <c r="AP64" i="10"/>
  <c r="AP98" i="10"/>
  <c r="AP215" i="10"/>
  <c r="AP95" i="10"/>
  <c r="P28" i="5"/>
  <c r="P108" i="11"/>
  <c r="P55" i="11" s="1"/>
  <c r="P63" i="16"/>
  <c r="AL80" i="16" a="1"/>
  <c r="AL80" i="16" s="1"/>
  <c r="T28" i="10"/>
  <c r="U155" i="10"/>
  <c r="P226" i="10"/>
  <c r="P229" i="10"/>
  <c r="Z72" i="10"/>
  <c r="Z221" i="10"/>
  <c r="Z232" i="10"/>
  <c r="Y21" i="10"/>
  <c r="Z14" i="10"/>
  <c r="Z64" i="10"/>
  <c r="Y195" i="10"/>
  <c r="Y198" i="10" s="1"/>
  <c r="X37" i="10"/>
  <c r="Q170" i="10"/>
  <c r="P32" i="10"/>
  <c r="Z14" i="11"/>
  <c r="Z49" i="11"/>
  <c r="AD45" i="8"/>
  <c r="Z125" i="10"/>
  <c r="AA121" i="10" s="1"/>
  <c r="Z98" i="10"/>
  <c r="Z120" i="10"/>
  <c r="O58" i="5"/>
  <c r="AD158" i="5"/>
  <c r="Z99" i="10"/>
  <c r="Z102" i="10" s="1"/>
  <c r="O113" i="10"/>
  <c r="O40" i="1"/>
  <c r="O18" i="11" s="1"/>
  <c r="P105" i="10"/>
  <c r="O46" i="1"/>
  <c r="O17" i="11" s="1"/>
  <c r="O91" i="10"/>
  <c r="P84" i="10"/>
  <c r="Z117" i="10"/>
  <c r="Z111" i="10"/>
  <c r="Z104" i="10"/>
  <c r="Y190" i="10"/>
  <c r="Y192" i="10" s="1"/>
  <c r="Y36" i="10" s="1"/>
  <c r="Z194" i="10"/>
  <c r="Z200" i="10"/>
  <c r="Z189" i="10"/>
  <c r="Z89" i="10"/>
  <c r="Z95" i="10"/>
  <c r="Z179" i="10"/>
  <c r="Z83" i="10"/>
  <c r="Z154" i="10"/>
  <c r="Z160" i="10"/>
  <c r="Z148" i="10"/>
  <c r="Z131" i="10"/>
  <c r="Z140" i="10"/>
  <c r="Z75" i="10"/>
  <c r="Z55" i="10"/>
  <c r="AA9" i="11"/>
  <c r="AA81" i="11" s="1"/>
  <c r="AB8" i="11"/>
  <c r="AA7" i="11"/>
  <c r="AA6" i="11" s="1"/>
  <c r="AA5" i="11"/>
  <c r="Z10" i="11"/>
  <c r="AA9" i="10"/>
  <c r="AA215" i="10" s="1"/>
  <c r="AA7" i="10"/>
  <c r="AA6" i="10" s="1"/>
  <c r="AB8" i="10"/>
  <c r="AA5" i="10"/>
  <c r="Z169" i="10"/>
  <c r="Z48" i="10"/>
  <c r="Z10" i="10"/>
  <c r="N80" i="16" l="1"/>
  <c r="N225" i="10"/>
  <c r="AP125" i="10" a="1"/>
  <c r="AP125" i="10" s="1"/>
  <c r="AP102" i="10" a="1"/>
  <c r="AP102" i="10" s="1"/>
  <c r="P82" i="16"/>
  <c r="AM32" i="10" a="1"/>
  <c r="AM32" i="10" s="1"/>
  <c r="AP192" i="10" a="1"/>
  <c r="AP192" i="10" s="1"/>
  <c r="P112" i="10"/>
  <c r="AP36" i="10" a="1"/>
  <c r="AP36" i="10" s="1"/>
  <c r="AO192" i="10" a="1"/>
  <c r="AO192" i="10" s="1"/>
  <c r="AO102" i="10" a="1"/>
  <c r="AO102" i="10" s="1"/>
  <c r="AO198" i="10" a="1"/>
  <c r="AO198" i="10" s="1"/>
  <c r="AO125" i="10" a="1"/>
  <c r="AO125" i="10" s="1"/>
  <c r="AO36" i="10" a="1"/>
  <c r="AO36" i="10" s="1"/>
  <c r="AO37" i="10" a="1"/>
  <c r="AO37" i="10" s="1"/>
  <c r="AO21" i="10" a="1"/>
  <c r="AO21" i="10" s="1"/>
  <c r="AP198" i="10" a="1"/>
  <c r="AP198" i="10" s="1"/>
  <c r="P90" i="10"/>
  <c r="AP21" i="10" a="1"/>
  <c r="AP21" i="10" s="1"/>
  <c r="U158" i="10"/>
  <c r="U165" i="5"/>
  <c r="U168" i="5" s="1"/>
  <c r="AA72" i="10"/>
  <c r="AA221" i="10"/>
  <c r="AA232" i="10"/>
  <c r="Z21" i="10"/>
  <c r="AA14" i="10"/>
  <c r="AA64" i="10"/>
  <c r="Z195" i="10"/>
  <c r="Z198" i="10" s="1"/>
  <c r="Y37" i="10"/>
  <c r="AP37" i="10" s="1" a="1"/>
  <c r="AP37" i="10" s="1"/>
  <c r="Q170" i="5"/>
  <c r="Q173" i="5" s="1"/>
  <c r="Q175" i="5" s="1"/>
  <c r="Q173" i="10"/>
  <c r="AA14" i="11"/>
  <c r="AA49" i="11"/>
  <c r="AE45" i="8"/>
  <c r="AA125" i="10"/>
  <c r="AB121" i="10" s="1"/>
  <c r="AA98" i="10"/>
  <c r="AA120" i="10"/>
  <c r="AE158" i="5"/>
  <c r="AA99" i="10"/>
  <c r="AA102" i="10" s="1"/>
  <c r="AM109" i="10" a="1"/>
  <c r="AM109" i="10" s="1"/>
  <c r="P53" i="5"/>
  <c r="P56" i="5" s="1"/>
  <c r="P21" i="5" s="1"/>
  <c r="AM87" i="10" a="1"/>
  <c r="AM87" i="10" s="1"/>
  <c r="P47" i="5"/>
  <c r="P50" i="5" s="1"/>
  <c r="P20" i="5" s="1"/>
  <c r="AA104" i="10"/>
  <c r="AA111" i="10"/>
  <c r="AA117" i="10"/>
  <c r="Z190" i="10"/>
  <c r="Z192" i="10" s="1"/>
  <c r="Z36" i="10" s="1"/>
  <c r="AA194" i="10"/>
  <c r="AA200" i="10"/>
  <c r="AA189" i="10"/>
  <c r="AA89" i="10"/>
  <c r="AA95" i="10"/>
  <c r="AA179" i="10"/>
  <c r="AA83" i="10"/>
  <c r="AA154" i="10"/>
  <c r="AA160" i="10"/>
  <c r="AA148" i="10"/>
  <c r="AA131" i="10"/>
  <c r="AA140" i="10"/>
  <c r="AA75" i="10"/>
  <c r="AA55" i="10"/>
  <c r="AB9" i="11"/>
  <c r="AB81" i="11" s="1"/>
  <c r="AC8" i="11"/>
  <c r="AB7" i="11"/>
  <c r="AB6" i="11" s="1"/>
  <c r="AQ6" i="11" s="1"/>
  <c r="AB5" i="11"/>
  <c r="AA10" i="11"/>
  <c r="AB9" i="10"/>
  <c r="AB215" i="10" s="1"/>
  <c r="AB7" i="10"/>
  <c r="AB6" i="10" s="1"/>
  <c r="AQ6" i="10" s="1"/>
  <c r="AC8" i="10"/>
  <c r="AB5" i="10"/>
  <c r="AA48" i="10"/>
  <c r="AA10" i="10"/>
  <c r="AA169" i="10"/>
  <c r="O118" i="10" l="1"/>
  <c r="O22" i="10" s="1"/>
  <c r="AQ5" i="11"/>
  <c r="AQ10" i="11" s="1"/>
  <c r="P59" i="16"/>
  <c r="O96" i="10"/>
  <c r="O225" i="10" s="1"/>
  <c r="AQ5" i="10"/>
  <c r="AQ10" i="10" s="1"/>
  <c r="Q63" i="16"/>
  <c r="Q108" i="11"/>
  <c r="Q55" i="11" s="1"/>
  <c r="Q28" i="5"/>
  <c r="AM82" i="16" a="1"/>
  <c r="AM82" i="16" s="1"/>
  <c r="V155" i="10"/>
  <c r="U28" i="10"/>
  <c r="Q226" i="10"/>
  <c r="Q229" i="10"/>
  <c r="O20" i="10"/>
  <c r="O80" i="16" s="1"/>
  <c r="AB72" i="10"/>
  <c r="AB221" i="10"/>
  <c r="AB232" i="10"/>
  <c r="AA21" i="10"/>
  <c r="AB14" i="10"/>
  <c r="AB64" i="10"/>
  <c r="AA195" i="10"/>
  <c r="AA198" i="10" s="1"/>
  <c r="Z37" i="10"/>
  <c r="R170" i="10"/>
  <c r="Q32" i="10"/>
  <c r="Q82" i="16" s="1"/>
  <c r="AB14" i="11"/>
  <c r="AB49" i="11"/>
  <c r="AF45" i="8"/>
  <c r="AB125" i="10"/>
  <c r="AC121" i="10" s="1"/>
  <c r="AB98" i="10"/>
  <c r="AB120" i="10"/>
  <c r="P58" i="5"/>
  <c r="AF158" i="5"/>
  <c r="AB99" i="10"/>
  <c r="AB102" i="10" s="1"/>
  <c r="P113" i="10"/>
  <c r="P40" i="1"/>
  <c r="P18" i="11" s="1"/>
  <c r="Q105" i="10"/>
  <c r="Q84" i="10"/>
  <c r="P46" i="1"/>
  <c r="P17" i="11" s="1"/>
  <c r="P91" i="10"/>
  <c r="AB117" i="10"/>
  <c r="AB111" i="10"/>
  <c r="AB104" i="10"/>
  <c r="AA190" i="10"/>
  <c r="AA192" i="10" s="1"/>
  <c r="AA36" i="10" s="1"/>
  <c r="AB194" i="10"/>
  <c r="AB200" i="10"/>
  <c r="AB189" i="10"/>
  <c r="AB89" i="10"/>
  <c r="AB95" i="10"/>
  <c r="AB179" i="10"/>
  <c r="AB83" i="10"/>
  <c r="AB154" i="10"/>
  <c r="AB160" i="10"/>
  <c r="AB148" i="10"/>
  <c r="AB131" i="10"/>
  <c r="AB140" i="10"/>
  <c r="AB75" i="10"/>
  <c r="AB55" i="10"/>
  <c r="AD8" i="11"/>
  <c r="AC7" i="11"/>
  <c r="AC6" i="11" s="1"/>
  <c r="AC5" i="11"/>
  <c r="AC9" i="11"/>
  <c r="AC81" i="11" s="1"/>
  <c r="AB10" i="11"/>
  <c r="AC7" i="10"/>
  <c r="AC6" i="10" s="1"/>
  <c r="AD8" i="10"/>
  <c r="AC5" i="10"/>
  <c r="AC9" i="10"/>
  <c r="AC215" i="10" s="1"/>
  <c r="AB48" i="10"/>
  <c r="AB10" i="10"/>
  <c r="AB169" i="10"/>
  <c r="AQ81" i="11" l="1"/>
  <c r="AQ49" i="11"/>
  <c r="AQ14" i="11"/>
  <c r="P96" i="10"/>
  <c r="AQ140" i="10"/>
  <c r="AQ189" i="10"/>
  <c r="AQ83" i="10"/>
  <c r="AQ131" i="10"/>
  <c r="AQ194" i="10"/>
  <c r="AQ221" i="10"/>
  <c r="AQ75" i="10"/>
  <c r="AQ154" i="10"/>
  <c r="AQ232" i="10"/>
  <c r="AQ95" i="10"/>
  <c r="AQ120" i="10"/>
  <c r="AQ148" i="10"/>
  <c r="AQ89" i="10"/>
  <c r="AQ104" i="10"/>
  <c r="AQ169" i="10"/>
  <c r="AQ72" i="10"/>
  <c r="AQ98" i="10"/>
  <c r="AQ160" i="10"/>
  <c r="AQ14" i="10"/>
  <c r="AQ64" i="10"/>
  <c r="AQ55" i="10"/>
  <c r="AQ111" i="10"/>
  <c r="AQ200" i="10"/>
  <c r="AQ48" i="10"/>
  <c r="AQ215" i="10"/>
  <c r="AQ117" i="10"/>
  <c r="AQ179" i="10"/>
  <c r="P118" i="10"/>
  <c r="P22" i="10" s="1"/>
  <c r="AM22" i="10" s="1" a="1"/>
  <c r="AM22" i="10" s="1"/>
  <c r="AQ125" i="10" a="1"/>
  <c r="AQ125" i="10" s="1"/>
  <c r="AQ102" i="10" a="1"/>
  <c r="AQ102" i="10" s="1"/>
  <c r="V158" i="10"/>
  <c r="AO158" i="10" s="1" a="1"/>
  <c r="AO158" i="10" s="1"/>
  <c r="V165" i="5"/>
  <c r="V168" i="5" s="1"/>
  <c r="AC72" i="10"/>
  <c r="AC221" i="10"/>
  <c r="AC232" i="10"/>
  <c r="AB21" i="10"/>
  <c r="AQ21" i="10" s="1" a="1"/>
  <c r="AQ21" i="10" s="1"/>
  <c r="AC14" i="10"/>
  <c r="AC64" i="10"/>
  <c r="AB195" i="10"/>
  <c r="AB198" i="10" s="1"/>
  <c r="AQ198" i="10" s="1" a="1"/>
  <c r="AQ198" i="10" s="1"/>
  <c r="AA37" i="10"/>
  <c r="R170" i="5"/>
  <c r="R173" i="5" s="1"/>
  <c r="R175" i="5" s="1"/>
  <c r="R173" i="10"/>
  <c r="AC49" i="11"/>
  <c r="AC14" i="11"/>
  <c r="AG45" i="8"/>
  <c r="AC125" i="10"/>
  <c r="AD121" i="10" s="1"/>
  <c r="AC98" i="10"/>
  <c r="AC120" i="10"/>
  <c r="AG158" i="5"/>
  <c r="AC99" i="10"/>
  <c r="AC102" i="10" s="1"/>
  <c r="Q109" i="10"/>
  <c r="Q53" i="5"/>
  <c r="Q49" i="5"/>
  <c r="R49" i="5" s="1"/>
  <c r="Q87" i="10"/>
  <c r="Q47" i="5"/>
  <c r="AC117" i="10"/>
  <c r="AC111" i="10"/>
  <c r="AC104" i="10"/>
  <c r="AB190" i="10"/>
  <c r="AB192" i="10" s="1"/>
  <c r="AB36" i="10" s="1"/>
  <c r="AQ36" i="10" s="1" a="1"/>
  <c r="AQ36" i="10" s="1"/>
  <c r="AC194" i="10"/>
  <c r="AC200" i="10"/>
  <c r="AC189" i="10"/>
  <c r="AC89" i="10"/>
  <c r="AC95" i="10"/>
  <c r="AC179" i="10"/>
  <c r="AC83" i="10"/>
  <c r="AC154" i="10"/>
  <c r="AC160" i="10"/>
  <c r="AC148" i="10"/>
  <c r="AC131" i="10"/>
  <c r="AC140" i="10"/>
  <c r="AC75" i="10"/>
  <c r="AC55" i="10"/>
  <c r="AC10" i="11"/>
  <c r="AD9" i="11"/>
  <c r="AD81" i="11" s="1"/>
  <c r="AD7" i="11"/>
  <c r="AD6" i="11" s="1"/>
  <c r="AE8" i="11"/>
  <c r="AD5" i="11"/>
  <c r="AC169" i="10"/>
  <c r="AC48" i="10"/>
  <c r="AC10" i="10"/>
  <c r="AE8" i="10"/>
  <c r="AD5" i="10"/>
  <c r="AD9" i="10"/>
  <c r="AD215" i="10" s="1"/>
  <c r="AD7" i="10"/>
  <c r="AD6" i="10" s="1"/>
  <c r="AQ192" i="10" l="1" a="1"/>
  <c r="AQ192" i="10" s="1"/>
  <c r="Q112" i="10"/>
  <c r="AM115" i="10" a="1"/>
  <c r="AM115" i="10" s="1"/>
  <c r="R63" i="16"/>
  <c r="R108" i="11"/>
  <c r="R55" i="11" s="1"/>
  <c r="R28" i="5"/>
  <c r="Q90" i="10"/>
  <c r="AM93" i="10" a="1"/>
  <c r="AM93" i="10" s="1"/>
  <c r="V28" i="10"/>
  <c r="W155" i="10"/>
  <c r="R229" i="10"/>
  <c r="R226" i="10"/>
  <c r="P20" i="10"/>
  <c r="P225" i="10"/>
  <c r="AD72" i="10"/>
  <c r="AD221" i="10"/>
  <c r="AD232" i="10"/>
  <c r="AC21" i="10"/>
  <c r="AD14" i="10"/>
  <c r="AD64" i="10"/>
  <c r="AC195" i="10"/>
  <c r="AC198" i="10" s="1"/>
  <c r="AB37" i="10"/>
  <c r="AQ37" i="10" s="1" a="1"/>
  <c r="AQ37" i="10" s="1"/>
  <c r="R32" i="10"/>
  <c r="R82" i="16" s="1"/>
  <c r="S170" i="10"/>
  <c r="AD49" i="11"/>
  <c r="AD14" i="11"/>
  <c r="AH45" i="8"/>
  <c r="AD125" i="10"/>
  <c r="AE121" i="10" s="1"/>
  <c r="AD98" i="10"/>
  <c r="AD120" i="10"/>
  <c r="AH158" i="5"/>
  <c r="AD99" i="10"/>
  <c r="AD102" i="10" s="1"/>
  <c r="R105" i="10"/>
  <c r="R84" i="10"/>
  <c r="S49" i="5"/>
  <c r="T49" i="5" s="1"/>
  <c r="Q50" i="5"/>
  <c r="Q20" i="5" s="1"/>
  <c r="AD117" i="10"/>
  <c r="AD111" i="10"/>
  <c r="AD104" i="10"/>
  <c r="AC190" i="10"/>
  <c r="AC192" i="10" s="1"/>
  <c r="AC36" i="10" s="1"/>
  <c r="AD194" i="10"/>
  <c r="AD200" i="10"/>
  <c r="AD189" i="10"/>
  <c r="AD89" i="10"/>
  <c r="AD95" i="10"/>
  <c r="AD179" i="10"/>
  <c r="AD83" i="10"/>
  <c r="AD154" i="10"/>
  <c r="AD160" i="10"/>
  <c r="AD148" i="10"/>
  <c r="AD131" i="10"/>
  <c r="AD140" i="10"/>
  <c r="AD75" i="10"/>
  <c r="AD55" i="10"/>
  <c r="AD10" i="11"/>
  <c r="AE7" i="11"/>
  <c r="AE6" i="11" s="1"/>
  <c r="AF8" i="11"/>
  <c r="AE5" i="11"/>
  <c r="AE9" i="11"/>
  <c r="AE81" i="11" s="1"/>
  <c r="AF8" i="10"/>
  <c r="AE7" i="10"/>
  <c r="AE6" i="10" s="1"/>
  <c r="AE5" i="10"/>
  <c r="AE9" i="10"/>
  <c r="AE215" i="10" s="1"/>
  <c r="AD169" i="10"/>
  <c r="AD48" i="10"/>
  <c r="AD10" i="10"/>
  <c r="AM96" i="10" l="1"/>
  <c r="AM118" i="10"/>
  <c r="AO28" i="10" a="1"/>
  <c r="AO28" i="10" s="1"/>
  <c r="AM20" i="10" a="1"/>
  <c r="AM20" i="10" s="1"/>
  <c r="P80" i="16"/>
  <c r="W158" i="10"/>
  <c r="W165" i="5"/>
  <c r="W168" i="5" s="1"/>
  <c r="AE72" i="10"/>
  <c r="AE221" i="10"/>
  <c r="AE232" i="10"/>
  <c r="AD21" i="10"/>
  <c r="AE14" i="10"/>
  <c r="AE64" i="10"/>
  <c r="AD195" i="10"/>
  <c r="AD198" i="10" s="1"/>
  <c r="AC37" i="10"/>
  <c r="S173" i="10"/>
  <c r="AN173" i="10" s="1" a="1"/>
  <c r="AN173" i="10" s="1"/>
  <c r="S170" i="5"/>
  <c r="S173" i="5" s="1"/>
  <c r="S175" i="5" s="1"/>
  <c r="AE49" i="11"/>
  <c r="AE14" i="11"/>
  <c r="AE125" i="10"/>
  <c r="AF121" i="10" s="1"/>
  <c r="AE98" i="10"/>
  <c r="AE120" i="10"/>
  <c r="AE99" i="10"/>
  <c r="AE102" i="10" s="1"/>
  <c r="R109" i="10"/>
  <c r="R53" i="5"/>
  <c r="R87" i="10"/>
  <c r="R47" i="5"/>
  <c r="R50" i="5" s="1"/>
  <c r="R20" i="5" s="1"/>
  <c r="U49" i="5"/>
  <c r="Q46" i="1"/>
  <c r="Q17" i="11" s="1"/>
  <c r="Q91" i="10"/>
  <c r="AE117" i="10"/>
  <c r="AE111" i="10"/>
  <c r="AE104" i="10"/>
  <c r="AD190" i="10"/>
  <c r="AD192" i="10" s="1"/>
  <c r="AD36" i="10" s="1"/>
  <c r="AE194" i="10"/>
  <c r="AE200" i="10"/>
  <c r="AE189" i="10"/>
  <c r="AE89" i="10"/>
  <c r="AE95" i="10"/>
  <c r="AE179" i="10"/>
  <c r="AE83" i="10"/>
  <c r="AE154" i="10"/>
  <c r="AE160" i="10"/>
  <c r="AE148" i="10"/>
  <c r="AE131" i="10"/>
  <c r="AE140" i="10"/>
  <c r="AE75" i="10"/>
  <c r="AE55" i="10"/>
  <c r="AE10" i="11"/>
  <c r="AG8" i="11"/>
  <c r="AF7" i="11"/>
  <c r="AF6" i="11" s="1"/>
  <c r="AF5" i="11"/>
  <c r="AF9" i="11"/>
  <c r="AF81" i="11" s="1"/>
  <c r="AE169" i="10"/>
  <c r="AE48" i="10"/>
  <c r="AE10" i="10"/>
  <c r="AF5" i="10"/>
  <c r="AF9" i="10"/>
  <c r="AF215" i="10" s="1"/>
  <c r="AF7" i="10"/>
  <c r="AF6" i="10" s="1"/>
  <c r="AG8" i="10"/>
  <c r="AM225" i="10" l="1"/>
  <c r="S108" i="11"/>
  <c r="S55" i="11" s="1"/>
  <c r="S28" i="5"/>
  <c r="S63" i="16"/>
  <c r="AR125" i="10" a="1"/>
  <c r="AR125" i="10" s="1"/>
  <c r="AN229" i="10"/>
  <c r="AN226" i="10"/>
  <c r="Q93" i="10"/>
  <c r="R90" i="10" s="1"/>
  <c r="AR102" i="10" a="1"/>
  <c r="AR102" i="10" s="1"/>
  <c r="AR198" i="10" a="1"/>
  <c r="AR198" i="10" s="1"/>
  <c r="AM80" i="16" a="1"/>
  <c r="AM80" i="16" s="1"/>
  <c r="X155" i="10"/>
  <c r="W28" i="10"/>
  <c r="S229" i="10"/>
  <c r="S226" i="10"/>
  <c r="AF72" i="10"/>
  <c r="AF221" i="10"/>
  <c r="AF232" i="10"/>
  <c r="AE21" i="10"/>
  <c r="AF14" i="10"/>
  <c r="AF64" i="10"/>
  <c r="AE195" i="10"/>
  <c r="AE198" i="10" s="1"/>
  <c r="AD37" i="10"/>
  <c r="T170" i="10"/>
  <c r="S32" i="10"/>
  <c r="AF14" i="11"/>
  <c r="AF49" i="11"/>
  <c r="AF125" i="10"/>
  <c r="AG121" i="10" s="1"/>
  <c r="AF98" i="10"/>
  <c r="AF120" i="10"/>
  <c r="AF99" i="10"/>
  <c r="AF102" i="10" s="1"/>
  <c r="S105" i="10"/>
  <c r="Q96" i="10"/>
  <c r="R46" i="1"/>
  <c r="R17" i="11" s="1"/>
  <c r="R91" i="10"/>
  <c r="V49" i="5"/>
  <c r="S84" i="10"/>
  <c r="AF117" i="10"/>
  <c r="AF111" i="10"/>
  <c r="AF104" i="10"/>
  <c r="AE190" i="10"/>
  <c r="AE192" i="10" s="1"/>
  <c r="AE36" i="10" s="1"/>
  <c r="AR36" i="10" s="1" a="1"/>
  <c r="AR36" i="10" s="1"/>
  <c r="AF194" i="10"/>
  <c r="AF200" i="10"/>
  <c r="AF189" i="10"/>
  <c r="AF89" i="10"/>
  <c r="AF95" i="10"/>
  <c r="AF179" i="10"/>
  <c r="AF83" i="10"/>
  <c r="AF154" i="10"/>
  <c r="AF160" i="10"/>
  <c r="AF148" i="10"/>
  <c r="AF131" i="10"/>
  <c r="AF140" i="10"/>
  <c r="AF75" i="10"/>
  <c r="AF55" i="10"/>
  <c r="AH8" i="11"/>
  <c r="AG7" i="11"/>
  <c r="AG6" i="11" s="1"/>
  <c r="AG5" i="11"/>
  <c r="AG9" i="11"/>
  <c r="AG81" i="11" s="1"/>
  <c r="AF10" i="11"/>
  <c r="AG5" i="10"/>
  <c r="AG9" i="10"/>
  <c r="AG215" i="10" s="1"/>
  <c r="AH8" i="10"/>
  <c r="AG7" i="10"/>
  <c r="AG6" i="10" s="1"/>
  <c r="AF169" i="10"/>
  <c r="AF48" i="10"/>
  <c r="AF10" i="10"/>
  <c r="AN32" i="10" l="1" a="1"/>
  <c r="AN32" i="10" s="1"/>
  <c r="S82" i="16"/>
  <c r="AQ85" i="10" a="1"/>
  <c r="AQ85" i="10" s="1"/>
  <c r="AQ197" i="10" a="1"/>
  <c r="AQ197" i="10" s="1"/>
  <c r="X158" i="10"/>
  <c r="X165" i="5"/>
  <c r="X168" i="5" s="1"/>
  <c r="Q20" i="10"/>
  <c r="AG72" i="10"/>
  <c r="AG232" i="10"/>
  <c r="AG221" i="10"/>
  <c r="AF21" i="10"/>
  <c r="AG14" i="10"/>
  <c r="AG64" i="10"/>
  <c r="AF195" i="10"/>
  <c r="AF198" i="10" s="1"/>
  <c r="AE37" i="10"/>
  <c r="T173" i="10"/>
  <c r="T170" i="5"/>
  <c r="T173" i="5" s="1"/>
  <c r="T175" i="5" s="1"/>
  <c r="AG14" i="11"/>
  <c r="AG49" i="11"/>
  <c r="AG125" i="10"/>
  <c r="AH121" i="10" s="1"/>
  <c r="AH125" i="10" s="1"/>
  <c r="AG98" i="10"/>
  <c r="AG120" i="10"/>
  <c r="AG99" i="10"/>
  <c r="AG102" i="10" s="1"/>
  <c r="S109" i="10"/>
  <c r="AN109" i="10" s="1" a="1"/>
  <c r="AN109" i="10" s="1"/>
  <c r="S53" i="5"/>
  <c r="W49" i="5"/>
  <c r="X49" i="5" s="1"/>
  <c r="Y49" i="5" s="1"/>
  <c r="S87" i="10"/>
  <c r="AN87" i="10" s="1" a="1"/>
  <c r="AN87" i="10" s="1"/>
  <c r="S47" i="5"/>
  <c r="S50" i="5" s="1"/>
  <c r="S20" i="5" s="1"/>
  <c r="R93" i="10"/>
  <c r="AG117" i="10"/>
  <c r="AG111" i="10"/>
  <c r="AG104" i="10"/>
  <c r="AF190" i="10"/>
  <c r="AF192" i="10" s="1"/>
  <c r="AF36" i="10" s="1"/>
  <c r="AG194" i="10"/>
  <c r="AG200" i="10"/>
  <c r="AG189" i="10"/>
  <c r="AG89" i="10"/>
  <c r="AG95" i="10"/>
  <c r="AG179" i="10"/>
  <c r="AG83" i="10"/>
  <c r="AG154" i="10"/>
  <c r="AG160" i="10"/>
  <c r="AG148" i="10"/>
  <c r="AG131" i="10"/>
  <c r="AG140" i="10"/>
  <c r="AG75" i="10"/>
  <c r="AG55" i="10"/>
  <c r="AG10" i="11"/>
  <c r="AH9" i="11"/>
  <c r="AH81" i="11" s="1"/>
  <c r="AH7" i="11"/>
  <c r="AH6" i="11" s="1"/>
  <c r="AH5" i="11"/>
  <c r="AQ61" i="11" s="1" a="1"/>
  <c r="AQ61" i="11" s="1"/>
  <c r="AH9" i="10"/>
  <c r="AH215" i="10" s="1"/>
  <c r="AH7" i="10"/>
  <c r="AH6" i="10" s="1"/>
  <c r="AH5" i="10"/>
  <c r="AQ124" i="10" s="1" a="1"/>
  <c r="AQ124" i="10" s="1"/>
  <c r="AG169" i="10"/>
  <c r="AG10" i="10"/>
  <c r="AG48" i="10"/>
  <c r="AQ30" i="11" l="1" a="1"/>
  <c r="AQ30" i="11" s="1"/>
  <c r="AP65" i="11" a="1"/>
  <c r="AP65" i="11" s="1"/>
  <c r="AP29" i="11" a="1"/>
  <c r="AP29" i="11" s="1"/>
  <c r="AP69" i="11" a="1"/>
  <c r="AP69" i="11" s="1"/>
  <c r="AP31" i="11" a="1"/>
  <c r="AP31" i="11" s="1"/>
  <c r="AQ59" i="11" a="1"/>
  <c r="AQ59" i="11" s="1"/>
  <c r="AQ36" i="11" a="1"/>
  <c r="AQ36" i="11" s="1"/>
  <c r="AS62" i="11" a="1"/>
  <c r="AS62" i="11" s="1"/>
  <c r="AR69" i="11" a="1"/>
  <c r="AR69" i="11" s="1"/>
  <c r="AR65" i="11" a="1"/>
  <c r="AR65" i="11" s="1"/>
  <c r="AR32" i="11" a="1"/>
  <c r="AR32" i="11" s="1"/>
  <c r="AS30" i="11" a="1"/>
  <c r="AS30" i="11" s="1"/>
  <c r="AS69" i="11" a="1"/>
  <c r="AS69" i="11" s="1"/>
  <c r="AR60" i="11" a="1"/>
  <c r="AR60" i="11" s="1"/>
  <c r="AS31" i="11" a="1"/>
  <c r="AS31" i="11" s="1"/>
  <c r="AR62" i="11" a="1"/>
  <c r="AR62" i="11" s="1"/>
  <c r="AS35" i="11" a="1"/>
  <c r="AS35" i="11" s="1"/>
  <c r="AS66" i="11" a="1"/>
  <c r="AS66" i="11" s="1"/>
  <c r="AR61" i="11" a="1"/>
  <c r="AR61" i="11" s="1"/>
  <c r="AR59" i="11" a="1"/>
  <c r="AR59" i="11" s="1"/>
  <c r="AS59" i="11" a="1"/>
  <c r="AS59" i="11" s="1"/>
  <c r="AS65" i="11" a="1"/>
  <c r="AS65" i="11" s="1"/>
  <c r="AS32" i="11" a="1"/>
  <c r="AS32" i="11" s="1"/>
  <c r="AR35" i="11" a="1"/>
  <c r="AR35" i="11" s="1"/>
  <c r="AR37" i="11" a="1"/>
  <c r="AR37" i="11" s="1"/>
  <c r="AS61" i="11" a="1"/>
  <c r="AS61" i="11" s="1"/>
  <c r="AR30" i="11" a="1"/>
  <c r="AR30" i="11" s="1"/>
  <c r="AR36" i="11" a="1"/>
  <c r="AR36" i="11" s="1"/>
  <c r="AS36" i="11" a="1"/>
  <c r="AS36" i="11" s="1"/>
  <c r="AR66" i="11" a="1"/>
  <c r="AR66" i="11" s="1"/>
  <c r="AR31" i="11" a="1"/>
  <c r="AR31" i="11" s="1"/>
  <c r="AJ32" i="11" a="1"/>
  <c r="AJ32" i="11" s="1"/>
  <c r="AJ61" i="11" a="1"/>
  <c r="AJ61" i="11" s="1"/>
  <c r="AJ35" i="11" a="1"/>
  <c r="AJ35" i="11" s="1"/>
  <c r="AR39" i="11" a="1"/>
  <c r="AR39" i="11" s="1"/>
  <c r="AJ66" i="11" a="1"/>
  <c r="AJ66" i="11" s="1"/>
  <c r="AR29" i="11" a="1"/>
  <c r="AR29" i="11" s="1"/>
  <c r="AJ29" i="11" a="1"/>
  <c r="AJ29" i="11" s="1"/>
  <c r="AJ38" i="11" a="1"/>
  <c r="AJ38" i="11" s="1"/>
  <c r="AS38" i="11" a="1"/>
  <c r="AS38" i="11" s="1"/>
  <c r="AJ36" i="11" a="1"/>
  <c r="AJ36" i="11" s="1"/>
  <c r="AJ30" i="11" a="1"/>
  <c r="AJ30" i="11" s="1"/>
  <c r="AS67" i="11" a="1"/>
  <c r="AS67" i="11" s="1"/>
  <c r="AJ62" i="11" a="1"/>
  <c r="AJ62" i="11" s="1"/>
  <c r="AJ39" i="11" a="1"/>
  <c r="AJ39" i="11" s="1"/>
  <c r="AJ37" i="11" a="1"/>
  <c r="AJ37" i="11" s="1"/>
  <c r="AU59" i="11" a="1"/>
  <c r="AU59" i="11" s="1"/>
  <c r="AS39" i="11" a="1"/>
  <c r="AS39" i="11" s="1"/>
  <c r="AS68" i="11" a="1"/>
  <c r="AS68" i="11" s="1"/>
  <c r="AJ68" i="11" a="1"/>
  <c r="AJ68" i="11" s="1"/>
  <c r="AS29" i="11" a="1"/>
  <c r="AS29" i="11" s="1"/>
  <c r="AU35" i="11" a="1"/>
  <c r="AU35" i="11" s="1"/>
  <c r="AR38" i="11" a="1"/>
  <c r="AR38" i="11" s="1"/>
  <c r="AR68" i="11" a="1"/>
  <c r="AR68" i="11" s="1"/>
  <c r="AU65" i="11" a="1"/>
  <c r="AU65" i="11" s="1"/>
  <c r="AJ59" i="11" a="1"/>
  <c r="AJ59" i="11" s="1"/>
  <c r="AU37" i="11" a="1"/>
  <c r="AU37" i="11" s="1"/>
  <c r="AJ60" i="11" a="1"/>
  <c r="AJ60" i="11" s="1"/>
  <c r="AJ65" i="11" a="1"/>
  <c r="AJ65" i="11" s="1"/>
  <c r="AU68" i="11" a="1"/>
  <c r="AU68" i="11" s="1"/>
  <c r="AS37" i="11" a="1"/>
  <c r="AS37" i="11" s="1"/>
  <c r="AS60" i="11" a="1"/>
  <c r="AS60" i="11" s="1"/>
  <c r="AR67" i="11" a="1"/>
  <c r="AR67" i="11" s="1"/>
  <c r="AU60" i="11" a="1"/>
  <c r="AU60" i="11" s="1"/>
  <c r="AV66" i="11" a="1"/>
  <c r="AV66" i="11" s="1"/>
  <c r="AJ67" i="11" a="1"/>
  <c r="AJ67" i="11" s="1"/>
  <c r="AU61" i="11" a="1"/>
  <c r="AU61" i="11" s="1"/>
  <c r="AU66" i="11" a="1"/>
  <c r="AU66" i="11" s="1"/>
  <c r="AJ69" i="11" a="1"/>
  <c r="AJ69" i="11" s="1"/>
  <c r="AU29" i="11" a="1"/>
  <c r="AU29" i="11" s="1"/>
  <c r="AV65" i="11" a="1"/>
  <c r="AV65" i="11" s="1"/>
  <c r="AU30" i="11" a="1"/>
  <c r="AU30" i="11" s="1"/>
  <c r="AU9" i="11"/>
  <c r="AU36" i="11" a="1"/>
  <c r="AU36" i="11" s="1"/>
  <c r="AV39" i="11" a="1"/>
  <c r="AV39" i="11" s="1"/>
  <c r="AU39" i="11" a="1"/>
  <c r="AU39" i="11" s="1"/>
  <c r="AJ31" i="11" a="1"/>
  <c r="AJ31" i="11" s="1"/>
  <c r="AU62" i="11" a="1"/>
  <c r="AU62" i="11" s="1"/>
  <c r="AU69" i="11" a="1"/>
  <c r="AU69" i="11" s="1"/>
  <c r="AV62" i="11" a="1"/>
  <c r="AV62" i="11" s="1"/>
  <c r="AV69" i="11" a="1"/>
  <c r="AV69" i="11" s="1"/>
  <c r="AV36" i="11" a="1"/>
  <c r="AV36" i="11" s="1"/>
  <c r="AV60" i="11" a="1"/>
  <c r="AV60" i="11" s="1"/>
  <c r="AV38" i="11" a="1"/>
  <c r="AV38" i="11" s="1"/>
  <c r="AV9" i="11"/>
  <c r="AU31" i="11" a="1"/>
  <c r="AU31" i="11" s="1"/>
  <c r="AU38" i="11" a="1"/>
  <c r="AU38" i="11" s="1"/>
  <c r="AU32" i="11" a="1"/>
  <c r="AU32" i="11" s="1"/>
  <c r="AV37" i="11" a="1"/>
  <c r="AV37" i="11" s="1"/>
  <c r="AV61" i="11" a="1"/>
  <c r="AV61" i="11" s="1"/>
  <c r="AV67" i="11" a="1"/>
  <c r="AV67" i="11" s="1"/>
  <c r="AV31" i="11" a="1"/>
  <c r="AV31" i="11" s="1"/>
  <c r="AW69" i="11" a="1"/>
  <c r="AW69" i="11" s="1"/>
  <c r="AV32" i="11" a="1"/>
  <c r="AV32" i="11" s="1"/>
  <c r="AW67" i="11" a="1"/>
  <c r="AW67" i="11" s="1"/>
  <c r="AW9" i="11"/>
  <c r="AV68" i="11" a="1"/>
  <c r="AV68" i="11" s="1"/>
  <c r="AW62" i="11" a="1"/>
  <c r="AW62" i="11" s="1"/>
  <c r="AW36" i="11" a="1"/>
  <c r="AW36" i="11" s="1"/>
  <c r="AW35" i="11" a="1"/>
  <c r="AW35" i="11" s="1"/>
  <c r="AW37" i="11" a="1"/>
  <c r="AW37" i="11" s="1"/>
  <c r="AW60" i="11" a="1"/>
  <c r="AW60" i="11" s="1"/>
  <c r="AW65" i="11" a="1"/>
  <c r="AW65" i="11" s="1"/>
  <c r="AW38" i="11" a="1"/>
  <c r="AW38" i="11" s="1"/>
  <c r="AW30" i="11" a="1"/>
  <c r="AW30" i="11" s="1"/>
  <c r="AW32" i="11" a="1"/>
  <c r="AW32" i="11" s="1"/>
  <c r="AW31" i="11" a="1"/>
  <c r="AW31" i="11" s="1"/>
  <c r="AW61" i="11" a="1"/>
  <c r="AW61" i="11" s="1"/>
  <c r="AU67" i="11" a="1"/>
  <c r="AU67" i="11" s="1"/>
  <c r="AV59" i="11" a="1"/>
  <c r="AV59" i="11" s="1"/>
  <c r="AV35" i="11" a="1"/>
  <c r="AV35" i="11" s="1"/>
  <c r="AK37" i="11" a="1"/>
  <c r="AK37" i="11" s="1"/>
  <c r="AK69" i="11" a="1"/>
  <c r="AK69" i="11" s="1"/>
  <c r="AK59" i="11" a="1"/>
  <c r="AK59" i="11" s="1"/>
  <c r="AK38" i="11" a="1"/>
  <c r="AK38" i="11" s="1"/>
  <c r="AK68" i="11" a="1"/>
  <c r="AK68" i="11" s="1"/>
  <c r="AV30" i="11" a="1"/>
  <c r="AV30" i="11" s="1"/>
  <c r="AW66" i="11" a="1"/>
  <c r="AW66" i="11" s="1"/>
  <c r="AK32" i="11" a="1"/>
  <c r="AK32" i="11" s="1"/>
  <c r="AV29" i="11" a="1"/>
  <c r="AV29" i="11" s="1"/>
  <c r="AW39" i="11" a="1"/>
  <c r="AW39" i="11" s="1"/>
  <c r="AK29" i="11" a="1"/>
  <c r="AK29" i="11" s="1"/>
  <c r="AK30" i="11" a="1"/>
  <c r="AK30" i="11" s="1"/>
  <c r="AK36" i="11" a="1"/>
  <c r="AK36" i="11" s="1"/>
  <c r="AK67" i="11" a="1"/>
  <c r="AK67" i="11" s="1"/>
  <c r="AW68" i="11" a="1"/>
  <c r="AW68" i="11" s="1"/>
  <c r="AW29" i="11" a="1"/>
  <c r="AW29" i="11" s="1"/>
  <c r="AK31" i="11" a="1"/>
  <c r="AK31" i="11" s="1"/>
  <c r="AL69" i="11" a="1"/>
  <c r="AL69" i="11" s="1"/>
  <c r="AL30" i="11" a="1"/>
  <c r="AL30" i="11" s="1"/>
  <c r="AL59" i="11" a="1"/>
  <c r="AL59" i="11" s="1"/>
  <c r="AL32" i="11" a="1"/>
  <c r="AL32" i="11" s="1"/>
  <c r="AK35" i="11" a="1"/>
  <c r="AK35" i="11" s="1"/>
  <c r="AL36" i="11" a="1"/>
  <c r="AL36" i="11" s="1"/>
  <c r="AL35" i="11" a="1"/>
  <c r="AL35" i="11" s="1"/>
  <c r="AK61" i="11" a="1"/>
  <c r="AK61" i="11" s="1"/>
  <c r="AL67" i="11" a="1"/>
  <c r="AL67" i="11" s="1"/>
  <c r="AW59" i="11" a="1"/>
  <c r="AW59" i="11" s="1"/>
  <c r="AL60" i="11" a="1"/>
  <c r="AL60" i="11" s="1"/>
  <c r="AL66" i="11" a="1"/>
  <c r="AL66" i="11" s="1"/>
  <c r="AL65" i="11" a="1"/>
  <c r="AL65" i="11" s="1"/>
  <c r="AL31" i="11" a="1"/>
  <c r="AL31" i="11" s="1"/>
  <c r="AL61" i="11" a="1"/>
  <c r="AL61" i="11" s="1"/>
  <c r="AK66" i="11" a="1"/>
  <c r="AK66" i="11" s="1"/>
  <c r="AL39" i="11" a="1"/>
  <c r="AL39" i="11" s="1"/>
  <c r="AK62" i="11" a="1"/>
  <c r="AK62" i="11" s="1"/>
  <c r="AK60" i="11" a="1"/>
  <c r="AK60" i="11" s="1"/>
  <c r="AK65" i="11" a="1"/>
  <c r="AK65" i="11" s="1"/>
  <c r="AL37" i="11" a="1"/>
  <c r="AL37" i="11" s="1"/>
  <c r="AL38" i="11" a="1"/>
  <c r="AL38" i="11" s="1"/>
  <c r="AL62" i="11" a="1"/>
  <c r="AL62" i="11" s="1"/>
  <c r="AL68" i="11" a="1"/>
  <c r="AL68" i="11" s="1"/>
  <c r="AL29" i="11" a="1"/>
  <c r="AL29" i="11" s="1"/>
  <c r="AK39" i="11" a="1"/>
  <c r="AK39" i="11" s="1"/>
  <c r="AM62" i="11" a="1"/>
  <c r="AM62" i="11" s="1"/>
  <c r="AM65" i="11" a="1"/>
  <c r="AM65" i="11" s="1"/>
  <c r="AM60" i="11" a="1"/>
  <c r="AM60" i="11" s="1"/>
  <c r="AM66" i="11" a="1"/>
  <c r="AM66" i="11" s="1"/>
  <c r="AM32" i="11" a="1"/>
  <c r="AM32" i="11" s="1"/>
  <c r="AM61" i="11" a="1"/>
  <c r="AM61" i="11" s="1"/>
  <c r="AM59" i="11" a="1"/>
  <c r="AM59" i="11" s="1"/>
  <c r="AM39" i="11" a="1"/>
  <c r="AM39" i="11" s="1"/>
  <c r="AM31" i="11" a="1"/>
  <c r="AM31" i="11" s="1"/>
  <c r="AM29" i="11" a="1"/>
  <c r="AM29" i="11" s="1"/>
  <c r="AM37" i="11" a="1"/>
  <c r="AM37" i="11" s="1"/>
  <c r="AM35" i="11" a="1"/>
  <c r="AM35" i="11" s="1"/>
  <c r="AM69" i="11" a="1"/>
  <c r="AM69" i="11" s="1"/>
  <c r="AM67" i="11" a="1"/>
  <c r="AM67" i="11" s="1"/>
  <c r="AN29" i="11" a="1"/>
  <c r="AN29" i="11" s="1"/>
  <c r="AM30" i="11" a="1"/>
  <c r="AM30" i="11" s="1"/>
  <c r="AM68" i="11" a="1"/>
  <c r="AM68" i="11" s="1"/>
  <c r="AM38" i="11" a="1"/>
  <c r="AM38" i="11" s="1"/>
  <c r="AM36" i="11" a="1"/>
  <c r="AM36" i="11" s="1"/>
  <c r="AN37" i="11" a="1"/>
  <c r="AN37" i="11" s="1"/>
  <c r="AN31" i="11" a="1"/>
  <c r="AN31" i="11" s="1"/>
  <c r="AN67" i="11" a="1"/>
  <c r="AN67" i="11" s="1"/>
  <c r="AN36" i="11" a="1"/>
  <c r="AN36" i="11" s="1"/>
  <c r="AN66" i="11" a="1"/>
  <c r="AN66" i="11" s="1"/>
  <c r="AN65" i="11" a="1"/>
  <c r="AN65" i="11" s="1"/>
  <c r="AN35" i="11" a="1"/>
  <c r="AN35" i="11" s="1"/>
  <c r="AN30" i="11" a="1"/>
  <c r="AN30" i="11" s="1"/>
  <c r="AN68" i="11" a="1"/>
  <c r="AN68" i="11" s="1"/>
  <c r="AN61" i="11" a="1"/>
  <c r="AN61" i="11" s="1"/>
  <c r="AN32" i="11" a="1"/>
  <c r="AN32" i="11" s="1"/>
  <c r="AN60" i="11" a="1"/>
  <c r="AN60" i="11" s="1"/>
  <c r="AN39" i="11" a="1"/>
  <c r="AN39" i="11" s="1"/>
  <c r="AN62" i="11" a="1"/>
  <c r="AN62" i="11" s="1"/>
  <c r="AN69" i="11" a="1"/>
  <c r="AN69" i="11" s="1"/>
  <c r="AN59" i="11" a="1"/>
  <c r="AN59" i="11" s="1"/>
  <c r="AN38" i="11" a="1"/>
  <c r="AN38" i="11" s="1"/>
  <c r="AO31" i="11" a="1"/>
  <c r="AO31" i="11" s="1"/>
  <c r="AO29" i="11" a="1"/>
  <c r="AO29" i="11" s="1"/>
  <c r="AO65" i="11" a="1"/>
  <c r="AO65" i="11" s="1"/>
  <c r="AO59" i="11" a="1"/>
  <c r="AO59" i="11" s="1"/>
  <c r="AO69" i="11" a="1"/>
  <c r="AO69" i="11" s="1"/>
  <c r="AO68" i="11" a="1"/>
  <c r="AO68" i="11" s="1"/>
  <c r="AO32" i="11" a="1"/>
  <c r="AO32" i="11" s="1"/>
  <c r="AO30" i="11" a="1"/>
  <c r="AO30" i="11" s="1"/>
  <c r="AO61" i="11" a="1"/>
  <c r="AO61" i="11" s="1"/>
  <c r="AO35" i="11" a="1"/>
  <c r="AO35" i="11" s="1"/>
  <c r="AO37" i="11" a="1"/>
  <c r="AO37" i="11" s="1"/>
  <c r="AP60" i="11" a="1"/>
  <c r="AP60" i="11" s="1"/>
  <c r="AO62" i="11" a="1"/>
  <c r="AO62" i="11" s="1"/>
  <c r="AO66" i="11" a="1"/>
  <c r="AO66" i="11" s="1"/>
  <c r="AO67" i="11" a="1"/>
  <c r="AO67" i="11" s="1"/>
  <c r="AO36" i="11" a="1"/>
  <c r="AO36" i="11" s="1"/>
  <c r="AO39" i="11" a="1"/>
  <c r="AO39" i="11" s="1"/>
  <c r="AO38" i="11" a="1"/>
  <c r="AO38" i="11" s="1"/>
  <c r="AO60" i="11" a="1"/>
  <c r="AO60" i="11" s="1"/>
  <c r="AP59" i="11" a="1"/>
  <c r="AP59" i="11" s="1"/>
  <c r="AP35" i="11" a="1"/>
  <c r="AP35" i="11" s="1"/>
  <c r="AP30" i="11" a="1"/>
  <c r="AP30" i="11" s="1"/>
  <c r="AP67" i="11" a="1"/>
  <c r="AP67" i="11" s="1"/>
  <c r="AP61" i="11" a="1"/>
  <c r="AP61" i="11" s="1"/>
  <c r="AP37" i="11" a="1"/>
  <c r="AP37" i="11" s="1"/>
  <c r="AP62" i="11" a="1"/>
  <c r="AP62" i="11" s="1"/>
  <c r="AP38" i="11" a="1"/>
  <c r="AP38" i="11" s="1"/>
  <c r="AP32" i="11" a="1"/>
  <c r="AP32" i="11" s="1"/>
  <c r="AP68" i="11" a="1"/>
  <c r="AP68" i="11" s="1"/>
  <c r="AP66" i="11" a="1"/>
  <c r="AP66" i="11" s="1"/>
  <c r="AP36" i="11" a="1"/>
  <c r="AP36" i="11" s="1"/>
  <c r="AP39" i="11" a="1"/>
  <c r="AP39" i="11" s="1"/>
  <c r="AQ39" i="11" a="1"/>
  <c r="AQ39" i="11" s="1"/>
  <c r="AQ35" i="11" a="1"/>
  <c r="AQ35" i="11" s="1"/>
  <c r="AQ60" i="11" a="1"/>
  <c r="AQ60" i="11" s="1"/>
  <c r="AQ62" i="11" a="1"/>
  <c r="AQ62" i="11" s="1"/>
  <c r="AQ37" i="11" a="1"/>
  <c r="AQ37" i="11" s="1"/>
  <c r="AQ38" i="11" a="1"/>
  <c r="AQ38" i="11" s="1"/>
  <c r="AQ29" i="11" a="1"/>
  <c r="AQ29" i="11" s="1"/>
  <c r="AQ33" i="11" s="1"/>
  <c r="BF16" i="11" s="1"/>
  <c r="AQ65" i="11" a="1"/>
  <c r="AQ65" i="11" s="1"/>
  <c r="AQ68" i="11" a="1"/>
  <c r="AQ68" i="11" s="1"/>
  <c r="AQ31" i="11" a="1"/>
  <c r="AQ31" i="11" s="1"/>
  <c r="AQ69" i="11" a="1"/>
  <c r="AQ69" i="11" s="1"/>
  <c r="AQ66" i="11" a="1"/>
  <c r="AQ66" i="11" s="1"/>
  <c r="AQ32" i="11" a="1"/>
  <c r="AQ32" i="11" s="1"/>
  <c r="AQ67" i="11" a="1"/>
  <c r="AQ67" i="11" s="1"/>
  <c r="AQ107" i="10" a="1"/>
  <c r="AQ107" i="10" s="1"/>
  <c r="AQ156" i="10" a="1"/>
  <c r="AQ156" i="10" s="1"/>
  <c r="AQ100" i="10" a="1"/>
  <c r="AQ100" i="10" s="1"/>
  <c r="AQ106" i="10" a="1"/>
  <c r="AQ106" i="10" s="1"/>
  <c r="T63" i="16"/>
  <c r="T28" i="5"/>
  <c r="T108" i="11"/>
  <c r="T55" i="11" s="1"/>
  <c r="AQ114" i="10" a="1"/>
  <c r="AQ114" i="10" s="1"/>
  <c r="AQ203" i="10" a="1"/>
  <c r="AQ203" i="10" s="1"/>
  <c r="AN82" i="16" a="1"/>
  <c r="AN82" i="16" s="1"/>
  <c r="AJ191" i="10" a="1"/>
  <c r="AJ191" i="10" s="1"/>
  <c r="AJ190" i="10" s="1"/>
  <c r="AS101" i="10" a="1"/>
  <c r="AS101" i="10" s="1"/>
  <c r="AS156" i="10" a="1"/>
  <c r="AS156" i="10" s="1"/>
  <c r="AS122" i="10" a="1"/>
  <c r="AS122" i="10" s="1"/>
  <c r="AS196" i="10" a="1"/>
  <c r="AS196" i="10" s="1"/>
  <c r="AR124" i="10" a="1"/>
  <c r="AR124" i="10" s="1"/>
  <c r="AJ196" i="10" a="1"/>
  <c r="AJ196" i="10" s="1"/>
  <c r="AS92" i="10" a="1"/>
  <c r="AS92" i="10" s="1"/>
  <c r="AS123" i="10" a="1"/>
  <c r="AS123" i="10" s="1"/>
  <c r="AR157" i="10" a="1"/>
  <c r="AR157" i="10" s="1"/>
  <c r="AS203" i="10" a="1"/>
  <c r="AS203" i="10" s="1"/>
  <c r="AS106" i="10" a="1"/>
  <c r="AS106" i="10" s="1"/>
  <c r="AR123" i="10" a="1"/>
  <c r="AR123" i="10" s="1"/>
  <c r="AR108" i="10" a="1"/>
  <c r="AR108" i="10" s="1"/>
  <c r="AR172" i="10" a="1"/>
  <c r="AR172" i="10" s="1"/>
  <c r="AR101" i="10" a="1"/>
  <c r="AR101" i="10" s="1"/>
  <c r="AR92" i="10" a="1"/>
  <c r="AR92" i="10" s="1"/>
  <c r="AR196" i="10" a="1"/>
  <c r="AR196" i="10" s="1"/>
  <c r="AS197" i="10" a="1"/>
  <c r="AS197" i="10" s="1"/>
  <c r="AR114" i="10" a="1"/>
  <c r="AR114" i="10" s="1"/>
  <c r="AR203" i="10" a="1"/>
  <c r="AR203" i="10" s="1"/>
  <c r="AS171" i="10" a="1"/>
  <c r="AS171" i="10" s="1"/>
  <c r="AR191" i="10" a="1"/>
  <c r="AR191" i="10" s="1"/>
  <c r="AS157" i="10" a="1"/>
  <c r="AS157" i="10" s="1"/>
  <c r="AJ123" i="10" a="1"/>
  <c r="AJ123" i="10" s="1"/>
  <c r="AJ100" i="10" a="1"/>
  <c r="AJ100" i="10" s="1"/>
  <c r="AR100" i="10" a="1"/>
  <c r="AR100" i="10" s="1"/>
  <c r="AR122" i="10" a="1"/>
  <c r="AR122" i="10" s="1"/>
  <c r="AR197" i="10" a="1"/>
  <c r="AR197" i="10" s="1"/>
  <c r="AU191" i="10" a="1"/>
  <c r="AU191" i="10" s="1"/>
  <c r="AU190" i="10" s="1"/>
  <c r="AS172" i="10" a="1"/>
  <c r="AS172" i="10" s="1"/>
  <c r="AJ156" i="10" a="1"/>
  <c r="AJ156" i="10" s="1"/>
  <c r="AJ124" i="10" a="1"/>
  <c r="AJ124" i="10" s="1"/>
  <c r="AR156" i="10" a="1"/>
  <c r="AR156" i="10" s="1"/>
  <c r="AS191" i="10" a="1"/>
  <c r="AS191" i="10" s="1"/>
  <c r="AJ86" i="10" a="1"/>
  <c r="AJ86" i="10" s="1"/>
  <c r="AR107" i="10" a="1"/>
  <c r="AR107" i="10" s="1"/>
  <c r="AJ101" i="10" a="1"/>
  <c r="AJ101" i="10" s="1"/>
  <c r="AJ203" i="10" a="1"/>
  <c r="AJ203" i="10" s="1"/>
  <c r="AS100" i="10" a="1"/>
  <c r="AS100" i="10" s="1"/>
  <c r="AS108" i="10" a="1"/>
  <c r="AS108" i="10" s="1"/>
  <c r="AJ157" i="10" a="1"/>
  <c r="AJ157" i="10" s="1"/>
  <c r="AU92" i="10" a="1"/>
  <c r="AU92" i="10" s="1"/>
  <c r="AJ85" i="10" a="1"/>
  <c r="AJ85" i="10" s="1"/>
  <c r="AJ108" i="10" a="1"/>
  <c r="AJ108" i="10" s="1"/>
  <c r="AS124" i="10" a="1"/>
  <c r="AS124" i="10" s="1"/>
  <c r="AS86" i="10" a="1"/>
  <c r="AS86" i="10" s="1"/>
  <c r="AS114" i="10" a="1"/>
  <c r="AS114" i="10" s="1"/>
  <c r="AS107" i="10" a="1"/>
  <c r="AS107" i="10" s="1"/>
  <c r="AJ106" i="10" a="1"/>
  <c r="AJ106" i="10" s="1"/>
  <c r="AR86" i="10" a="1"/>
  <c r="AR86" i="10" s="1"/>
  <c r="AR106" i="10" a="1"/>
  <c r="AR106" i="10" s="1"/>
  <c r="AJ114" i="10" a="1"/>
  <c r="AJ114" i="10" s="1"/>
  <c r="AJ172" i="10" a="1"/>
  <c r="AJ172" i="10" s="1"/>
  <c r="AJ107" i="10" a="1"/>
  <c r="AJ107" i="10" s="1"/>
  <c r="AJ122" i="10" a="1"/>
  <c r="AJ122" i="10" s="1"/>
  <c r="AU122" i="10" a="1"/>
  <c r="AU122" i="10" s="1"/>
  <c r="AJ197" i="10" a="1"/>
  <c r="AJ197" i="10" s="1"/>
  <c r="AR171" i="10" a="1"/>
  <c r="AR171" i="10" s="1"/>
  <c r="AU171" i="10" a="1"/>
  <c r="AU171" i="10" s="1"/>
  <c r="AU114" i="10" a="1"/>
  <c r="AU114" i="10" s="1"/>
  <c r="AU106" i="10" a="1"/>
  <c r="AU106" i="10" s="1"/>
  <c r="AU86" i="10" a="1"/>
  <c r="AU86" i="10" s="1"/>
  <c r="AU156" i="10" a="1"/>
  <c r="AU156" i="10" s="1"/>
  <c r="AV108" i="10" a="1"/>
  <c r="AV108" i="10" s="1"/>
  <c r="AU123" i="10" a="1"/>
  <c r="AU123" i="10" s="1"/>
  <c r="AU100" i="10" a="1"/>
  <c r="AU100" i="10" s="1"/>
  <c r="AJ92" i="10" a="1"/>
  <c r="AJ92" i="10" s="1"/>
  <c r="AV172" i="10" a="1"/>
  <c r="AV172" i="10" s="1"/>
  <c r="AU85" i="10" a="1"/>
  <c r="AU85" i="10" s="1"/>
  <c r="AV9" i="10"/>
  <c r="AJ171" i="10" a="1"/>
  <c r="AJ171" i="10" s="1"/>
  <c r="AU101" i="10" a="1"/>
  <c r="AU101" i="10" s="1"/>
  <c r="AV196" i="10" a="1"/>
  <c r="AV196" i="10" s="1"/>
  <c r="AV114" i="10" a="1"/>
  <c r="AV114" i="10" s="1"/>
  <c r="AU197" i="10" a="1"/>
  <c r="AU197" i="10" s="1"/>
  <c r="AV157" i="10" a="1"/>
  <c r="AV157" i="10" s="1"/>
  <c r="AU196" i="10" a="1"/>
  <c r="AU196" i="10" s="1"/>
  <c r="AV101" i="10" a="1"/>
  <c r="AV101" i="10" s="1"/>
  <c r="AU157" i="10" a="1"/>
  <c r="AU157" i="10" s="1"/>
  <c r="AU203" i="10" a="1"/>
  <c r="AU203" i="10" s="1"/>
  <c r="AU107" i="10" a="1"/>
  <c r="AU107" i="10" s="1"/>
  <c r="AU9" i="10"/>
  <c r="AW157" i="10" a="1"/>
  <c r="AW157" i="10" s="1"/>
  <c r="AV86" i="10" a="1"/>
  <c r="AV86" i="10" s="1"/>
  <c r="AU172" i="10" a="1"/>
  <c r="AU172" i="10" s="1"/>
  <c r="AV156" i="10" a="1"/>
  <c r="AV156" i="10" s="1"/>
  <c r="AW108" i="10" a="1"/>
  <c r="AW108" i="10" s="1"/>
  <c r="AW171" i="10" a="1"/>
  <c r="AW171" i="10" s="1"/>
  <c r="AU108" i="10" a="1"/>
  <c r="AU108" i="10" s="1"/>
  <c r="AU124" i="10" a="1"/>
  <c r="AU124" i="10" s="1"/>
  <c r="AV106" i="10" a="1"/>
  <c r="AV106" i="10" s="1"/>
  <c r="AW9" i="10"/>
  <c r="AV191" i="10" a="1"/>
  <c r="AV191" i="10" s="1"/>
  <c r="AV100" i="10" a="1"/>
  <c r="AV100" i="10" s="1"/>
  <c r="AV171" i="10" a="1"/>
  <c r="AV171" i="10" s="1"/>
  <c r="AK124" i="10" a="1"/>
  <c r="AK124" i="10" s="1"/>
  <c r="AW203" i="10" a="1"/>
  <c r="AW203" i="10" s="1"/>
  <c r="AW92" i="10" a="1"/>
  <c r="AW92" i="10" s="1"/>
  <c r="AW106" i="10" a="1"/>
  <c r="AW106" i="10" s="1"/>
  <c r="AW172" i="10" a="1"/>
  <c r="AW172" i="10" s="1"/>
  <c r="AK191" i="10" a="1"/>
  <c r="AK191" i="10" s="1"/>
  <c r="AK190" i="10" s="1"/>
  <c r="AK101" i="10" a="1"/>
  <c r="AK101" i="10" s="1"/>
  <c r="AK92" i="10" a="1"/>
  <c r="AK92" i="10" s="1"/>
  <c r="AW122" i="10" a="1"/>
  <c r="AW122" i="10" s="1"/>
  <c r="AV203" i="10" a="1"/>
  <c r="AV203" i="10" s="1"/>
  <c r="AK122" i="10" a="1"/>
  <c r="AK122" i="10" s="1"/>
  <c r="AK86" i="10" a="1"/>
  <c r="AK86" i="10" s="1"/>
  <c r="AW86" i="10" a="1"/>
  <c r="AW86" i="10" s="1"/>
  <c r="AW85" i="10" a="1"/>
  <c r="AW85" i="10" s="1"/>
  <c r="AV85" i="10" a="1"/>
  <c r="AV85" i="10" s="1"/>
  <c r="AV197" i="10" a="1"/>
  <c r="AV197" i="10" s="1"/>
  <c r="AV92" i="10" a="1"/>
  <c r="AV92" i="10" s="1"/>
  <c r="AW191" i="10" a="1"/>
  <c r="AW191" i="10" s="1"/>
  <c r="AW197" i="10" a="1"/>
  <c r="AW197" i="10" s="1"/>
  <c r="AV122" i="10" a="1"/>
  <c r="AV122" i="10" s="1"/>
  <c r="AK196" i="10" a="1"/>
  <c r="AK196" i="10" s="1"/>
  <c r="AW114" i="10" a="1"/>
  <c r="AW114" i="10" s="1"/>
  <c r="AW107" i="10" a="1"/>
  <c r="AW107" i="10" s="1"/>
  <c r="AK156" i="10" a="1"/>
  <c r="AK156" i="10" s="1"/>
  <c r="AK107" i="10" a="1"/>
  <c r="AK107" i="10" s="1"/>
  <c r="AW100" i="10" a="1"/>
  <c r="AW100" i="10" s="1"/>
  <c r="AW123" i="10" a="1"/>
  <c r="AW123" i="10" s="1"/>
  <c r="AK197" i="10" a="1"/>
  <c r="AK197" i="10" s="1"/>
  <c r="AK108" i="10" a="1"/>
  <c r="AK108" i="10" s="1"/>
  <c r="AW124" i="10" a="1"/>
  <c r="AW124" i="10" s="1"/>
  <c r="AK100" i="10" a="1"/>
  <c r="AK100" i="10" s="1"/>
  <c r="AW156" i="10" a="1"/>
  <c r="AW156" i="10" s="1"/>
  <c r="AW196" i="10" a="1"/>
  <c r="AW196" i="10" s="1"/>
  <c r="AV107" i="10" a="1"/>
  <c r="AV107" i="10" s="1"/>
  <c r="AK85" i="10" a="1"/>
  <c r="AK85" i="10" s="1"/>
  <c r="AV124" i="10" a="1"/>
  <c r="AV124" i="10" s="1"/>
  <c r="AK203" i="10" a="1"/>
  <c r="AK203" i="10" s="1"/>
  <c r="AL191" i="10" a="1"/>
  <c r="AL191" i="10" s="1"/>
  <c r="AL190" i="10" s="1"/>
  <c r="AV123" i="10" a="1"/>
  <c r="AV123" i="10" s="1"/>
  <c r="AK106" i="10" a="1"/>
  <c r="AK106" i="10" s="1"/>
  <c r="AK114" i="10" a="1"/>
  <c r="AK114" i="10" s="1"/>
  <c r="AK123" i="10" a="1"/>
  <c r="AK123" i="10" s="1"/>
  <c r="AW101" i="10" a="1"/>
  <c r="AW101" i="10" s="1"/>
  <c r="AK172" i="10" a="1"/>
  <c r="AK172" i="10" s="1"/>
  <c r="AL114" i="10" a="1"/>
  <c r="AL114" i="10" s="1"/>
  <c r="AK157" i="10" a="1"/>
  <c r="AK157" i="10" s="1"/>
  <c r="AL101" i="10" a="1"/>
  <c r="AL101" i="10" s="1"/>
  <c r="AL124" i="10" a="1"/>
  <c r="AL124" i="10" s="1"/>
  <c r="AL172" i="10" a="1"/>
  <c r="AL172" i="10" s="1"/>
  <c r="AL171" i="10" a="1"/>
  <c r="AL171" i="10" s="1"/>
  <c r="AL196" i="10" a="1"/>
  <c r="AL196" i="10" s="1"/>
  <c r="AL100" i="10" a="1"/>
  <c r="AL100" i="10" s="1"/>
  <c r="AM191" i="10" a="1"/>
  <c r="AM191" i="10" s="1"/>
  <c r="AM190" i="10" s="1"/>
  <c r="AL123" i="10" a="1"/>
  <c r="AL123" i="10" s="1"/>
  <c r="AL107" i="10" a="1"/>
  <c r="AL107" i="10" s="1"/>
  <c r="AL122" i="10" a="1"/>
  <c r="AL122" i="10" s="1"/>
  <c r="AL108" i="10" a="1"/>
  <c r="AL108" i="10" s="1"/>
  <c r="AL157" i="10" a="1"/>
  <c r="AL157" i="10" s="1"/>
  <c r="AL85" i="10" a="1"/>
  <c r="AL85" i="10" s="1"/>
  <c r="AL92" i="10" a="1"/>
  <c r="AL92" i="10" s="1"/>
  <c r="AL86" i="10" a="1"/>
  <c r="AL86" i="10" s="1"/>
  <c r="AL197" i="10" a="1"/>
  <c r="AL197" i="10" s="1"/>
  <c r="AL106" i="10" a="1"/>
  <c r="AL106" i="10" s="1"/>
  <c r="AM156" i="10" a="1"/>
  <c r="AM156" i="10" s="1"/>
  <c r="AM108" i="10" a="1"/>
  <c r="AM108" i="10" s="1"/>
  <c r="AL156" i="10" a="1"/>
  <c r="AL156" i="10" s="1"/>
  <c r="AL203" i="10" a="1"/>
  <c r="AL203" i="10" s="1"/>
  <c r="AM107" i="10" a="1"/>
  <c r="AM107" i="10" s="1"/>
  <c r="AM86" i="10" a="1"/>
  <c r="AM86" i="10" s="1"/>
  <c r="AM197" i="10" a="1"/>
  <c r="AM197" i="10" s="1"/>
  <c r="AM92" i="10" a="1"/>
  <c r="AM92" i="10" s="1"/>
  <c r="AM196" i="10" a="1"/>
  <c r="AM196" i="10" s="1"/>
  <c r="AM171" i="10" a="1"/>
  <c r="AM171" i="10" s="1"/>
  <c r="AM106" i="10" a="1"/>
  <c r="AM106" i="10" s="1"/>
  <c r="AM100" i="10" a="1"/>
  <c r="AM100" i="10" s="1"/>
  <c r="AM203" i="10" a="1"/>
  <c r="AM203" i="10" s="1"/>
  <c r="AM114" i="10" a="1"/>
  <c r="AM114" i="10" s="1"/>
  <c r="AM122" i="10" a="1"/>
  <c r="AM122" i="10" s="1"/>
  <c r="AM123" i="10" a="1"/>
  <c r="AM123" i="10" s="1"/>
  <c r="AM101" i="10" a="1"/>
  <c r="AM101" i="10" s="1"/>
  <c r="AV36" i="10"/>
  <c r="AM172" i="10" a="1"/>
  <c r="AM172" i="10" s="1"/>
  <c r="AM124" i="10" a="1"/>
  <c r="AM124" i="10" s="1"/>
  <c r="AM85" i="10" a="1"/>
  <c r="AM85" i="10" s="1"/>
  <c r="AM157" i="10" a="1"/>
  <c r="AM157" i="10" s="1"/>
  <c r="AN203" i="10" a="1"/>
  <c r="AN203" i="10" s="1"/>
  <c r="AN171" i="10" a="1"/>
  <c r="AN171" i="10" s="1"/>
  <c r="AN85" i="10" a="1"/>
  <c r="AN85" i="10" s="1"/>
  <c r="AN191" i="10" a="1"/>
  <c r="AN191" i="10" s="1"/>
  <c r="AN190" i="10" s="1"/>
  <c r="AN114" i="10" a="1"/>
  <c r="AN114" i="10" s="1"/>
  <c r="AN172" i="10" a="1"/>
  <c r="AN172" i="10" s="1"/>
  <c r="AN108" i="10" a="1"/>
  <c r="AN108" i="10" s="1"/>
  <c r="AN86" i="10" a="1"/>
  <c r="AN86" i="10" s="1"/>
  <c r="AN124" i="10" a="1"/>
  <c r="AN124" i="10" s="1"/>
  <c r="AN92" i="10" a="1"/>
  <c r="AN92" i="10" s="1"/>
  <c r="AN157" i="10" a="1"/>
  <c r="AN157" i="10" s="1"/>
  <c r="AN101" i="10" a="1"/>
  <c r="AN101" i="10" s="1"/>
  <c r="AN107" i="10" a="1"/>
  <c r="AN107" i="10" s="1"/>
  <c r="AN106" i="10" a="1"/>
  <c r="AN106" i="10" s="1"/>
  <c r="AN196" i="10" a="1"/>
  <c r="AN196" i="10" s="1"/>
  <c r="AN123" i="10" a="1"/>
  <c r="AN123" i="10" s="1"/>
  <c r="AN156" i="10" a="1"/>
  <c r="AN156" i="10" s="1"/>
  <c r="AN197" i="10" a="1"/>
  <c r="AN197" i="10" s="1"/>
  <c r="AO191" i="10" a="1"/>
  <c r="AO191" i="10" s="1"/>
  <c r="AO190" i="10" s="1"/>
  <c r="AN122" i="10" a="1"/>
  <c r="AN122" i="10" s="1"/>
  <c r="AO124" i="10" a="1"/>
  <c r="AO124" i="10" s="1"/>
  <c r="AN100" i="10" a="1"/>
  <c r="AN100" i="10" s="1"/>
  <c r="AO196" i="10" a="1"/>
  <c r="AO196" i="10" s="1"/>
  <c r="AO172" i="10" a="1"/>
  <c r="AO172" i="10" s="1"/>
  <c r="AO157" i="10" a="1"/>
  <c r="AO157" i="10" s="1"/>
  <c r="AO106" i="10" a="1"/>
  <c r="AO106" i="10" s="1"/>
  <c r="AO101" i="10" a="1"/>
  <c r="AO101" i="10" s="1"/>
  <c r="AO114" i="10" a="1"/>
  <c r="AO114" i="10" s="1"/>
  <c r="AO85" i="10" a="1"/>
  <c r="AO85" i="10" s="1"/>
  <c r="AO123" i="10" a="1"/>
  <c r="AO123" i="10" s="1"/>
  <c r="AO122" i="10" a="1"/>
  <c r="AO122" i="10" s="1"/>
  <c r="AO86" i="10" a="1"/>
  <c r="AO86" i="10" s="1"/>
  <c r="AO100" i="10" a="1"/>
  <c r="AO100" i="10" s="1"/>
  <c r="AO107" i="10" a="1"/>
  <c r="AO107" i="10" s="1"/>
  <c r="AO156" i="10" a="1"/>
  <c r="AO156" i="10" s="1"/>
  <c r="AO92" i="10" a="1"/>
  <c r="AO92" i="10" s="1"/>
  <c r="AO171" i="10" a="1"/>
  <c r="AO171" i="10" s="1"/>
  <c r="AO203" i="10" a="1"/>
  <c r="AO203" i="10" s="1"/>
  <c r="AO197" i="10" a="1"/>
  <c r="AO197" i="10" s="1"/>
  <c r="AO108" i="10" a="1"/>
  <c r="AO108" i="10" s="1"/>
  <c r="AP191" i="10" a="1"/>
  <c r="AP191" i="10" s="1"/>
  <c r="AP190" i="10" s="1"/>
  <c r="AP203" i="10" a="1"/>
  <c r="AP203" i="10" s="1"/>
  <c r="AW125" i="10"/>
  <c r="AP86" i="10" a="1"/>
  <c r="AP86" i="10" s="1"/>
  <c r="AP196" i="10" a="1"/>
  <c r="AP196" i="10" s="1"/>
  <c r="AP106" i="10" a="1"/>
  <c r="AP106" i="10" s="1"/>
  <c r="AP171" i="10" a="1"/>
  <c r="AP171" i="10" s="1"/>
  <c r="AP100" i="10" a="1"/>
  <c r="AP100" i="10" s="1"/>
  <c r="AP107" i="10" a="1"/>
  <c r="AP107" i="10" s="1"/>
  <c r="AP197" i="10" a="1"/>
  <c r="AP197" i="10" s="1"/>
  <c r="AP114" i="10" a="1"/>
  <c r="AP114" i="10" s="1"/>
  <c r="AP92" i="10" a="1"/>
  <c r="AP92" i="10" s="1"/>
  <c r="AP172" i="10" a="1"/>
  <c r="AP172" i="10" s="1"/>
  <c r="AP108" i="10" a="1"/>
  <c r="AP108" i="10" s="1"/>
  <c r="AP124" i="10" a="1"/>
  <c r="AP124" i="10" s="1"/>
  <c r="AP156" i="10" a="1"/>
  <c r="AP156" i="10" s="1"/>
  <c r="AP85" i="10" a="1"/>
  <c r="AP85" i="10" s="1"/>
  <c r="AP101" i="10" a="1"/>
  <c r="AP101" i="10" s="1"/>
  <c r="AP157" i="10" a="1"/>
  <c r="AP157" i="10" s="1"/>
  <c r="AP123" i="10" a="1"/>
  <c r="AP123" i="10" s="1"/>
  <c r="AP122" i="10" a="1"/>
  <c r="AP122" i="10" s="1"/>
  <c r="AQ191" i="10" a="1"/>
  <c r="AQ191" i="10" s="1"/>
  <c r="AQ190" i="10" s="1"/>
  <c r="AQ86" i="10" a="1"/>
  <c r="AQ86" i="10" s="1"/>
  <c r="AQ101" i="10" a="1"/>
  <c r="AQ101" i="10" s="1"/>
  <c r="AQ171" i="10" a="1"/>
  <c r="AQ171" i="10" s="1"/>
  <c r="AQ123" i="10" a="1"/>
  <c r="AQ123" i="10" s="1"/>
  <c r="AQ108" i="10" a="1"/>
  <c r="AQ108" i="10" s="1"/>
  <c r="AQ122" i="10" a="1"/>
  <c r="AQ122" i="10" s="1"/>
  <c r="AQ92" i="10" a="1"/>
  <c r="AQ92" i="10" s="1"/>
  <c r="AS125" i="10" a="1"/>
  <c r="AS125" i="10" s="1"/>
  <c r="AQ172" i="10" a="1"/>
  <c r="AQ172" i="10" s="1"/>
  <c r="AS85" i="10" a="1"/>
  <c r="AS85" i="10" s="1"/>
  <c r="AR85" i="10" a="1"/>
  <c r="AR85" i="10" s="1"/>
  <c r="AK171" i="10" a="1"/>
  <c r="AK171" i="10" s="1"/>
  <c r="AQ157" i="10" a="1"/>
  <c r="AQ157" i="10" s="1"/>
  <c r="AQ196" i="10" a="1"/>
  <c r="AQ196" i="10" s="1"/>
  <c r="AQ195" i="10" s="1"/>
  <c r="Y155" i="10"/>
  <c r="X28" i="10"/>
  <c r="T229" i="10"/>
  <c r="T226" i="10"/>
  <c r="AH72" i="10"/>
  <c r="AH232" i="10"/>
  <c r="AH221" i="10"/>
  <c r="AG21" i="10"/>
  <c r="AH14" i="10"/>
  <c r="AH64" i="10"/>
  <c r="AG195" i="10"/>
  <c r="AG198" i="10" s="1"/>
  <c r="AF37" i="10"/>
  <c r="U170" i="10"/>
  <c r="T32" i="10"/>
  <c r="T82" i="16" s="1"/>
  <c r="AH14" i="11"/>
  <c r="AH49" i="11"/>
  <c r="AH98" i="10"/>
  <c r="AH120" i="10"/>
  <c r="AH99" i="10"/>
  <c r="AH102" i="10" s="1"/>
  <c r="AS102" i="10" s="1" a="1"/>
  <c r="AS102" i="10" s="1"/>
  <c r="T105" i="10"/>
  <c r="T84" i="10"/>
  <c r="S90" i="10"/>
  <c r="R96" i="10"/>
  <c r="S46" i="1"/>
  <c r="S17" i="11" s="1"/>
  <c r="S91" i="10"/>
  <c r="Z49" i="5"/>
  <c r="AA49" i="5" s="1"/>
  <c r="AH117" i="10"/>
  <c r="AH111" i="10"/>
  <c r="AH104" i="10"/>
  <c r="AG190" i="10"/>
  <c r="AG192" i="10" s="1"/>
  <c r="AG36" i="10" s="1"/>
  <c r="AH194" i="10"/>
  <c r="AH200" i="10"/>
  <c r="AH189" i="10"/>
  <c r="AH89" i="10"/>
  <c r="AH95" i="10"/>
  <c r="AH179" i="10"/>
  <c r="AH83" i="10"/>
  <c r="AH154" i="10"/>
  <c r="AH160" i="10"/>
  <c r="AH148" i="10"/>
  <c r="AH131" i="10"/>
  <c r="AH140" i="10"/>
  <c r="AH75" i="10"/>
  <c r="AH55" i="10"/>
  <c r="AH10" i="11"/>
  <c r="AH48" i="10"/>
  <c r="AH169" i="10"/>
  <c r="AH10" i="10"/>
  <c r="AP63" i="11" l="1"/>
  <c r="AU155" i="10"/>
  <c r="AO195" i="10"/>
  <c r="AS33" i="11"/>
  <c r="AV63" i="11"/>
  <c r="AR33" i="11"/>
  <c r="AW63" i="11"/>
  <c r="AQ99" i="10"/>
  <c r="AK33" i="11"/>
  <c r="AU33" i="11"/>
  <c r="AO70" i="11"/>
  <c r="AN33" i="11"/>
  <c r="AM63" i="11"/>
  <c r="AL33" i="11"/>
  <c r="BA16" i="11" s="1"/>
  <c r="AS40" i="11"/>
  <c r="AQ40" i="11"/>
  <c r="BF17" i="11" s="1"/>
  <c r="AO40" i="11"/>
  <c r="BD17" i="11" s="1"/>
  <c r="AO33" i="11"/>
  <c r="BD16" i="11" s="1"/>
  <c r="AV33" i="11"/>
  <c r="AJ63" i="11"/>
  <c r="AR40" i="11"/>
  <c r="AL40" i="11"/>
  <c r="BA17" i="11" s="1"/>
  <c r="AW33" i="11"/>
  <c r="AV40" i="11"/>
  <c r="AW70" i="11"/>
  <c r="AV70" i="11"/>
  <c r="AU70" i="11"/>
  <c r="AU63" i="11"/>
  <c r="AQ70" i="11"/>
  <c r="AM40" i="11"/>
  <c r="BB17" i="11" s="1"/>
  <c r="AJ33" i="11"/>
  <c r="AS70" i="11"/>
  <c r="AQ63" i="11"/>
  <c r="AN63" i="11"/>
  <c r="AL70" i="11"/>
  <c r="AK40" i="11"/>
  <c r="AS63" i="11"/>
  <c r="AN40" i="11"/>
  <c r="AM33" i="11"/>
  <c r="BB16" i="11" s="1"/>
  <c r="AM70" i="11"/>
  <c r="AK70" i="11"/>
  <c r="AW40" i="11"/>
  <c r="AU40" i="11"/>
  <c r="AR63" i="11"/>
  <c r="AP40" i="11"/>
  <c r="BE17" i="11" s="1"/>
  <c r="AN70" i="11"/>
  <c r="AL63" i="11"/>
  <c r="AJ70" i="11"/>
  <c r="AP33" i="11"/>
  <c r="BE16" i="11" s="1"/>
  <c r="AO63" i="11"/>
  <c r="AK63" i="11"/>
  <c r="AJ40" i="11"/>
  <c r="AR70" i="11"/>
  <c r="AP70" i="11"/>
  <c r="AS99" i="10"/>
  <c r="AL195" i="10"/>
  <c r="AJ99" i="10"/>
  <c r="AQ121" i="10"/>
  <c r="AN121" i="10"/>
  <c r="AR121" i="10"/>
  <c r="AV121" i="10"/>
  <c r="AK105" i="10"/>
  <c r="AP121" i="10"/>
  <c r="AS121" i="10"/>
  <c r="AM121" i="10"/>
  <c r="AU121" i="10"/>
  <c r="AO121" i="10"/>
  <c r="AK121" i="10"/>
  <c r="AJ121" i="10"/>
  <c r="AW121" i="10"/>
  <c r="AL121" i="10"/>
  <c r="AN105" i="10"/>
  <c r="AM105" i="10"/>
  <c r="AL105" i="10"/>
  <c r="AU105" i="10"/>
  <c r="AP99" i="10"/>
  <c r="AU99" i="10"/>
  <c r="AM99" i="10"/>
  <c r="AJ105" i="10"/>
  <c r="AN84" i="10"/>
  <c r="AM155" i="10"/>
  <c r="AL84" i="10"/>
  <c r="AK84" i="10"/>
  <c r="AJ84" i="10"/>
  <c r="AM84" i="10"/>
  <c r="AN99" i="10"/>
  <c r="AO99" i="10"/>
  <c r="AL99" i="10"/>
  <c r="AU84" i="10"/>
  <c r="AK99" i="10"/>
  <c r="AV99" i="10"/>
  <c r="AR99" i="10"/>
  <c r="AO155" i="10"/>
  <c r="AK155" i="10"/>
  <c r="AK195" i="10"/>
  <c r="AJ155" i="10"/>
  <c r="AM170" i="10"/>
  <c r="AL155" i="10"/>
  <c r="AN155" i="10"/>
  <c r="AP195" i="10"/>
  <c r="AU195" i="10"/>
  <c r="AL170" i="10"/>
  <c r="AM195" i="10"/>
  <c r="AU170" i="10"/>
  <c r="AJ170" i="10"/>
  <c r="AR195" i="10"/>
  <c r="AK170" i="10"/>
  <c r="AN170" i="10"/>
  <c r="AN195" i="10"/>
  <c r="AJ195" i="10"/>
  <c r="AW102" i="10"/>
  <c r="AW99" i="10" s="1"/>
  <c r="Y158" i="10"/>
  <c r="AP158" i="10" s="1" a="1"/>
  <c r="AP158" i="10" s="1"/>
  <c r="AP155" i="10" s="1"/>
  <c r="Y165" i="5"/>
  <c r="Y168" i="5" s="1"/>
  <c r="R20" i="10"/>
  <c r="AH21" i="10"/>
  <c r="AH195" i="10"/>
  <c r="AH198" i="10" s="1"/>
  <c r="AG37" i="10"/>
  <c r="U170" i="5"/>
  <c r="U173" i="5" s="1"/>
  <c r="U175" i="5" s="1"/>
  <c r="U173" i="10"/>
  <c r="S93" i="10"/>
  <c r="T109" i="10"/>
  <c r="T53" i="5"/>
  <c r="T87" i="10"/>
  <c r="T47" i="5"/>
  <c r="T50" i="5" s="1"/>
  <c r="T20" i="5" s="1"/>
  <c r="AB49" i="5"/>
  <c r="AC49" i="5" s="1"/>
  <c r="AH190" i="10"/>
  <c r="AH192" i="10" s="1"/>
  <c r="AR21" i="10" l="1" a="1"/>
  <c r="AR21" i="10" s="1"/>
  <c r="AS21" i="10" a="1"/>
  <c r="AS21" i="10" s="1"/>
  <c r="AW21" i="10"/>
  <c r="AH37" i="10"/>
  <c r="AV198" i="10"/>
  <c r="AV195" i="10" s="1"/>
  <c r="AW198" i="10"/>
  <c r="AW195" i="10" s="1"/>
  <c r="AS198" i="10" a="1"/>
  <c r="AS198" i="10" s="1"/>
  <c r="AS195" i="10" s="1"/>
  <c r="T90" i="10"/>
  <c r="AN93" i="10" a="1"/>
  <c r="AN93" i="10" s="1"/>
  <c r="AH36" i="10"/>
  <c r="AV192" i="10"/>
  <c r="AV190" i="10" s="1"/>
  <c r="AR192" i="10" a="1"/>
  <c r="AR192" i="10" s="1"/>
  <c r="AR190" i="10" s="1"/>
  <c r="AS192" i="10" a="1"/>
  <c r="AS192" i="10" s="1"/>
  <c r="AS190" i="10" s="1"/>
  <c r="AW192" i="10"/>
  <c r="AW190" i="10" s="1"/>
  <c r="U63" i="16"/>
  <c r="U28" i="5"/>
  <c r="U108" i="11"/>
  <c r="U55" i="11" s="1"/>
  <c r="Z155" i="10"/>
  <c r="Y28" i="10"/>
  <c r="U229" i="10"/>
  <c r="U226" i="10"/>
  <c r="V170" i="10"/>
  <c r="U32" i="10"/>
  <c r="U82" i="16" s="1"/>
  <c r="S96" i="10"/>
  <c r="U105" i="10"/>
  <c r="U84" i="10"/>
  <c r="T46" i="1"/>
  <c r="T17" i="11" s="1"/>
  <c r="T91" i="10"/>
  <c r="AD49" i="5"/>
  <c r="AN96" i="10" l="1"/>
  <c r="T93" i="10"/>
  <c r="U90" i="10" s="1"/>
  <c r="AV37" i="10"/>
  <c r="AR37" i="10" a="1"/>
  <c r="AR37" i="10" s="1"/>
  <c r="AS37" i="10" a="1"/>
  <c r="AS37" i="10" s="1"/>
  <c r="AW37" i="10"/>
  <c r="AP28" i="10" a="1"/>
  <c r="AP28" i="10" s="1"/>
  <c r="AW36" i="10"/>
  <c r="AS36" i="10" a="1"/>
  <c r="AS36" i="10" s="1"/>
  <c r="Z158" i="10"/>
  <c r="Z165" i="5"/>
  <c r="Z168" i="5" s="1"/>
  <c r="S20" i="10"/>
  <c r="V173" i="10"/>
  <c r="V170" i="5"/>
  <c r="V173" i="5" s="1"/>
  <c r="V175" i="5" s="1"/>
  <c r="U109" i="10"/>
  <c r="U53" i="5"/>
  <c r="AE49" i="5"/>
  <c r="AF49" i="5" s="1"/>
  <c r="T96" i="10"/>
  <c r="U87" i="10"/>
  <c r="U47" i="5"/>
  <c r="U50" i="5" s="1"/>
  <c r="U20" i="5" s="1"/>
  <c r="AH157" i="5"/>
  <c r="AH159" i="5" s="1"/>
  <c r="AG157" i="5"/>
  <c r="AG159" i="5" s="1"/>
  <c r="AF157" i="5"/>
  <c r="AF159" i="5" s="1"/>
  <c r="AE157" i="5"/>
  <c r="AE159" i="5" s="1"/>
  <c r="AD157" i="5"/>
  <c r="AD159" i="5" s="1"/>
  <c r="AC157" i="5"/>
  <c r="AC159" i="5" s="1"/>
  <c r="AB157" i="5"/>
  <c r="AB159" i="5" s="1"/>
  <c r="AA157" i="5"/>
  <c r="AA159" i="5" s="1"/>
  <c r="Z157" i="5"/>
  <c r="Z159" i="5" s="1"/>
  <c r="Y157" i="5"/>
  <c r="Y159" i="5" s="1"/>
  <c r="X157" i="5"/>
  <c r="X159" i="5" s="1"/>
  <c r="W157" i="5"/>
  <c r="W159" i="5" s="1"/>
  <c r="V157" i="5"/>
  <c r="V159" i="5" s="1"/>
  <c r="U157" i="5"/>
  <c r="U159" i="5" s="1"/>
  <c r="T157" i="5"/>
  <c r="T159" i="5" s="1"/>
  <c r="S157" i="5"/>
  <c r="S159" i="5" s="1"/>
  <c r="R157" i="5"/>
  <c r="R159" i="5" s="1"/>
  <c r="Q157" i="5"/>
  <c r="Q159" i="5" s="1"/>
  <c r="P157" i="5"/>
  <c r="P159" i="5" s="1"/>
  <c r="O157" i="5"/>
  <c r="O159" i="5" s="1"/>
  <c r="N157" i="5"/>
  <c r="N159" i="5" s="1"/>
  <c r="M157" i="5"/>
  <c r="M159" i="5" s="1"/>
  <c r="L157" i="5"/>
  <c r="L159" i="5" s="1"/>
  <c r="K157" i="5"/>
  <c r="K159" i="5" s="1"/>
  <c r="J157" i="5"/>
  <c r="J159" i="5" s="1"/>
  <c r="I157" i="5"/>
  <c r="I159" i="5" s="1"/>
  <c r="H157" i="5"/>
  <c r="H159" i="5" s="1"/>
  <c r="G157" i="5"/>
  <c r="G159" i="5" s="1"/>
  <c r="F157" i="5"/>
  <c r="F159" i="5" s="1"/>
  <c r="E157" i="5"/>
  <c r="E159" i="5" s="1"/>
  <c r="AH152" i="5"/>
  <c r="AH154" i="5" s="1"/>
  <c r="AG152" i="5"/>
  <c r="AG154" i="5" s="1"/>
  <c r="AF152" i="5"/>
  <c r="AF154" i="5" s="1"/>
  <c r="AE152" i="5"/>
  <c r="AE154" i="5" s="1"/>
  <c r="AD152" i="5"/>
  <c r="AD154" i="5" s="1"/>
  <c r="AC152" i="5"/>
  <c r="AC154" i="5" s="1"/>
  <c r="AB152" i="5"/>
  <c r="AB154" i="5" s="1"/>
  <c r="AA152" i="5"/>
  <c r="AA154" i="5" s="1"/>
  <c r="Z152" i="5"/>
  <c r="Z154" i="5" s="1"/>
  <c r="Y152" i="5"/>
  <c r="Y154" i="5" s="1"/>
  <c r="X152" i="5"/>
  <c r="X154" i="5" s="1"/>
  <c r="W152" i="5"/>
  <c r="W154" i="5" s="1"/>
  <c r="V152" i="5"/>
  <c r="V154" i="5" s="1"/>
  <c r="U152" i="5"/>
  <c r="U154" i="5" s="1"/>
  <c r="T152" i="5"/>
  <c r="T154" i="5" s="1"/>
  <c r="S152" i="5"/>
  <c r="S154" i="5" s="1"/>
  <c r="R152" i="5"/>
  <c r="R154" i="5" s="1"/>
  <c r="Q152" i="5"/>
  <c r="Q154" i="5" s="1"/>
  <c r="P152" i="5"/>
  <c r="P154" i="5" s="1"/>
  <c r="O152" i="5"/>
  <c r="O154" i="5" s="1"/>
  <c r="N152" i="5"/>
  <c r="N154" i="5" s="1"/>
  <c r="M152" i="5"/>
  <c r="M154" i="5" s="1"/>
  <c r="L152" i="5"/>
  <c r="L154" i="5" s="1"/>
  <c r="K152" i="5"/>
  <c r="K154" i="5" s="1"/>
  <c r="J152" i="5"/>
  <c r="J154" i="5" s="1"/>
  <c r="I152" i="5"/>
  <c r="I154" i="5" s="1"/>
  <c r="H152" i="5"/>
  <c r="H154" i="5" s="1"/>
  <c r="G152" i="5"/>
  <c r="G154" i="5" s="1"/>
  <c r="F152" i="5"/>
  <c r="F154" i="5" s="1"/>
  <c r="E152" i="5"/>
  <c r="E154" i="5" s="1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P133" i="4" s="1"/>
  <c r="O132" i="4"/>
  <c r="O133" i="4" s="1"/>
  <c r="N132" i="4"/>
  <c r="N133" i="4" s="1"/>
  <c r="M132" i="4"/>
  <c r="M133" i="4" s="1"/>
  <c r="L132" i="4"/>
  <c r="L133" i="4" s="1"/>
  <c r="K132" i="4"/>
  <c r="K133" i="4" s="1"/>
  <c r="J132" i="4"/>
  <c r="J133" i="4" s="1"/>
  <c r="I132" i="4"/>
  <c r="I133" i="4" s="1"/>
  <c r="H132" i="4"/>
  <c r="H133" i="4" s="1"/>
  <c r="G132" i="4"/>
  <c r="G133" i="4" s="1"/>
  <c r="F132" i="4"/>
  <c r="F133" i="4" s="1"/>
  <c r="R144" i="5"/>
  <c r="S144" i="5"/>
  <c r="T144" i="5"/>
  <c r="U144" i="5"/>
  <c r="AG144" i="5" s="1"/>
  <c r="V144" i="5"/>
  <c r="AH144" i="5" s="1"/>
  <c r="W144" i="5"/>
  <c r="X144" i="5"/>
  <c r="Y144" i="5"/>
  <c r="Z144" i="5"/>
  <c r="AA144" i="5"/>
  <c r="AB144" i="5"/>
  <c r="Q144" i="5"/>
  <c r="AC144" i="5" s="1"/>
  <c r="AP154" i="5" l="1" a="1"/>
  <c r="AP154" i="5" s="1"/>
  <c r="AM154" i="5" a="1"/>
  <c r="AM154" i="5" s="1"/>
  <c r="AQ154" i="5" a="1"/>
  <c r="AQ154" i="5" s="1"/>
  <c r="AO154" i="5" a="1"/>
  <c r="AO154" i="5" s="1"/>
  <c r="AJ154" i="5" a="1"/>
  <c r="AJ154" i="5" s="1"/>
  <c r="AU154" i="5" a="1"/>
  <c r="AU154" i="5" s="1"/>
  <c r="AL154" i="5" a="1"/>
  <c r="AL154" i="5" s="1"/>
  <c r="AS154" i="5" a="1"/>
  <c r="AS154" i="5" s="1"/>
  <c r="AK154" i="5" a="1"/>
  <c r="AK154" i="5" s="1"/>
  <c r="AN154" i="5" a="1"/>
  <c r="AN154" i="5" s="1"/>
  <c r="AR154" i="5" a="1"/>
  <c r="AR154" i="5" s="1"/>
  <c r="AV154" i="5" a="1"/>
  <c r="AV154" i="5" s="1"/>
  <c r="AW154" i="5" a="1"/>
  <c r="AW154" i="5" s="1"/>
  <c r="AJ159" i="5" a="1"/>
  <c r="AJ159" i="5" s="1"/>
  <c r="AQ159" i="5" a="1"/>
  <c r="AQ159" i="5" s="1"/>
  <c r="AM159" i="5" a="1"/>
  <c r="AM159" i="5" s="1"/>
  <c r="AU159" i="5" a="1"/>
  <c r="AU159" i="5" s="1"/>
  <c r="AO159" i="5" a="1"/>
  <c r="AO159" i="5" s="1"/>
  <c r="AR159" i="5" a="1"/>
  <c r="AR159" i="5" s="1"/>
  <c r="AS159" i="5" a="1"/>
  <c r="AS159" i="5" s="1"/>
  <c r="AL159" i="5" a="1"/>
  <c r="AL159" i="5" s="1"/>
  <c r="AP159" i="5" a="1"/>
  <c r="AP159" i="5" s="1"/>
  <c r="AK159" i="5" a="1"/>
  <c r="AK159" i="5" s="1"/>
  <c r="AN159" i="5" a="1"/>
  <c r="AN159" i="5" s="1"/>
  <c r="AV159" i="5" a="1"/>
  <c r="AV159" i="5" s="1"/>
  <c r="AW159" i="5" a="1"/>
  <c r="AW159" i="5" s="1"/>
  <c r="V28" i="5"/>
  <c r="V63" i="16"/>
  <c r="V108" i="11"/>
  <c r="V55" i="11" s="1"/>
  <c r="AO173" i="10" a="1"/>
  <c r="AO173" i="10" s="1"/>
  <c r="AO170" i="10" s="1"/>
  <c r="AV173" i="10"/>
  <c r="AV170" i="10" s="1"/>
  <c r="AN20" i="10" a="1"/>
  <c r="AN20" i="10" s="1"/>
  <c r="Z28" i="10"/>
  <c r="AA155" i="10"/>
  <c r="V226" i="10"/>
  <c r="V229" i="10"/>
  <c r="T20" i="10"/>
  <c r="W170" i="10"/>
  <c r="V32" i="10"/>
  <c r="Q133" i="4"/>
  <c r="R133" i="4" s="1"/>
  <c r="S133" i="4" s="1"/>
  <c r="T133" i="4" s="1"/>
  <c r="U133" i="4" s="1"/>
  <c r="V133" i="4" s="1"/>
  <c r="W133" i="4" s="1"/>
  <c r="X133" i="4" s="1"/>
  <c r="Y133" i="4" s="1"/>
  <c r="Z133" i="4" s="1"/>
  <c r="AA133" i="4" s="1"/>
  <c r="AB133" i="4" s="1"/>
  <c r="AC133" i="4" s="1"/>
  <c r="AD133" i="4" s="1"/>
  <c r="AE133" i="4" s="1"/>
  <c r="AF133" i="4" s="1"/>
  <c r="AG133" i="4" s="1"/>
  <c r="AH133" i="4" s="1"/>
  <c r="AH134" i="4" s="1"/>
  <c r="AH20" i="4" s="1"/>
  <c r="M20" i="4"/>
  <c r="F20" i="4"/>
  <c r="N20" i="4"/>
  <c r="G20" i="4"/>
  <c r="O20" i="4"/>
  <c r="H20" i="4"/>
  <c r="P20" i="4"/>
  <c r="I20" i="4"/>
  <c r="L20" i="4"/>
  <c r="J20" i="4"/>
  <c r="K20" i="4"/>
  <c r="V105" i="10"/>
  <c r="U46" i="1"/>
  <c r="U17" i="11" s="1"/>
  <c r="U91" i="10"/>
  <c r="U93" i="10" s="1"/>
  <c r="V90" i="10" s="1"/>
  <c r="V84" i="10"/>
  <c r="AG49" i="5"/>
  <c r="AH49" i="5" s="1"/>
  <c r="T67" i="4"/>
  <c r="AF67" i="4" s="1"/>
  <c r="T68" i="4"/>
  <c r="AF68" i="4" s="1"/>
  <c r="T69" i="4"/>
  <c r="AF69" i="4" s="1"/>
  <c r="U68" i="4"/>
  <c r="AG68" i="4" s="1"/>
  <c r="U69" i="4"/>
  <c r="AG69" i="4" s="1"/>
  <c r="U67" i="4"/>
  <c r="AG67" i="4" s="1"/>
  <c r="V68" i="4"/>
  <c r="AH68" i="4" s="1"/>
  <c r="V67" i="4"/>
  <c r="AH67" i="4" s="1"/>
  <c r="V69" i="4"/>
  <c r="AH69" i="4" s="1"/>
  <c r="AB67" i="4"/>
  <c r="AB68" i="4"/>
  <c r="AB69" i="4"/>
  <c r="W69" i="4"/>
  <c r="W67" i="4"/>
  <c r="W68" i="4"/>
  <c r="Q67" i="4"/>
  <c r="AC67" i="4" s="1"/>
  <c r="Q68" i="4"/>
  <c r="AC68" i="4" s="1"/>
  <c r="Q69" i="4"/>
  <c r="AC69" i="4" s="1"/>
  <c r="Y67" i="4"/>
  <c r="Y68" i="4"/>
  <c r="Y69" i="4"/>
  <c r="X69" i="4"/>
  <c r="X68" i="4"/>
  <c r="X67" i="4"/>
  <c r="R69" i="4"/>
  <c r="AD69" i="4" s="1"/>
  <c r="R67" i="4"/>
  <c r="AD67" i="4" s="1"/>
  <c r="R68" i="4"/>
  <c r="AD68" i="4" s="1"/>
  <c r="Z69" i="4"/>
  <c r="Z67" i="4"/>
  <c r="Z68" i="4"/>
  <c r="S67" i="4"/>
  <c r="AE67" i="4" s="1"/>
  <c r="S68" i="4"/>
  <c r="AE68" i="4" s="1"/>
  <c r="S69" i="4"/>
  <c r="AE69" i="4" s="1"/>
  <c r="AA67" i="4"/>
  <c r="AA68" i="4"/>
  <c r="AA69" i="4"/>
  <c r="K161" i="5"/>
  <c r="K162" i="5" s="1"/>
  <c r="K26" i="5" s="1"/>
  <c r="E161" i="5"/>
  <c r="E162" i="5" s="1"/>
  <c r="E26" i="5" s="1"/>
  <c r="J161" i="5"/>
  <c r="J162" i="5" s="1"/>
  <c r="J26" i="5" s="1"/>
  <c r="R161" i="5"/>
  <c r="R162" i="5" s="1"/>
  <c r="R26" i="5" s="1"/>
  <c r="Z161" i="5"/>
  <c r="Z162" i="5" s="1"/>
  <c r="Z26" i="5" s="1"/>
  <c r="AH161" i="5"/>
  <c r="AH162" i="5" s="1"/>
  <c r="AH26" i="5" s="1"/>
  <c r="F161" i="5"/>
  <c r="F162" i="5" s="1"/>
  <c r="F26" i="5" s="1"/>
  <c r="N161" i="5"/>
  <c r="N162" i="5" s="1"/>
  <c r="N26" i="5" s="1"/>
  <c r="V161" i="5"/>
  <c r="V162" i="5" s="1"/>
  <c r="V26" i="5" s="1"/>
  <c r="W161" i="5"/>
  <c r="W162" i="5" s="1"/>
  <c r="W26" i="5" s="1"/>
  <c r="AE161" i="5"/>
  <c r="AE162" i="5" s="1"/>
  <c r="AE26" i="5" s="1"/>
  <c r="T161" i="5"/>
  <c r="T162" i="5" s="1"/>
  <c r="T26" i="5" s="1"/>
  <c r="AB161" i="5"/>
  <c r="AB162" i="5" s="1"/>
  <c r="AB26" i="5" s="1"/>
  <c r="I161" i="5"/>
  <c r="I162" i="5" s="1"/>
  <c r="I26" i="5" s="1"/>
  <c r="AG161" i="5"/>
  <c r="AG162" i="5" s="1"/>
  <c r="AG26" i="5" s="1"/>
  <c r="L161" i="5"/>
  <c r="L162" i="5" s="1"/>
  <c r="L26" i="5" s="1"/>
  <c r="S161" i="5"/>
  <c r="S162" i="5" s="1"/>
  <c r="S26" i="5" s="1"/>
  <c r="M161" i="5"/>
  <c r="M162" i="5" s="1"/>
  <c r="M26" i="5" s="1"/>
  <c r="U161" i="5"/>
  <c r="U162" i="5" s="1"/>
  <c r="U26" i="5" s="1"/>
  <c r="AC161" i="5"/>
  <c r="AC162" i="5" s="1"/>
  <c r="AC26" i="5" s="1"/>
  <c r="AA161" i="5"/>
  <c r="AA162" i="5" s="1"/>
  <c r="AA26" i="5" s="1"/>
  <c r="AD161" i="5"/>
  <c r="AD162" i="5" s="1"/>
  <c r="AD26" i="5" s="1"/>
  <c r="G161" i="5"/>
  <c r="G162" i="5" s="1"/>
  <c r="G26" i="5" s="1"/>
  <c r="O161" i="5"/>
  <c r="O162" i="5" s="1"/>
  <c r="O26" i="5" s="1"/>
  <c r="H161" i="5"/>
  <c r="H162" i="5" s="1"/>
  <c r="H26" i="5" s="1"/>
  <c r="P161" i="5"/>
  <c r="P162" i="5" s="1"/>
  <c r="P26" i="5" s="1"/>
  <c r="X161" i="5"/>
  <c r="X162" i="5" s="1"/>
  <c r="X26" i="5" s="1"/>
  <c r="AF161" i="5"/>
  <c r="AF162" i="5" s="1"/>
  <c r="AF26" i="5" s="1"/>
  <c r="Q161" i="5"/>
  <c r="Q162" i="5" s="1"/>
  <c r="Q26" i="5" s="1"/>
  <c r="Y161" i="5"/>
  <c r="Y162" i="5" s="1"/>
  <c r="Y26" i="5" s="1"/>
  <c r="AS161" i="5" l="1"/>
  <c r="AS162" i="5" s="1"/>
  <c r="AL161" i="5"/>
  <c r="AL162" i="5" s="1"/>
  <c r="AU161" i="5"/>
  <c r="AU162" i="5" s="1"/>
  <c r="AW161" i="5"/>
  <c r="AW162" i="5" s="1"/>
  <c r="AJ161" i="5"/>
  <c r="AJ162" i="5" s="1"/>
  <c r="AN26" i="5" a="1"/>
  <c r="AN26" i="5" s="1"/>
  <c r="AS26" i="5" a="1"/>
  <c r="AS26" i="5" s="1"/>
  <c r="AJ26" i="5" a="1"/>
  <c r="AJ26" i="5" s="1"/>
  <c r="AM26" i="5" a="1"/>
  <c r="AM26" i="5" s="1"/>
  <c r="AK26" i="5" a="1"/>
  <c r="AK26" i="5" s="1"/>
  <c r="AP26" i="5" a="1"/>
  <c r="AP26" i="5" s="1"/>
  <c r="AO26" i="5" a="1"/>
  <c r="AO26" i="5" s="1"/>
  <c r="AR26" i="5" a="1"/>
  <c r="AR26" i="5" s="1"/>
  <c r="AU26" i="5" a="1"/>
  <c r="AU26" i="5" s="1"/>
  <c r="AQ26" i="5" a="1"/>
  <c r="AQ26" i="5" s="1"/>
  <c r="AL26" i="5" a="1"/>
  <c r="AL26" i="5" s="1"/>
  <c r="AV26" i="5" a="1"/>
  <c r="AV26" i="5" s="1"/>
  <c r="AW26" i="5" a="1"/>
  <c r="AW26" i="5" s="1"/>
  <c r="AV161" i="5"/>
  <c r="AV162" i="5" s="1"/>
  <c r="AO161" i="5"/>
  <c r="AO162" i="5" s="1"/>
  <c r="AR161" i="5"/>
  <c r="AR162" i="5" s="1"/>
  <c r="AQ161" i="5"/>
  <c r="AQ162" i="5" s="1"/>
  <c r="AN161" i="5"/>
  <c r="AN162" i="5" s="1"/>
  <c r="AM161" i="5"/>
  <c r="AM162" i="5" s="1"/>
  <c r="AK161" i="5"/>
  <c r="AK162" i="5" s="1"/>
  <c r="AP161" i="5"/>
  <c r="AP162" i="5" s="1"/>
  <c r="AO32" i="10" a="1"/>
  <c r="AO32" i="10" s="1"/>
  <c r="V82" i="16"/>
  <c r="AO229" i="10"/>
  <c r="AO226" i="10"/>
  <c r="AA158" i="10"/>
  <c r="AA165" i="5"/>
  <c r="AA168" i="5" s="1"/>
  <c r="J142" i="10"/>
  <c r="J146" i="10" s="1"/>
  <c r="J102" i="11"/>
  <c r="I142" i="10"/>
  <c r="I146" i="10" s="1"/>
  <c r="I102" i="11"/>
  <c r="Q142" i="10"/>
  <c r="Q102" i="11"/>
  <c r="P142" i="10"/>
  <c r="P102" i="11"/>
  <c r="M142" i="10"/>
  <c r="M146" i="10" s="1"/>
  <c r="M102" i="11"/>
  <c r="E142" i="10"/>
  <c r="E146" i="10" s="1"/>
  <c r="E102" i="11"/>
  <c r="K142" i="10"/>
  <c r="K146" i="10" s="1"/>
  <c r="K102" i="11"/>
  <c r="H142" i="10"/>
  <c r="H146" i="10" s="1"/>
  <c r="H102" i="11"/>
  <c r="O142" i="10"/>
  <c r="O146" i="10" s="1"/>
  <c r="O102" i="11"/>
  <c r="L142" i="10"/>
  <c r="L146" i="10" s="1"/>
  <c r="L102" i="11"/>
  <c r="N142" i="10"/>
  <c r="N146" i="10" s="1"/>
  <c r="N102" i="11"/>
  <c r="G142" i="10"/>
  <c r="G146" i="10" s="1"/>
  <c r="G102" i="11"/>
  <c r="F142" i="10"/>
  <c r="F146" i="10" s="1"/>
  <c r="F102" i="11"/>
  <c r="AH142" i="10"/>
  <c r="AH102" i="11"/>
  <c r="AB142" i="10"/>
  <c r="AB102" i="11"/>
  <c r="T142" i="10"/>
  <c r="T102" i="11"/>
  <c r="AE142" i="10"/>
  <c r="AE102" i="11"/>
  <c r="AA142" i="10"/>
  <c r="AA102" i="11"/>
  <c r="AF142" i="10"/>
  <c r="AF102" i="11"/>
  <c r="U142" i="10"/>
  <c r="U102" i="11"/>
  <c r="W142" i="10"/>
  <c r="W102" i="11"/>
  <c r="S142" i="10"/>
  <c r="S102" i="11"/>
  <c r="V142" i="10"/>
  <c r="V102" i="11"/>
  <c r="Y142" i="10"/>
  <c r="Y102" i="11"/>
  <c r="Z142" i="10"/>
  <c r="Z102" i="11"/>
  <c r="AC142" i="10"/>
  <c r="AC102" i="11"/>
  <c r="X142" i="10"/>
  <c r="X102" i="11"/>
  <c r="AG142" i="10"/>
  <c r="AG102" i="11"/>
  <c r="R142" i="10"/>
  <c r="R102" i="11"/>
  <c r="AD142" i="10"/>
  <c r="AD102" i="11"/>
  <c r="W170" i="5"/>
  <c r="W173" i="5" s="1"/>
  <c r="W175" i="5" s="1"/>
  <c r="W173" i="10"/>
  <c r="R134" i="4"/>
  <c r="R20" i="4" s="1"/>
  <c r="S134" i="4"/>
  <c r="S20" i="4" s="1"/>
  <c r="Y134" i="4"/>
  <c r="Y20" i="4" s="1"/>
  <c r="Y17" i="1" s="1"/>
  <c r="Q134" i="4"/>
  <c r="Q20" i="4" s="1"/>
  <c r="AG134" i="4"/>
  <c r="AG20" i="4" s="1"/>
  <c r="AG17" i="1" s="1"/>
  <c r="X134" i="4"/>
  <c r="X20" i="4" s="1"/>
  <c r="AC134" i="4"/>
  <c r="AC20" i="4" s="1"/>
  <c r="W134" i="4"/>
  <c r="W20" i="4" s="1"/>
  <c r="AB134" i="4"/>
  <c r="AB20" i="4" s="1"/>
  <c r="U134" i="4"/>
  <c r="U20" i="4" s="1"/>
  <c r="AA134" i="4"/>
  <c r="AA20" i="4" s="1"/>
  <c r="AD134" i="4"/>
  <c r="AD20" i="4" s="1"/>
  <c r="AF134" i="4"/>
  <c r="AF20" i="4" s="1"/>
  <c r="AF17" i="1" s="1"/>
  <c r="V134" i="4"/>
  <c r="V20" i="4" s="1"/>
  <c r="Z134" i="4"/>
  <c r="Z20" i="4" s="1"/>
  <c r="AE134" i="4"/>
  <c r="AE20" i="4" s="1"/>
  <c r="AE17" i="1" s="1"/>
  <c r="T134" i="4"/>
  <c r="T20" i="4" s="1"/>
  <c r="AH17" i="1"/>
  <c r="J17" i="1"/>
  <c r="O17" i="1"/>
  <c r="I17" i="1"/>
  <c r="P17" i="1"/>
  <c r="K17" i="1"/>
  <c r="G17" i="1"/>
  <c r="N17" i="1"/>
  <c r="H17" i="1"/>
  <c r="F17" i="1"/>
  <c r="L17" i="1"/>
  <c r="M17" i="1"/>
  <c r="U96" i="10"/>
  <c r="V109" i="10"/>
  <c r="AO109" i="10" s="1" a="1"/>
  <c r="AO109" i="10" s="1"/>
  <c r="AO105" i="10" s="1"/>
  <c r="V53" i="5"/>
  <c r="V87" i="10"/>
  <c r="AO87" i="10" s="1" a="1"/>
  <c r="AO87" i="10" s="1"/>
  <c r="AO84" i="10" s="1"/>
  <c r="V47" i="5"/>
  <c r="V50" i="5" s="1"/>
  <c r="V20" i="5" s="1"/>
  <c r="R66" i="4"/>
  <c r="T66" i="4"/>
  <c r="X66" i="4"/>
  <c r="V66" i="4"/>
  <c r="Q66" i="4"/>
  <c r="Y66" i="4"/>
  <c r="AA66" i="4"/>
  <c r="W66" i="4"/>
  <c r="U66" i="4"/>
  <c r="S66" i="4"/>
  <c r="Z66" i="4"/>
  <c r="AB66" i="4"/>
  <c r="O45" i="1"/>
  <c r="S45" i="1"/>
  <c r="AE45" i="1"/>
  <c r="J45" i="1"/>
  <c r="H45" i="1"/>
  <c r="G45" i="1"/>
  <c r="L45" i="1"/>
  <c r="W45" i="1"/>
  <c r="Z45" i="1"/>
  <c r="AD45" i="1"/>
  <c r="AG45" i="1"/>
  <c r="V45" i="1"/>
  <c r="Q45" i="1"/>
  <c r="I45" i="1"/>
  <c r="N45" i="1"/>
  <c r="AA45" i="1"/>
  <c r="AF45" i="1"/>
  <c r="AC45" i="1"/>
  <c r="F45" i="1"/>
  <c r="R45" i="1"/>
  <c r="Y45" i="1"/>
  <c r="X45" i="1"/>
  <c r="U45" i="1"/>
  <c r="AB45" i="1"/>
  <c r="AH45" i="1"/>
  <c r="P45" i="1"/>
  <c r="M45" i="1"/>
  <c r="T45" i="1"/>
  <c r="K45" i="1"/>
  <c r="E45" i="1"/>
  <c r="P146" i="10" l="1"/>
  <c r="Q146" i="10" s="1"/>
  <c r="R146" i="10" s="1"/>
  <c r="S146" i="10" s="1"/>
  <c r="T146" i="10" s="1"/>
  <c r="U146" i="10" s="1"/>
  <c r="V146" i="10" s="1"/>
  <c r="W146" i="10" s="1"/>
  <c r="X146" i="10" s="1"/>
  <c r="Y146" i="10" s="1"/>
  <c r="Z146" i="10" s="1"/>
  <c r="AA146" i="10" s="1"/>
  <c r="AB146" i="10" s="1"/>
  <c r="AC146" i="10" s="1"/>
  <c r="AD146" i="10" s="1"/>
  <c r="AE146" i="10" s="1"/>
  <c r="AF146" i="10" s="1"/>
  <c r="AG146" i="10" s="1"/>
  <c r="AH146" i="10" s="1"/>
  <c r="AU142" i="10" a="1"/>
  <c r="AU142" i="10" s="1"/>
  <c r="AU146" i="10" s="1"/>
  <c r="AJ142" i="10" a="1"/>
  <c r="AJ142" i="10" s="1"/>
  <c r="AJ146" i="10" s="1"/>
  <c r="AP142" i="10" a="1"/>
  <c r="AP142" i="10" s="1"/>
  <c r="AM142" i="10" a="1"/>
  <c r="AM142" i="10" s="1"/>
  <c r="AM146" i="10" s="1"/>
  <c r="AN142" i="10" a="1"/>
  <c r="AN142" i="10" s="1"/>
  <c r="AK142" i="10" a="1"/>
  <c r="AK142" i="10" s="1"/>
  <c r="AK146" i="10" s="1"/>
  <c r="AL142" i="10" a="1"/>
  <c r="AL142" i="10" s="1"/>
  <c r="AL146" i="10" s="1"/>
  <c r="AQ142" i="10" a="1"/>
  <c r="AQ142" i="10" s="1"/>
  <c r="AR142" i="10" a="1"/>
  <c r="AR142" i="10" s="1"/>
  <c r="AO142" i="10" a="1"/>
  <c r="AO142" i="10" s="1"/>
  <c r="AS142" i="10" a="1"/>
  <c r="AS142" i="10" s="1"/>
  <c r="AV142" i="10" a="1"/>
  <c r="AV142" i="10" s="1"/>
  <c r="AW142" i="10" a="1"/>
  <c r="AW142" i="10" s="1"/>
  <c r="AV82" i="16"/>
  <c r="AO82" i="16" a="1"/>
  <c r="AO82" i="16" s="1"/>
  <c r="W28" i="5"/>
  <c r="W63" i="16"/>
  <c r="W108" i="11"/>
  <c r="W55" i="11" s="1"/>
  <c r="AO102" i="11" a="1"/>
  <c r="AO102" i="11" s="1"/>
  <c r="AR102" i="11" a="1"/>
  <c r="AR102" i="11" s="1"/>
  <c r="AN102" i="11" a="1"/>
  <c r="AN102" i="11" s="1"/>
  <c r="AP102" i="11" a="1"/>
  <c r="AP102" i="11" s="1"/>
  <c r="AL102" i="11" a="1"/>
  <c r="AL102" i="11" s="1"/>
  <c r="AQ102" i="11" a="1"/>
  <c r="AQ102" i="11" s="1"/>
  <c r="AJ102" i="11" a="1"/>
  <c r="AJ102" i="11" s="1"/>
  <c r="AK102" i="11" a="1"/>
  <c r="AK102" i="11" s="1"/>
  <c r="AM102" i="11" a="1"/>
  <c r="AM102" i="11" s="1"/>
  <c r="AS102" i="11" a="1"/>
  <c r="AS102" i="11" s="1"/>
  <c r="AU102" i="11" a="1"/>
  <c r="AU102" i="11" s="1"/>
  <c r="AV102" i="11" a="1"/>
  <c r="AV102" i="11" s="1"/>
  <c r="AW102" i="11" a="1"/>
  <c r="AW102" i="11" s="1"/>
  <c r="AN45" i="1" a="1"/>
  <c r="AN45" i="1" s="1"/>
  <c r="AK45" i="1" a="1"/>
  <c r="AK45" i="1" s="1"/>
  <c r="AU45" i="1" a="1"/>
  <c r="AU45" i="1" s="1"/>
  <c r="AQ45" i="1" a="1"/>
  <c r="AQ45" i="1" s="1"/>
  <c r="AR45" i="1" a="1"/>
  <c r="AR45" i="1" s="1"/>
  <c r="AS45" i="1" a="1"/>
  <c r="AS45" i="1" s="1"/>
  <c r="AJ45" i="1" a="1"/>
  <c r="AJ45" i="1" s="1"/>
  <c r="AL45" i="1" a="1"/>
  <c r="AL45" i="1" s="1"/>
  <c r="AM45" i="1" a="1"/>
  <c r="AM45" i="1" s="1"/>
  <c r="AP45" i="1" a="1"/>
  <c r="AP45" i="1" s="1"/>
  <c r="AO45" i="1" a="1"/>
  <c r="AO45" i="1" s="1"/>
  <c r="AV45" i="1" a="1"/>
  <c r="AV45" i="1" s="1"/>
  <c r="AW45" i="1" a="1"/>
  <c r="AW45" i="1" s="1"/>
  <c r="AB155" i="10"/>
  <c r="AA28" i="10"/>
  <c r="U20" i="10"/>
  <c r="W226" i="10"/>
  <c r="W229" i="10"/>
  <c r="U17" i="1"/>
  <c r="S17" i="1"/>
  <c r="AA17" i="1"/>
  <c r="X170" i="10"/>
  <c r="W32" i="10"/>
  <c r="W82" i="16" s="1"/>
  <c r="Z17" i="1"/>
  <c r="AC17" i="1"/>
  <c r="W17" i="1"/>
  <c r="X17" i="1"/>
  <c r="Q17" i="1"/>
  <c r="R17" i="1"/>
  <c r="AB17" i="1"/>
  <c r="V17" i="1"/>
  <c r="AD17" i="1"/>
  <c r="T17" i="1"/>
  <c r="W105" i="10"/>
  <c r="W84" i="10"/>
  <c r="V46" i="1"/>
  <c r="V17" i="11" s="1"/>
  <c r="V91" i="10"/>
  <c r="V93" i="10" s="1"/>
  <c r="AG66" i="4"/>
  <c r="AF66" i="4"/>
  <c r="AE66" i="4"/>
  <c r="AD66" i="4"/>
  <c r="AH66" i="4"/>
  <c r="AC66" i="4"/>
  <c r="F141" i="10"/>
  <c r="E23" i="11"/>
  <c r="E104" i="11" s="1"/>
  <c r="E105" i="11" s="1"/>
  <c r="E53" i="11" s="1"/>
  <c r="W90" i="10" l="1"/>
  <c r="AO93" i="10" a="1"/>
  <c r="AO93" i="10" s="1"/>
  <c r="AV93" i="10"/>
  <c r="AB158" i="10"/>
  <c r="AQ158" i="10" s="1" a="1"/>
  <c r="AQ158" i="10" s="1"/>
  <c r="AQ155" i="10" s="1"/>
  <c r="AB165" i="5"/>
  <c r="AB168" i="5" s="1"/>
  <c r="X173" i="10"/>
  <c r="X170" i="5"/>
  <c r="X173" i="5" s="1"/>
  <c r="X175" i="5" s="1"/>
  <c r="W109" i="10"/>
  <c r="W53" i="5"/>
  <c r="V96" i="10"/>
  <c r="W87" i="10"/>
  <c r="W47" i="5"/>
  <c r="W50" i="5" s="1"/>
  <c r="W20" i="5" s="1"/>
  <c r="G141" i="10"/>
  <c r="F23" i="11"/>
  <c r="F104" i="11" s="1"/>
  <c r="F105" i="11" s="1"/>
  <c r="F53" i="11" s="1"/>
  <c r="AO96" i="10" l="1"/>
  <c r="X28" i="5"/>
  <c r="X63" i="16"/>
  <c r="X108" i="11"/>
  <c r="X55" i="11" s="1"/>
  <c r="AB28" i="10"/>
  <c r="AC155" i="10"/>
  <c r="V20" i="10"/>
  <c r="AV20" i="10" s="1"/>
  <c r="X226" i="10"/>
  <c r="X229" i="10"/>
  <c r="Y170" i="10"/>
  <c r="X32" i="10"/>
  <c r="X82" i="16" s="1"/>
  <c r="X105" i="10"/>
  <c r="W46" i="1"/>
  <c r="W17" i="11" s="1"/>
  <c r="W91" i="10"/>
  <c r="W93" i="10" s="1"/>
  <c r="X90" i="10" s="1"/>
  <c r="X84" i="10"/>
  <c r="H141" i="10"/>
  <c r="G23" i="11"/>
  <c r="G104" i="11" s="1"/>
  <c r="G105" i="11" s="1"/>
  <c r="G53" i="11" s="1"/>
  <c r="AQ28" i="10" l="1" a="1"/>
  <c r="AQ28" i="10" s="1"/>
  <c r="AO20" i="10" a="1"/>
  <c r="AO20" i="10" s="1"/>
  <c r="AC158" i="10"/>
  <c r="AC165" i="5"/>
  <c r="AC168" i="5" s="1"/>
  <c r="Y173" i="10"/>
  <c r="AP173" i="10" s="1" a="1"/>
  <c r="AP173" i="10" s="1"/>
  <c r="AP170" i="10" s="1"/>
  <c r="Y170" i="5"/>
  <c r="Y173" i="5" s="1"/>
  <c r="Y175" i="5" s="1"/>
  <c r="W96" i="10"/>
  <c r="X109" i="10"/>
  <c r="X53" i="5"/>
  <c r="X87" i="10"/>
  <c r="X47" i="5"/>
  <c r="X50" i="5" s="1"/>
  <c r="X20" i="5" s="1"/>
  <c r="I141" i="10"/>
  <c r="H23" i="11"/>
  <c r="H104" i="11" s="1"/>
  <c r="H105" i="11" s="1"/>
  <c r="H53" i="11" s="1"/>
  <c r="AP226" i="10" l="1"/>
  <c r="AP229" i="10"/>
  <c r="Y63" i="16"/>
  <c r="Y108" i="11"/>
  <c r="Y55" i="11" s="1"/>
  <c r="Y28" i="5"/>
  <c r="AD155" i="10"/>
  <c r="AC28" i="10"/>
  <c r="W20" i="10"/>
  <c r="Y226" i="10"/>
  <c r="Y229" i="10"/>
  <c r="Z170" i="10"/>
  <c r="Y32" i="10"/>
  <c r="Y105" i="10"/>
  <c r="X46" i="1"/>
  <c r="X17" i="11" s="1"/>
  <c r="X91" i="10"/>
  <c r="X93" i="10" s="1"/>
  <c r="Y90" i="10" s="1"/>
  <c r="Y84" i="10"/>
  <c r="J141" i="10"/>
  <c r="I23" i="11"/>
  <c r="I104" i="11" s="1"/>
  <c r="I105" i="11" s="1"/>
  <c r="I53" i="11" s="1"/>
  <c r="AP32" i="10" l="1" a="1"/>
  <c r="AP32" i="10" s="1"/>
  <c r="Y82" i="16"/>
  <c r="AD158" i="10"/>
  <c r="AD165" i="5"/>
  <c r="AD168" i="5" s="1"/>
  <c r="Z173" i="10"/>
  <c r="Z170" i="5"/>
  <c r="Z173" i="5" s="1"/>
  <c r="Z175" i="5" s="1"/>
  <c r="X96" i="10"/>
  <c r="Y109" i="10"/>
  <c r="AP109" i="10" s="1" a="1"/>
  <c r="AP109" i="10" s="1"/>
  <c r="AP105" i="10" s="1"/>
  <c r="Y53" i="5"/>
  <c r="Y87" i="10"/>
  <c r="AP87" i="10" s="1" a="1"/>
  <c r="AP87" i="10" s="1"/>
  <c r="AP84" i="10" s="1"/>
  <c r="Y47" i="5"/>
  <c r="Y50" i="5" s="1"/>
  <c r="Y20" i="5" s="1"/>
  <c r="J23" i="11"/>
  <c r="J104" i="11" s="1"/>
  <c r="J105" i="11" s="1"/>
  <c r="J53" i="11" s="1"/>
  <c r="K141" i="10"/>
  <c r="Z63" i="16" l="1"/>
  <c r="Z108" i="11"/>
  <c r="Z55" i="11" s="1"/>
  <c r="Z28" i="5"/>
  <c r="AP82" i="16" a="1"/>
  <c r="AP82" i="16" s="1"/>
  <c r="AD28" i="10"/>
  <c r="AE155" i="10"/>
  <c r="X20" i="10"/>
  <c r="Z229" i="10"/>
  <c r="Z226" i="10"/>
  <c r="AA170" i="10"/>
  <c r="Z32" i="10"/>
  <c r="Z82" i="16" s="1"/>
  <c r="Z105" i="10"/>
  <c r="Y46" i="1"/>
  <c r="Y17" i="11" s="1"/>
  <c r="Y91" i="10"/>
  <c r="Y93" i="10" s="1"/>
  <c r="Z84" i="10"/>
  <c r="K23" i="11"/>
  <c r="K104" i="11" s="1"/>
  <c r="K105" i="11" s="1"/>
  <c r="K53" i="11" s="1"/>
  <c r="L141" i="10"/>
  <c r="Z90" i="10" l="1"/>
  <c r="AP93" i="10" a="1"/>
  <c r="AP93" i="10" s="1"/>
  <c r="AE158" i="10"/>
  <c r="AE165" i="5"/>
  <c r="AE168" i="5" s="1"/>
  <c r="AA170" i="5"/>
  <c r="AA173" i="5" s="1"/>
  <c r="AA175" i="5" s="1"/>
  <c r="AA173" i="10"/>
  <c r="Y96" i="10"/>
  <c r="Z109" i="10"/>
  <c r="Z53" i="5"/>
  <c r="Z87" i="10"/>
  <c r="Z47" i="5"/>
  <c r="Z50" i="5" s="1"/>
  <c r="Z20" i="5" s="1"/>
  <c r="M141" i="10"/>
  <c r="L23" i="11"/>
  <c r="L104" i="11" s="1"/>
  <c r="L105" i="11" s="1"/>
  <c r="L53" i="11" s="1"/>
  <c r="AP96" i="10" l="1"/>
  <c r="AA108" i="11"/>
  <c r="AA55" i="11" s="1"/>
  <c r="AA28" i="5"/>
  <c r="AA63" i="16"/>
  <c r="AF155" i="10"/>
  <c r="AE28" i="10"/>
  <c r="AA229" i="10"/>
  <c r="AA226" i="10"/>
  <c r="Y20" i="10"/>
  <c r="AB170" i="10"/>
  <c r="AA32" i="10"/>
  <c r="AA82" i="16" s="1"/>
  <c r="AA105" i="10"/>
  <c r="AA84" i="10"/>
  <c r="Z46" i="1"/>
  <c r="Z17" i="11" s="1"/>
  <c r="Z91" i="10"/>
  <c r="Z93" i="10" s="1"/>
  <c r="AA90" i="10" s="1"/>
  <c r="M23" i="11"/>
  <c r="M104" i="11" s="1"/>
  <c r="M105" i="11" s="1"/>
  <c r="M53" i="11" s="1"/>
  <c r="N141" i="10"/>
  <c r="AP20" i="10" l="1" a="1"/>
  <c r="AP20" i="10" s="1"/>
  <c r="AF158" i="10"/>
  <c r="AF165" i="5"/>
  <c r="AF168" i="5" s="1"/>
  <c r="AB173" i="10"/>
  <c r="AQ173" i="10" s="1" a="1"/>
  <c r="AQ173" i="10" s="1"/>
  <c r="AQ170" i="10" s="1"/>
  <c r="AB170" i="5"/>
  <c r="AB173" i="5" s="1"/>
  <c r="AB175" i="5" s="1"/>
  <c r="AA109" i="10"/>
  <c r="AA53" i="5"/>
  <c r="AA87" i="10"/>
  <c r="AA47" i="5"/>
  <c r="AA50" i="5" s="1"/>
  <c r="AA20" i="5" s="1"/>
  <c r="Z96" i="10"/>
  <c r="N23" i="11"/>
  <c r="N104" i="11" s="1"/>
  <c r="N105" i="11" s="1"/>
  <c r="N53" i="11" s="1"/>
  <c r="O141" i="10"/>
  <c r="AB63" i="16" l="1"/>
  <c r="AB28" i="5"/>
  <c r="AB108" i="11"/>
  <c r="AB55" i="11" s="1"/>
  <c r="AQ226" i="10"/>
  <c r="AQ229" i="10"/>
  <c r="AF28" i="10"/>
  <c r="AG155" i="10"/>
  <c r="Z20" i="10"/>
  <c r="AB229" i="10"/>
  <c r="AB226" i="10"/>
  <c r="AC170" i="10"/>
  <c r="AB32" i="10"/>
  <c r="AB105" i="10"/>
  <c r="AA46" i="1"/>
  <c r="AA17" i="11" s="1"/>
  <c r="AA91" i="10"/>
  <c r="AA93" i="10" s="1"/>
  <c r="AB90" i="10" s="1"/>
  <c r="AB84" i="10"/>
  <c r="P141" i="10"/>
  <c r="O23" i="11"/>
  <c r="O104" i="11" s="1"/>
  <c r="O105" i="11" s="1"/>
  <c r="O53" i="11" s="1"/>
  <c r="AQ32" i="10" l="1" a="1"/>
  <c r="AQ32" i="10" s="1"/>
  <c r="AB82" i="16"/>
  <c r="AG158" i="10"/>
  <c r="AG165" i="5"/>
  <c r="AG168" i="5" s="1"/>
  <c r="AC173" i="10"/>
  <c r="AC170" i="5"/>
  <c r="AC173" i="5" s="1"/>
  <c r="AC175" i="5" s="1"/>
  <c r="AA96" i="10"/>
  <c r="AB109" i="10"/>
  <c r="AQ109" i="10" s="1" a="1"/>
  <c r="AQ109" i="10" s="1"/>
  <c r="AQ105" i="10" s="1"/>
  <c r="AB53" i="5"/>
  <c r="AB87" i="10"/>
  <c r="AQ87" i="10" s="1" a="1"/>
  <c r="AQ87" i="10" s="1"/>
  <c r="AQ84" i="10" s="1"/>
  <c r="AB47" i="5"/>
  <c r="AB50" i="5" s="1"/>
  <c r="AB20" i="5" s="1"/>
  <c r="Q141" i="10"/>
  <c r="P23" i="11"/>
  <c r="P104" i="11" s="1"/>
  <c r="P105" i="11" s="1"/>
  <c r="P53" i="11" s="1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P132" i="5" s="1"/>
  <c r="P24" i="5" s="1"/>
  <c r="O130" i="5"/>
  <c r="O132" i="5" s="1"/>
  <c r="O24" i="5" s="1"/>
  <c r="N130" i="5"/>
  <c r="N132" i="5" s="1"/>
  <c r="N24" i="5" s="1"/>
  <c r="M130" i="5"/>
  <c r="M132" i="5" s="1"/>
  <c r="M24" i="5" s="1"/>
  <c r="L130" i="5"/>
  <c r="L132" i="5" s="1"/>
  <c r="L24" i="5" s="1"/>
  <c r="K130" i="5"/>
  <c r="K132" i="5" s="1"/>
  <c r="J130" i="5"/>
  <c r="J132" i="5" s="1"/>
  <c r="I130" i="5"/>
  <c r="I132" i="5" s="1"/>
  <c r="H130" i="5"/>
  <c r="H132" i="5" s="1"/>
  <c r="G130" i="5"/>
  <c r="G132" i="5" s="1"/>
  <c r="F130" i="5"/>
  <c r="F132" i="5" s="1"/>
  <c r="E130" i="5"/>
  <c r="E132" i="5" s="1"/>
  <c r="Q131" i="5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AH105" i="5"/>
  <c r="AG105" i="5"/>
  <c r="AF105" i="5"/>
  <c r="AE105" i="5"/>
  <c r="AR105" i="5" s="1" a="1"/>
  <c r="AR105" i="5" s="1"/>
  <c r="AD105" i="5"/>
  <c r="AC105" i="5"/>
  <c r="AB105" i="5"/>
  <c r="AQ105" i="5" s="1" a="1"/>
  <c r="AQ105" i="5" s="1"/>
  <c r="AA105" i="5"/>
  <c r="Z105" i="5"/>
  <c r="Y105" i="5"/>
  <c r="AP105" i="5" s="1" a="1"/>
  <c r="AP105" i="5" s="1"/>
  <c r="X105" i="5"/>
  <c r="W105" i="5"/>
  <c r="V105" i="5"/>
  <c r="U105" i="5"/>
  <c r="T105" i="5"/>
  <c r="S105" i="5"/>
  <c r="AN105" i="5" s="1" a="1"/>
  <c r="AN105" i="5" s="1"/>
  <c r="R105" i="5"/>
  <c r="Q105" i="5"/>
  <c r="P105" i="5"/>
  <c r="O105" i="5"/>
  <c r="O111" i="5" s="1"/>
  <c r="N105" i="5"/>
  <c r="N111" i="5" s="1"/>
  <c r="M105" i="5"/>
  <c r="L105" i="5"/>
  <c r="L111" i="5" s="1"/>
  <c r="K105" i="5"/>
  <c r="J105" i="5"/>
  <c r="I105" i="5"/>
  <c r="I111" i="5" s="1"/>
  <c r="H105" i="5"/>
  <c r="H111" i="5" s="1"/>
  <c r="G105" i="5"/>
  <c r="F105" i="5"/>
  <c r="F111" i="5" s="1"/>
  <c r="E105" i="5"/>
  <c r="E111" i="5" s="1"/>
  <c r="AH104" i="5"/>
  <c r="AG104" i="5"/>
  <c r="AF104" i="5"/>
  <c r="AE104" i="5"/>
  <c r="AR104" i="5" s="1" a="1"/>
  <c r="AR104" i="5" s="1"/>
  <c r="AD104" i="5"/>
  <c r="AC104" i="5"/>
  <c r="AB104" i="5"/>
  <c r="AQ104" i="5" s="1" a="1"/>
  <c r="AQ104" i="5" s="1"/>
  <c r="AA104" i="5"/>
  <c r="Z104" i="5"/>
  <c r="Y104" i="5"/>
  <c r="AP104" i="5" s="1" a="1"/>
  <c r="AP104" i="5" s="1"/>
  <c r="X104" i="5"/>
  <c r="W104" i="5"/>
  <c r="V104" i="5"/>
  <c r="U104" i="5"/>
  <c r="T104" i="5"/>
  <c r="S104" i="5"/>
  <c r="AN104" i="5" s="1" a="1"/>
  <c r="AN104" i="5" s="1"/>
  <c r="R104" i="5"/>
  <c r="Q104" i="5"/>
  <c r="P104" i="5"/>
  <c r="O104" i="5"/>
  <c r="O110" i="5" s="1"/>
  <c r="N104" i="5"/>
  <c r="N110" i="5" s="1"/>
  <c r="M104" i="5"/>
  <c r="L104" i="5"/>
  <c r="L110" i="5" s="1"/>
  <c r="K104" i="5"/>
  <c r="J104" i="5"/>
  <c r="I104" i="5"/>
  <c r="I110" i="5" s="1"/>
  <c r="H104" i="5"/>
  <c r="H110" i="5" s="1"/>
  <c r="G104" i="5"/>
  <c r="F104" i="5"/>
  <c r="F110" i="5" s="1"/>
  <c r="E104" i="5"/>
  <c r="E110" i="5" s="1"/>
  <c r="AH103" i="5"/>
  <c r="AG103" i="5"/>
  <c r="AF103" i="5"/>
  <c r="AE103" i="5"/>
  <c r="AR103" i="5" s="1" a="1"/>
  <c r="AR103" i="5" s="1"/>
  <c r="AD103" i="5"/>
  <c r="AC103" i="5"/>
  <c r="AB103" i="5"/>
  <c r="AQ103" i="5" s="1" a="1"/>
  <c r="AQ103" i="5" s="1"/>
  <c r="AA103" i="5"/>
  <c r="Z103" i="5"/>
  <c r="Y103" i="5"/>
  <c r="AP103" i="5" s="1" a="1"/>
  <c r="AP103" i="5" s="1"/>
  <c r="X103" i="5"/>
  <c r="W103" i="5"/>
  <c r="V103" i="5"/>
  <c r="U103" i="5"/>
  <c r="T103" i="5"/>
  <c r="S103" i="5"/>
  <c r="AN103" i="5" s="1" a="1"/>
  <c r="AN103" i="5" s="1"/>
  <c r="R103" i="5"/>
  <c r="Q103" i="5"/>
  <c r="P103" i="5"/>
  <c r="AM103" i="5" s="1" a="1"/>
  <c r="AM103" i="5" s="1"/>
  <c r="O103" i="5"/>
  <c r="O109" i="5" s="1"/>
  <c r="N103" i="5"/>
  <c r="N109" i="5" s="1"/>
  <c r="M103" i="5"/>
  <c r="L103" i="5"/>
  <c r="L109" i="5" s="1"/>
  <c r="K103" i="5"/>
  <c r="J103" i="5"/>
  <c r="I103" i="5"/>
  <c r="I109" i="5" s="1"/>
  <c r="H103" i="5"/>
  <c r="H109" i="5" s="1"/>
  <c r="G103" i="5"/>
  <c r="F103" i="5"/>
  <c r="F109" i="5" s="1"/>
  <c r="E103" i="5"/>
  <c r="E109" i="5" s="1"/>
  <c r="Q55" i="5"/>
  <c r="K69" i="5"/>
  <c r="E69" i="5"/>
  <c r="G69" i="5"/>
  <c r="P40" i="5"/>
  <c r="O40" i="5"/>
  <c r="N40" i="5"/>
  <c r="M40" i="5"/>
  <c r="L40" i="5"/>
  <c r="K40" i="5"/>
  <c r="J40" i="5"/>
  <c r="I40" i="5"/>
  <c r="H40" i="5"/>
  <c r="G40" i="5"/>
  <c r="F40" i="5"/>
  <c r="E40" i="5"/>
  <c r="Q39" i="5"/>
  <c r="R39" i="5" s="1"/>
  <c r="S39" i="5" s="1"/>
  <c r="T39" i="5" s="1"/>
  <c r="U39" i="5" s="1"/>
  <c r="V39" i="5" s="1"/>
  <c r="W39" i="5" s="1"/>
  <c r="X39" i="5" s="1"/>
  <c r="Y39" i="5" s="1"/>
  <c r="Z39" i="5" s="1"/>
  <c r="AA39" i="5" s="1"/>
  <c r="AB39" i="5" s="1"/>
  <c r="AC39" i="5" s="1"/>
  <c r="AD39" i="5" s="1"/>
  <c r="AE39" i="5" s="1"/>
  <c r="AF39" i="5" s="1"/>
  <c r="AG39" i="5" s="1"/>
  <c r="AH39" i="5" s="1"/>
  <c r="Q38" i="5"/>
  <c r="R38" i="5" s="1"/>
  <c r="S38" i="5" s="1"/>
  <c r="T38" i="5" s="1"/>
  <c r="U38" i="5" s="1"/>
  <c r="V38" i="5" s="1"/>
  <c r="W38" i="5" s="1"/>
  <c r="X37" i="5"/>
  <c r="Q37" i="5"/>
  <c r="R37" i="5" s="1"/>
  <c r="S37" i="5" s="1"/>
  <c r="T37" i="5" s="1"/>
  <c r="U37" i="5" s="1"/>
  <c r="V37" i="5" s="1"/>
  <c r="X36" i="5"/>
  <c r="Y36" i="5" s="1"/>
  <c r="Q36" i="5"/>
  <c r="E9" i="5"/>
  <c r="E14" i="5" s="1"/>
  <c r="F8" i="5"/>
  <c r="F5" i="5" s="1"/>
  <c r="E7" i="5"/>
  <c r="E6" i="5" s="1"/>
  <c r="E5" i="5"/>
  <c r="E9" i="4"/>
  <c r="F8" i="4"/>
  <c r="G8" i="4" s="1"/>
  <c r="G7" i="4" s="1"/>
  <c r="G6" i="4" s="1"/>
  <c r="AJ6" i="4" s="1"/>
  <c r="E7" i="4"/>
  <c r="E6" i="4" s="1"/>
  <c r="E5" i="4"/>
  <c r="AR106" i="5" l="1"/>
  <c r="AP106" i="5"/>
  <c r="J109" i="5"/>
  <c r="AU103" i="5"/>
  <c r="AK103" i="5" a="1"/>
  <c r="AK103" i="5" s="1"/>
  <c r="AS103" i="5" a="1"/>
  <c r="AS103" i="5" s="1"/>
  <c r="AW103" i="5"/>
  <c r="AO105" i="5" a="1"/>
  <c r="AO105" i="5" s="1"/>
  <c r="AV105" i="5"/>
  <c r="E24" i="5"/>
  <c r="E65" i="16"/>
  <c r="G109" i="5"/>
  <c r="AJ103" i="5" a="1"/>
  <c r="AJ103" i="5" s="1"/>
  <c r="AN106" i="5"/>
  <c r="M110" i="5"/>
  <c r="AL104" i="5" a="1"/>
  <c r="AL104" i="5" s="1"/>
  <c r="G111" i="5"/>
  <c r="AJ105" i="5" a="1"/>
  <c r="AJ105" i="5" s="1"/>
  <c r="F24" i="5"/>
  <c r="F65" i="16"/>
  <c r="AQ106" i="5"/>
  <c r="AO104" i="5" a="1"/>
  <c r="AO104" i="5" s="1"/>
  <c r="AV104" i="5"/>
  <c r="P111" i="5"/>
  <c r="AM105" i="5" a="1"/>
  <c r="AM105" i="5" s="1"/>
  <c r="G24" i="5"/>
  <c r="G65" i="16"/>
  <c r="M111" i="5"/>
  <c r="AL105" i="5" a="1"/>
  <c r="AL105" i="5" s="1"/>
  <c r="M109" i="5"/>
  <c r="N114" i="5" s="1"/>
  <c r="AL103" i="5" a="1"/>
  <c r="AL103" i="5" s="1"/>
  <c r="G110" i="5"/>
  <c r="H115" i="5" s="1"/>
  <c r="AJ104" i="5" a="1"/>
  <c r="AJ104" i="5" s="1"/>
  <c r="H24" i="5"/>
  <c r="H65" i="16"/>
  <c r="AO103" i="5" a="1"/>
  <c r="AO103" i="5" s="1"/>
  <c r="AV103" i="5"/>
  <c r="P110" i="5"/>
  <c r="AM104" i="5" a="1"/>
  <c r="AM104" i="5" s="1"/>
  <c r="J111" i="5"/>
  <c r="J116" i="5" s="1"/>
  <c r="AU105" i="5"/>
  <c r="AK105" i="5" a="1"/>
  <c r="AK105" i="5" s="1"/>
  <c r="AS105" i="5" a="1"/>
  <c r="AS105" i="5" s="1"/>
  <c r="AW105" i="5"/>
  <c r="I24" i="5"/>
  <c r="I65" i="16"/>
  <c r="J24" i="5"/>
  <c r="J65" i="16"/>
  <c r="J110" i="5"/>
  <c r="AU104" i="5"/>
  <c r="AK104" i="5" a="1"/>
  <c r="AK104" i="5" s="1"/>
  <c r="AS104" i="5" a="1"/>
  <c r="AS104" i="5" s="1"/>
  <c r="AW104" i="5"/>
  <c r="K24" i="5"/>
  <c r="K65" i="16"/>
  <c r="G15" i="5"/>
  <c r="G18" i="5" s="1"/>
  <c r="G87" i="11" s="1"/>
  <c r="K15" i="5"/>
  <c r="E15" i="5"/>
  <c r="E18" i="5" s="1"/>
  <c r="E87" i="11" s="1"/>
  <c r="AC28" i="5"/>
  <c r="AC63" i="16"/>
  <c r="AC108" i="11"/>
  <c r="AC55" i="11" s="1"/>
  <c r="AQ82" i="16" a="1"/>
  <c r="AQ82" i="16" s="1"/>
  <c r="E144" i="4"/>
  <c r="E136" i="4"/>
  <c r="AG28" i="10"/>
  <c r="AH155" i="10"/>
  <c r="AA20" i="10"/>
  <c r="AC229" i="10"/>
  <c r="AC226" i="10"/>
  <c r="K18" i="5"/>
  <c r="K87" i="11" s="1"/>
  <c r="J42" i="5"/>
  <c r="J39" i="1" s="1"/>
  <c r="J19" i="5"/>
  <c r="K42" i="5"/>
  <c r="K39" i="1" s="1"/>
  <c r="K19" i="5"/>
  <c r="P42" i="5"/>
  <c r="P19" i="5"/>
  <c r="L42" i="5"/>
  <c r="L19" i="5"/>
  <c r="M42" i="5"/>
  <c r="M19" i="5"/>
  <c r="F42" i="5"/>
  <c r="F39" i="1" s="1"/>
  <c r="F19" i="5"/>
  <c r="N42" i="5"/>
  <c r="N19" i="5"/>
  <c r="H42" i="5"/>
  <c r="H39" i="1" s="1"/>
  <c r="H19" i="5"/>
  <c r="I42" i="5"/>
  <c r="I39" i="1" s="1"/>
  <c r="I19" i="5"/>
  <c r="G42" i="5"/>
  <c r="G39" i="1" s="1"/>
  <c r="G19" i="5"/>
  <c r="O42" i="5"/>
  <c r="O19" i="5"/>
  <c r="E42" i="5"/>
  <c r="E39" i="1" s="1"/>
  <c r="E19" i="5"/>
  <c r="H116" i="5"/>
  <c r="I116" i="5"/>
  <c r="F114" i="5"/>
  <c r="G115" i="5"/>
  <c r="J114" i="5"/>
  <c r="F116" i="5"/>
  <c r="F115" i="5"/>
  <c r="G114" i="5"/>
  <c r="I115" i="5"/>
  <c r="H114" i="5"/>
  <c r="J115" i="5"/>
  <c r="K110" i="5"/>
  <c r="K115" i="5" s="1"/>
  <c r="H59" i="8"/>
  <c r="H96" i="11"/>
  <c r="P59" i="8"/>
  <c r="P96" i="11"/>
  <c r="I114" i="5"/>
  <c r="G116" i="5"/>
  <c r="I59" i="8"/>
  <c r="I96" i="11"/>
  <c r="M106" i="11"/>
  <c r="K59" i="8"/>
  <c r="K96" i="11"/>
  <c r="J59" i="8"/>
  <c r="J96" i="11"/>
  <c r="L59" i="8"/>
  <c r="L96" i="11"/>
  <c r="K109" i="5"/>
  <c r="K114" i="5" s="1"/>
  <c r="L106" i="11"/>
  <c r="E59" i="8"/>
  <c r="E96" i="11"/>
  <c r="M59" i="8"/>
  <c r="M96" i="11"/>
  <c r="K111" i="5"/>
  <c r="K116" i="5" s="1"/>
  <c r="F59" i="8"/>
  <c r="F96" i="11"/>
  <c r="N59" i="8"/>
  <c r="N96" i="11"/>
  <c r="P109" i="5"/>
  <c r="Q109" i="5" s="1"/>
  <c r="G59" i="8"/>
  <c r="G96" i="11"/>
  <c r="O59" i="8"/>
  <c r="O96" i="11"/>
  <c r="O114" i="5"/>
  <c r="AD170" i="10"/>
  <c r="AC32" i="10"/>
  <c r="AC82" i="16" s="1"/>
  <c r="E10" i="4"/>
  <c r="E65" i="4"/>
  <c r="E119" i="4"/>
  <c r="E91" i="4"/>
  <c r="E39" i="4"/>
  <c r="E131" i="4"/>
  <c r="E97" i="4"/>
  <c r="E71" i="4"/>
  <c r="E110" i="4"/>
  <c r="E14" i="4"/>
  <c r="E104" i="4"/>
  <c r="E78" i="4"/>
  <c r="E50" i="4"/>
  <c r="E58" i="4"/>
  <c r="P116" i="5"/>
  <c r="O115" i="5"/>
  <c r="O116" i="5"/>
  <c r="N116" i="5"/>
  <c r="M115" i="5"/>
  <c r="N115" i="5"/>
  <c r="M116" i="5"/>
  <c r="P115" i="5"/>
  <c r="Q110" i="5"/>
  <c r="R110" i="5" s="1"/>
  <c r="S110" i="5" s="1"/>
  <c r="T110" i="5" s="1"/>
  <c r="U110" i="5" s="1"/>
  <c r="V110" i="5" s="1"/>
  <c r="W110" i="5" s="1"/>
  <c r="X110" i="5" s="1"/>
  <c r="X120" i="5" s="1"/>
  <c r="Q111" i="5"/>
  <c r="R111" i="5" s="1"/>
  <c r="R121" i="5" s="1"/>
  <c r="M127" i="5"/>
  <c r="M23" i="5" s="1"/>
  <c r="Q132" i="5"/>
  <c r="O125" i="5"/>
  <c r="O126" i="5" s="1"/>
  <c r="I125" i="5"/>
  <c r="I126" i="5" s="1"/>
  <c r="Q125" i="5"/>
  <c r="Q127" i="5" s="1"/>
  <c r="AC105" i="10"/>
  <c r="AB46" i="1"/>
  <c r="AB17" i="11" s="1"/>
  <c r="AB91" i="10"/>
  <c r="AB93" i="10" s="1"/>
  <c r="AC84" i="10"/>
  <c r="F43" i="1"/>
  <c r="E137" i="5"/>
  <c r="E138" i="5" s="1"/>
  <c r="M137" i="5"/>
  <c r="M138" i="5" s="1"/>
  <c r="U137" i="5"/>
  <c r="AC137" i="5"/>
  <c r="F9" i="4"/>
  <c r="F5" i="4"/>
  <c r="F7" i="4"/>
  <c r="F6" i="4" s="1"/>
  <c r="G5" i="4"/>
  <c r="AJ5" i="4" s="1"/>
  <c r="G9" i="4"/>
  <c r="H8" i="4"/>
  <c r="E10" i="5"/>
  <c r="E177" i="5"/>
  <c r="E46" i="5"/>
  <c r="E76" i="5"/>
  <c r="E164" i="5"/>
  <c r="E71" i="5"/>
  <c r="G137" i="5"/>
  <c r="G138" i="5" s="1"/>
  <c r="O137" i="5"/>
  <c r="O138" i="5" s="1"/>
  <c r="W137" i="5"/>
  <c r="AE137" i="5"/>
  <c r="I137" i="5"/>
  <c r="I138" i="5" s="1"/>
  <c r="Q137" i="5"/>
  <c r="Y137" i="5"/>
  <c r="AG137" i="5"/>
  <c r="AB137" i="5"/>
  <c r="T137" i="5"/>
  <c r="L137" i="5"/>
  <c r="L138" i="5" s="1"/>
  <c r="J137" i="5"/>
  <c r="J138" i="5" s="1"/>
  <c r="R137" i="5"/>
  <c r="Z137" i="5"/>
  <c r="AH137" i="5"/>
  <c r="I43" i="1"/>
  <c r="K137" i="5"/>
  <c r="K138" i="5" s="1"/>
  <c r="S137" i="5"/>
  <c r="E43" i="1"/>
  <c r="H137" i="5"/>
  <c r="H138" i="5" s="1"/>
  <c r="P137" i="5"/>
  <c r="P138" i="5" s="1"/>
  <c r="X137" i="5"/>
  <c r="AF137" i="5"/>
  <c r="AA137" i="5"/>
  <c r="F137" i="5"/>
  <c r="F138" i="5" s="1"/>
  <c r="N137" i="5"/>
  <c r="N138" i="5" s="1"/>
  <c r="V137" i="5"/>
  <c r="AD137" i="5"/>
  <c r="E141" i="5"/>
  <c r="M43" i="1"/>
  <c r="E134" i="5"/>
  <c r="X106" i="5"/>
  <c r="J106" i="5"/>
  <c r="J60" i="8" s="1"/>
  <c r="R106" i="5"/>
  <c r="Z106" i="5"/>
  <c r="AH106" i="5"/>
  <c r="Q66" i="5"/>
  <c r="Q67" i="5" s="1"/>
  <c r="W106" i="5"/>
  <c r="Q56" i="5"/>
  <c r="R55" i="5"/>
  <c r="J43" i="1"/>
  <c r="E52" i="5"/>
  <c r="L106" i="5"/>
  <c r="L60" i="8" s="1"/>
  <c r="T106" i="5"/>
  <c r="AB106" i="5"/>
  <c r="F106" i="5"/>
  <c r="F60" i="8" s="1"/>
  <c r="N106" i="5"/>
  <c r="N60" i="8" s="1"/>
  <c r="V106" i="5"/>
  <c r="AD106" i="5"/>
  <c r="AE106" i="5"/>
  <c r="L43" i="1"/>
  <c r="K43" i="1"/>
  <c r="AF106" i="5"/>
  <c r="G125" i="5"/>
  <c r="G126" i="5" s="1"/>
  <c r="N43" i="1"/>
  <c r="G8" i="5"/>
  <c r="H8" i="5" s="1"/>
  <c r="H106" i="5"/>
  <c r="H60" i="8" s="1"/>
  <c r="G43" i="1"/>
  <c r="O43" i="1"/>
  <c r="F7" i="5"/>
  <c r="F6" i="5" s="1"/>
  <c r="E62" i="5"/>
  <c r="O106" i="5"/>
  <c r="O60" i="8" s="1"/>
  <c r="H43" i="1"/>
  <c r="P43" i="1"/>
  <c r="F9" i="5"/>
  <c r="F14" i="5" s="1"/>
  <c r="F69" i="5"/>
  <c r="P106" i="5"/>
  <c r="R131" i="5"/>
  <c r="R132" i="5" s="1"/>
  <c r="X38" i="5"/>
  <c r="Y38" i="5" s="1"/>
  <c r="Z38" i="5" s="1"/>
  <c r="AA38" i="5" s="1"/>
  <c r="AB38" i="5" s="1"/>
  <c r="AC38" i="5" s="1"/>
  <c r="AD38" i="5" s="1"/>
  <c r="AE38" i="5" s="1"/>
  <c r="AF38" i="5" s="1"/>
  <c r="AG38" i="5" s="1"/>
  <c r="AH38" i="5" s="1"/>
  <c r="W40" i="5"/>
  <c r="R36" i="5"/>
  <c r="Q40" i="5"/>
  <c r="L125" i="5"/>
  <c r="L126" i="5" s="1"/>
  <c r="Z36" i="5"/>
  <c r="L69" i="5"/>
  <c r="E101" i="5"/>
  <c r="E124" i="5"/>
  <c r="E129" i="5"/>
  <c r="E83" i="5"/>
  <c r="E35" i="5"/>
  <c r="Y37" i="5"/>
  <c r="Z37" i="5" s="1"/>
  <c r="AA37" i="5" s="1"/>
  <c r="AB37" i="5" s="1"/>
  <c r="AC37" i="5" s="1"/>
  <c r="AD37" i="5" s="1"/>
  <c r="AE37" i="5" s="1"/>
  <c r="AF37" i="5" s="1"/>
  <c r="AG37" i="5" s="1"/>
  <c r="AH37" i="5" s="1"/>
  <c r="I106" i="5"/>
  <c r="I60" i="8" s="1"/>
  <c r="Q106" i="5"/>
  <c r="Y106" i="5"/>
  <c r="AG106" i="5"/>
  <c r="K122" i="5"/>
  <c r="K22" i="5" s="1"/>
  <c r="K106" i="5"/>
  <c r="K60" i="8" s="1"/>
  <c r="S106" i="5"/>
  <c r="AA106" i="5"/>
  <c r="E106" i="5"/>
  <c r="E60" i="8" s="1"/>
  <c r="M106" i="5"/>
  <c r="M60" i="8" s="1"/>
  <c r="U106" i="5"/>
  <c r="AC106" i="5"/>
  <c r="G122" i="5"/>
  <c r="G22" i="5" s="1"/>
  <c r="H125" i="5"/>
  <c r="H126" i="5" s="1"/>
  <c r="O122" i="5"/>
  <c r="O22" i="5" s="1"/>
  <c r="P125" i="5"/>
  <c r="P126" i="5" s="1"/>
  <c r="G106" i="5"/>
  <c r="G60" i="8" s="1"/>
  <c r="AM106" i="5" l="1"/>
  <c r="AJ106" i="5"/>
  <c r="AV106" i="5"/>
  <c r="AO106" i="5"/>
  <c r="AW106" i="5"/>
  <c r="AS106" i="5"/>
  <c r="AK106" i="5"/>
  <c r="AL106" i="5"/>
  <c r="AU106" i="5"/>
  <c r="F15" i="5"/>
  <c r="F18" i="5" s="1"/>
  <c r="F87" i="11" s="1"/>
  <c r="AU5" i="4"/>
  <c r="L15" i="5"/>
  <c r="AJ10" i="4"/>
  <c r="AC90" i="10"/>
  <c r="AQ93" i="10" a="1"/>
  <c r="AQ93" i="10" s="1"/>
  <c r="O39" i="1"/>
  <c r="O65" i="16"/>
  <c r="N39" i="1"/>
  <c r="N65" i="16"/>
  <c r="P39" i="1"/>
  <c r="P65" i="16"/>
  <c r="M39" i="1"/>
  <c r="M65" i="16"/>
  <c r="L39" i="1"/>
  <c r="L65" i="16"/>
  <c r="G144" i="4"/>
  <c r="G136" i="4"/>
  <c r="F144" i="4"/>
  <c r="F136" i="4"/>
  <c r="AH158" i="10"/>
  <c r="AH165" i="5"/>
  <c r="AH168" i="5" s="1"/>
  <c r="H106" i="11"/>
  <c r="F106" i="11"/>
  <c r="K106" i="11"/>
  <c r="O106" i="11"/>
  <c r="G106" i="11"/>
  <c r="N106" i="11"/>
  <c r="O27" i="5"/>
  <c r="J106" i="11"/>
  <c r="L114" i="5"/>
  <c r="I106" i="11"/>
  <c r="G27" i="5"/>
  <c r="K27" i="5"/>
  <c r="L18" i="5"/>
  <c r="L87" i="11" s="1"/>
  <c r="P106" i="11"/>
  <c r="Q42" i="5"/>
  <c r="Q19" i="5"/>
  <c r="Q96" i="11"/>
  <c r="Q24" i="5"/>
  <c r="E106" i="11"/>
  <c r="Q113" i="10"/>
  <c r="Q21" i="5"/>
  <c r="Q59" i="16" s="1"/>
  <c r="W42" i="5"/>
  <c r="W19" i="5"/>
  <c r="R96" i="11"/>
  <c r="R24" i="5"/>
  <c r="Q98" i="11"/>
  <c r="Q23" i="5"/>
  <c r="L116" i="5"/>
  <c r="R109" i="5"/>
  <c r="Q119" i="5"/>
  <c r="P114" i="5"/>
  <c r="L115" i="5"/>
  <c r="G58" i="8"/>
  <c r="G95" i="11"/>
  <c r="O95" i="11"/>
  <c r="O58" i="8"/>
  <c r="O61" i="8" s="1"/>
  <c r="M150" i="10"/>
  <c r="M98" i="11"/>
  <c r="K95" i="11"/>
  <c r="K58" i="8"/>
  <c r="K61" i="8" s="1"/>
  <c r="AD170" i="5"/>
  <c r="AD173" i="5" s="1"/>
  <c r="AD175" i="5" s="1"/>
  <c r="AD173" i="10"/>
  <c r="F10" i="4"/>
  <c r="F119" i="4"/>
  <c r="F91" i="4"/>
  <c r="F65" i="4"/>
  <c r="F131" i="4"/>
  <c r="F97" i="4"/>
  <c r="F71" i="4"/>
  <c r="F39" i="4"/>
  <c r="F14" i="4"/>
  <c r="F104" i="4"/>
  <c r="F78" i="4"/>
  <c r="F50" i="4"/>
  <c r="F110" i="4"/>
  <c r="F58" i="4"/>
  <c r="G10" i="4"/>
  <c r="G131" i="4"/>
  <c r="G97" i="4"/>
  <c r="G71" i="4"/>
  <c r="G39" i="4"/>
  <c r="G14" i="4"/>
  <c r="G104" i="4"/>
  <c r="G78" i="4"/>
  <c r="G50" i="4"/>
  <c r="G65" i="4"/>
  <c r="G110" i="4"/>
  <c r="G58" i="4"/>
  <c r="G119" i="4"/>
  <c r="G91" i="4"/>
  <c r="G61" i="8"/>
  <c r="P60" i="8"/>
  <c r="V120" i="5"/>
  <c r="R120" i="5"/>
  <c r="Y110" i="5"/>
  <c r="Z110" i="5" s="1"/>
  <c r="AA110" i="5" s="1"/>
  <c r="AB110" i="5" s="1"/>
  <c r="AB120" i="5" s="1"/>
  <c r="Q43" i="1"/>
  <c r="T120" i="5"/>
  <c r="S120" i="5"/>
  <c r="Q120" i="5"/>
  <c r="S111" i="5"/>
  <c r="T111" i="5" s="1"/>
  <c r="U111" i="5" s="1"/>
  <c r="V111" i="5" s="1"/>
  <c r="V121" i="5" s="1"/>
  <c r="U120" i="5"/>
  <c r="W120" i="5"/>
  <c r="Q121" i="5"/>
  <c r="M114" i="5"/>
  <c r="G41" i="1"/>
  <c r="G47" i="1" s="1"/>
  <c r="K41" i="1"/>
  <c r="Q42" i="1"/>
  <c r="Q150" i="10"/>
  <c r="O41" i="1"/>
  <c r="Q40" i="1"/>
  <c r="Q18" i="11" s="1"/>
  <c r="Q58" i="5"/>
  <c r="H122" i="5"/>
  <c r="H22" i="5" s="1"/>
  <c r="H27" i="5" s="1"/>
  <c r="N122" i="5"/>
  <c r="N22" i="5" s="1"/>
  <c r="N27" i="5" s="1"/>
  <c r="P122" i="5"/>
  <c r="P22" i="5" s="1"/>
  <c r="P27" i="5" s="1"/>
  <c r="AC109" i="10"/>
  <c r="AC53" i="5"/>
  <c r="AB96" i="10"/>
  <c r="AC87" i="10"/>
  <c r="AC47" i="5"/>
  <c r="AC50" i="5" s="1"/>
  <c r="AC20" i="5" s="1"/>
  <c r="H5" i="4"/>
  <c r="H9" i="4"/>
  <c r="H7" i="4"/>
  <c r="H6" i="4" s="1"/>
  <c r="I8" i="4"/>
  <c r="F141" i="5"/>
  <c r="F177" i="5"/>
  <c r="F46" i="5"/>
  <c r="F76" i="5"/>
  <c r="F164" i="5"/>
  <c r="F71" i="5"/>
  <c r="F122" i="5"/>
  <c r="F22" i="5" s="1"/>
  <c r="F27" i="5" s="1"/>
  <c r="Q138" i="5"/>
  <c r="F101" i="5"/>
  <c r="F134" i="5"/>
  <c r="G5" i="5"/>
  <c r="R66" i="5"/>
  <c r="R67" i="5" s="1"/>
  <c r="X40" i="5"/>
  <c r="F10" i="5"/>
  <c r="F52" i="5"/>
  <c r="H69" i="5"/>
  <c r="F83" i="5"/>
  <c r="S131" i="5"/>
  <c r="R43" i="1"/>
  <c r="F62" i="5"/>
  <c r="G7" i="5"/>
  <c r="G6" i="5" s="1"/>
  <c r="G9" i="5"/>
  <c r="G14" i="5" s="1"/>
  <c r="F35" i="5"/>
  <c r="F129" i="5"/>
  <c r="F124" i="5"/>
  <c r="S55" i="5"/>
  <c r="R56" i="5"/>
  <c r="I8" i="5"/>
  <c r="H7" i="5"/>
  <c r="H6" i="5" s="1"/>
  <c r="H5" i="5"/>
  <c r="H9" i="5"/>
  <c r="H14" i="5" s="1"/>
  <c r="Y40" i="5"/>
  <c r="N125" i="5"/>
  <c r="N126" i="5" s="1"/>
  <c r="M122" i="5"/>
  <c r="M22" i="5" s="1"/>
  <c r="M27" i="5" s="1"/>
  <c r="F125" i="5"/>
  <c r="F126" i="5" s="1"/>
  <c r="E122" i="5"/>
  <c r="E22" i="5" s="1"/>
  <c r="K125" i="5"/>
  <c r="K126" i="5" s="1"/>
  <c r="J122" i="5"/>
  <c r="J22" i="5" s="1"/>
  <c r="J27" i="5" s="1"/>
  <c r="R125" i="5"/>
  <c r="R127" i="5" s="1"/>
  <c r="M69" i="5"/>
  <c r="M125" i="5"/>
  <c r="L122" i="5"/>
  <c r="L22" i="5" s="1"/>
  <c r="L27" i="5" s="1"/>
  <c r="M42" i="1"/>
  <c r="J125" i="5"/>
  <c r="J126" i="5" s="1"/>
  <c r="I122" i="5"/>
  <c r="I22" i="5" s="1"/>
  <c r="I27" i="5" s="1"/>
  <c r="Z40" i="5"/>
  <c r="AA36" i="5"/>
  <c r="R40" i="5"/>
  <c r="S36" i="5"/>
  <c r="AJ91" i="4" l="1"/>
  <c r="AJ65" i="4"/>
  <c r="AJ50" i="4"/>
  <c r="AJ97" i="4"/>
  <c r="AJ71" i="4"/>
  <c r="AJ58" i="4"/>
  <c r="AJ14" i="4"/>
  <c r="AJ104" i="4"/>
  <c r="AJ78" i="4"/>
  <c r="AJ39" i="4"/>
  <c r="AJ110" i="4"/>
  <c r="AJ84" i="4"/>
  <c r="AJ136" i="4"/>
  <c r="AJ119" i="4"/>
  <c r="AJ131" i="4"/>
  <c r="AJ144" i="4"/>
  <c r="AV5" i="4"/>
  <c r="AU10" i="4"/>
  <c r="M15" i="5"/>
  <c r="H15" i="5"/>
  <c r="H18" i="5" s="1"/>
  <c r="H87" i="11" s="1"/>
  <c r="AQ96" i="10"/>
  <c r="AD63" i="16"/>
  <c r="AD28" i="5"/>
  <c r="AD108" i="11"/>
  <c r="AD55" i="11" s="1"/>
  <c r="AH28" i="10"/>
  <c r="AV158" i="10"/>
  <c r="AV155" i="10" s="1"/>
  <c r="AR158" i="10" a="1"/>
  <c r="AR158" i="10" s="1"/>
  <c r="AR155" i="10" s="1"/>
  <c r="AS158" i="10" a="1"/>
  <c r="AS158" i="10" s="1"/>
  <c r="AS155" i="10" s="1"/>
  <c r="AW158" i="10"/>
  <c r="AW155" i="10" s="1"/>
  <c r="AM168" i="5" a="1"/>
  <c r="AM168" i="5" s="1"/>
  <c r="AO168" i="5" a="1"/>
  <c r="AO168" i="5" s="1"/>
  <c r="AQ168" i="5" a="1"/>
  <c r="AQ168" i="5" s="1"/>
  <c r="AR168" i="5" a="1"/>
  <c r="AR168" i="5" s="1"/>
  <c r="AN168" i="5" a="1"/>
  <c r="AN168" i="5" s="1"/>
  <c r="AP168" i="5" a="1"/>
  <c r="AP168" i="5" s="1"/>
  <c r="AU168" i="5" a="1"/>
  <c r="AU168" i="5" s="1"/>
  <c r="AW168" i="5" a="1"/>
  <c r="AW168" i="5" s="1"/>
  <c r="AS168" i="5" a="1"/>
  <c r="AS168" i="5" s="1"/>
  <c r="AK168" i="5" a="1"/>
  <c r="AK168" i="5" s="1"/>
  <c r="AV168" i="5" a="1"/>
  <c r="AV168" i="5" s="1"/>
  <c r="AJ168" i="5" a="1"/>
  <c r="AJ168" i="5" s="1"/>
  <c r="AL168" i="5" a="1"/>
  <c r="AL168" i="5" s="1"/>
  <c r="Q115" i="10"/>
  <c r="R112" i="10" s="1"/>
  <c r="Q106" i="11"/>
  <c r="W39" i="1"/>
  <c r="H144" i="4"/>
  <c r="H136" i="4"/>
  <c r="AB20" i="10"/>
  <c r="AD226" i="10"/>
  <c r="AD229" i="10"/>
  <c r="E27" i="5"/>
  <c r="M18" i="5"/>
  <c r="M87" i="11" s="1"/>
  <c r="Q39" i="1"/>
  <c r="R42" i="5"/>
  <c r="R19" i="5"/>
  <c r="Y42" i="5"/>
  <c r="Y19" i="5"/>
  <c r="Z42" i="5"/>
  <c r="Z19" i="5"/>
  <c r="X42" i="5"/>
  <c r="X19" i="5"/>
  <c r="W106" i="11"/>
  <c r="R113" i="10"/>
  <c r="R21" i="5"/>
  <c r="R59" i="16" s="1"/>
  <c r="R98" i="11"/>
  <c r="R23" i="5"/>
  <c r="S109" i="5"/>
  <c r="R119" i="5"/>
  <c r="S125" i="5" s="1"/>
  <c r="S127" i="5" s="1"/>
  <c r="S150" i="10" s="1"/>
  <c r="H58" i="8"/>
  <c r="H61" i="8" s="1"/>
  <c r="H95" i="11"/>
  <c r="E58" i="8"/>
  <c r="E61" i="8" s="1"/>
  <c r="E95" i="11"/>
  <c r="I58" i="8"/>
  <c r="I61" i="8" s="1"/>
  <c r="I95" i="11"/>
  <c r="F58" i="8"/>
  <c r="F61" i="8" s="1"/>
  <c r="F95" i="11"/>
  <c r="M95" i="11"/>
  <c r="M58" i="8"/>
  <c r="M61" i="8" s="1"/>
  <c r="N95" i="11"/>
  <c r="N58" i="8"/>
  <c r="N61" i="8" s="1"/>
  <c r="J58" i="8"/>
  <c r="J61" i="8" s="1"/>
  <c r="J95" i="11"/>
  <c r="L95" i="11"/>
  <c r="L58" i="8"/>
  <c r="L61" i="8" s="1"/>
  <c r="P95" i="11"/>
  <c r="P58" i="8"/>
  <c r="P61" i="8" s="1"/>
  <c r="Q61" i="8" s="1"/>
  <c r="R61" i="8" s="1"/>
  <c r="S61" i="8" s="1"/>
  <c r="T61" i="8" s="1"/>
  <c r="U61" i="8" s="1"/>
  <c r="V61" i="8" s="1"/>
  <c r="W61" i="8" s="1"/>
  <c r="X61" i="8" s="1"/>
  <c r="Y61" i="8" s="1"/>
  <c r="Z61" i="8" s="1"/>
  <c r="AA61" i="8" s="1"/>
  <c r="AB61" i="8" s="1"/>
  <c r="AC61" i="8" s="1"/>
  <c r="AD61" i="8" s="1"/>
  <c r="AE61" i="8" s="1"/>
  <c r="AF61" i="8" s="1"/>
  <c r="AG61" i="8" s="1"/>
  <c r="AH61" i="8" s="1"/>
  <c r="AE170" i="10"/>
  <c r="AD32" i="10"/>
  <c r="AD82" i="16" s="1"/>
  <c r="H10" i="4"/>
  <c r="H131" i="4"/>
  <c r="H97" i="4"/>
  <c r="H71" i="4"/>
  <c r="H39" i="4"/>
  <c r="H14" i="4"/>
  <c r="H104" i="4"/>
  <c r="H78" i="4"/>
  <c r="H50" i="4"/>
  <c r="H110" i="4"/>
  <c r="H58" i="4"/>
  <c r="H119" i="4"/>
  <c r="H91" i="4"/>
  <c r="H65" i="4"/>
  <c r="AA120" i="5"/>
  <c r="Z120" i="5"/>
  <c r="AC110" i="5"/>
  <c r="AC120" i="5" s="1"/>
  <c r="Y120" i="5"/>
  <c r="U121" i="5"/>
  <c r="T121" i="5"/>
  <c r="W111" i="5"/>
  <c r="W121" i="5" s="1"/>
  <c r="Q122" i="5"/>
  <c r="Q22" i="5" s="1"/>
  <c r="S121" i="5"/>
  <c r="J41" i="1"/>
  <c r="N41" i="1"/>
  <c r="F41" i="1"/>
  <c r="F47" i="1" s="1"/>
  <c r="H41" i="1"/>
  <c r="L41" i="1"/>
  <c r="E41" i="1"/>
  <c r="E47" i="1" s="1"/>
  <c r="K143" i="10"/>
  <c r="M41" i="1"/>
  <c r="O143" i="10"/>
  <c r="G143" i="10"/>
  <c r="I41" i="1"/>
  <c r="R42" i="1"/>
  <c r="R150" i="10"/>
  <c r="P41" i="1"/>
  <c r="R40" i="1"/>
  <c r="R18" i="11" s="1"/>
  <c r="R58" i="5"/>
  <c r="S132" i="5"/>
  <c r="R138" i="5"/>
  <c r="Q139" i="5"/>
  <c r="AD105" i="10"/>
  <c r="AC46" i="1"/>
  <c r="AC17" i="11" s="1"/>
  <c r="AC91" i="10"/>
  <c r="AC93" i="10" s="1"/>
  <c r="AD90" i="10" s="1"/>
  <c r="AD84" i="10"/>
  <c r="I9" i="4"/>
  <c r="I7" i="4"/>
  <c r="I6" i="4" s="1"/>
  <c r="J8" i="4"/>
  <c r="I5" i="4"/>
  <c r="G177" i="5"/>
  <c r="G164" i="5"/>
  <c r="G71" i="5"/>
  <c r="G46" i="5"/>
  <c r="G76" i="5"/>
  <c r="H177" i="5"/>
  <c r="H46" i="5"/>
  <c r="H76" i="5"/>
  <c r="H164" i="5"/>
  <c r="H71" i="5"/>
  <c r="G134" i="5"/>
  <c r="G141" i="5"/>
  <c r="H134" i="5"/>
  <c r="H141" i="5"/>
  <c r="S66" i="5"/>
  <c r="S67" i="5" s="1"/>
  <c r="J69" i="5"/>
  <c r="I69" i="5"/>
  <c r="S56" i="5"/>
  <c r="T55" i="5"/>
  <c r="G10" i="5"/>
  <c r="G124" i="5"/>
  <c r="G129" i="5"/>
  <c r="G52" i="5"/>
  <c r="G62" i="5"/>
  <c r="G101" i="5"/>
  <c r="G35" i="5"/>
  <c r="G83" i="5"/>
  <c r="T131" i="5"/>
  <c r="T132" i="5" s="1"/>
  <c r="H124" i="5"/>
  <c r="H129" i="5"/>
  <c r="H83" i="5"/>
  <c r="H52" i="5"/>
  <c r="H62" i="5"/>
  <c r="H35" i="5"/>
  <c r="H101" i="5"/>
  <c r="H10" i="5"/>
  <c r="AA40" i="5"/>
  <c r="AB36" i="5"/>
  <c r="I5" i="5"/>
  <c r="I9" i="5"/>
  <c r="I14" i="5" s="1"/>
  <c r="I7" i="5"/>
  <c r="I6" i="5" s="1"/>
  <c r="J8" i="5"/>
  <c r="S40" i="5"/>
  <c r="T36" i="5"/>
  <c r="N69" i="5"/>
  <c r="Q25" i="5" l="1"/>
  <c r="Q65" i="16"/>
  <c r="AV10" i="4"/>
  <c r="AW5" i="4"/>
  <c r="AU119" i="4"/>
  <c r="AU131" i="4"/>
  <c r="AU136" i="4"/>
  <c r="AU91" i="4"/>
  <c r="AU50" i="4"/>
  <c r="AU144" i="4"/>
  <c r="AU97" i="4"/>
  <c r="AU58" i="4"/>
  <c r="AU14" i="4"/>
  <c r="AU104" i="4"/>
  <c r="AU78" i="4"/>
  <c r="AU39" i="4"/>
  <c r="AU65" i="4"/>
  <c r="AU71" i="4"/>
  <c r="AU110" i="4"/>
  <c r="AU84" i="4"/>
  <c r="I15" i="5"/>
  <c r="J15" i="5"/>
  <c r="N15" i="5"/>
  <c r="N18" i="5" s="1"/>
  <c r="N87" i="11" s="1"/>
  <c r="R115" i="10"/>
  <c r="R118" i="10" s="1"/>
  <c r="AV226" i="10"/>
  <c r="AV229" i="10"/>
  <c r="AV28" i="10"/>
  <c r="AR28" i="10" a="1"/>
  <c r="AR28" i="10" s="1"/>
  <c r="AS28" i="10" a="1"/>
  <c r="AS28" i="10" s="1"/>
  <c r="AW28" i="10"/>
  <c r="Q118" i="10"/>
  <c r="Q225" i="10" s="1"/>
  <c r="Z39" i="1"/>
  <c r="Y39" i="1"/>
  <c r="R39" i="1"/>
  <c r="AQ20" i="10" a="1"/>
  <c r="AQ20" i="10" s="1"/>
  <c r="X39" i="1"/>
  <c r="I144" i="4"/>
  <c r="I136" i="4"/>
  <c r="Q27" i="5"/>
  <c r="R106" i="11"/>
  <c r="J18" i="5"/>
  <c r="J87" i="11" s="1"/>
  <c r="S42" i="1"/>
  <c r="Y106" i="11"/>
  <c r="I18" i="5"/>
  <c r="I87" i="11" s="1"/>
  <c r="Z106" i="11"/>
  <c r="AA42" i="5"/>
  <c r="AA19" i="5"/>
  <c r="T96" i="11"/>
  <c r="T24" i="5"/>
  <c r="S96" i="11"/>
  <c r="S24" i="5"/>
  <c r="S42" i="5"/>
  <c r="S19" i="5"/>
  <c r="S113" i="10"/>
  <c r="S21" i="5"/>
  <c r="S59" i="16" s="1"/>
  <c r="X106" i="11"/>
  <c r="S98" i="11"/>
  <c r="S23" i="5"/>
  <c r="R122" i="5"/>
  <c r="R22" i="5" s="1"/>
  <c r="Q44" i="1"/>
  <c r="Q97" i="11"/>
  <c r="AA39" i="1"/>
  <c r="T109" i="5"/>
  <c r="S119" i="5"/>
  <c r="Q95" i="11"/>
  <c r="AE173" i="10"/>
  <c r="AE170" i="5"/>
  <c r="AE173" i="5" s="1"/>
  <c r="AE175" i="5" s="1"/>
  <c r="I10" i="4"/>
  <c r="I14" i="4"/>
  <c r="I104" i="4"/>
  <c r="I78" i="4"/>
  <c r="I50" i="4"/>
  <c r="I110" i="4"/>
  <c r="I58" i="4"/>
  <c r="I131" i="4"/>
  <c r="I39" i="4"/>
  <c r="I119" i="4"/>
  <c r="I91" i="4"/>
  <c r="I65" i="4"/>
  <c r="I97" i="4"/>
  <c r="I71" i="4"/>
  <c r="AD110" i="5"/>
  <c r="AD120" i="5" s="1"/>
  <c r="X111" i="5"/>
  <c r="X121" i="5" s="1"/>
  <c r="Q41" i="1"/>
  <c r="S43" i="1"/>
  <c r="M143" i="10"/>
  <c r="F143" i="10"/>
  <c r="H143" i="10"/>
  <c r="P143" i="10"/>
  <c r="E143" i="10"/>
  <c r="N143" i="10"/>
  <c r="L143" i="10"/>
  <c r="J143" i="10"/>
  <c r="I143" i="10"/>
  <c r="S40" i="1"/>
  <c r="S18" i="11" s="1"/>
  <c r="S58" i="5"/>
  <c r="S138" i="5"/>
  <c r="R139" i="5"/>
  <c r="R25" i="5" s="1"/>
  <c r="AC96" i="10"/>
  <c r="AD109" i="10"/>
  <c r="AD53" i="5"/>
  <c r="AD87" i="10"/>
  <c r="AD47" i="5"/>
  <c r="AD50" i="5" s="1"/>
  <c r="AD20" i="5" s="1"/>
  <c r="J9" i="4"/>
  <c r="J7" i="4"/>
  <c r="J6" i="4" s="1"/>
  <c r="AK6" i="4" s="1"/>
  <c r="K8" i="4"/>
  <c r="J5" i="4"/>
  <c r="I164" i="5"/>
  <c r="I71" i="5"/>
  <c r="I177" i="5"/>
  <c r="I46" i="5"/>
  <c r="I76" i="5"/>
  <c r="T66" i="5"/>
  <c r="T67" i="5" s="1"/>
  <c r="I134" i="5"/>
  <c r="I141" i="5"/>
  <c r="T43" i="1"/>
  <c r="U131" i="5"/>
  <c r="U132" i="5" s="1"/>
  <c r="T56" i="5"/>
  <c r="U55" i="5"/>
  <c r="U36" i="5"/>
  <c r="T40" i="5"/>
  <c r="J5" i="5"/>
  <c r="J9" i="5"/>
  <c r="J14" i="5" s="1"/>
  <c r="J7" i="5"/>
  <c r="J6" i="5" s="1"/>
  <c r="K8" i="5"/>
  <c r="O69" i="5"/>
  <c r="I124" i="5"/>
  <c r="I129" i="5"/>
  <c r="I101" i="5"/>
  <c r="I52" i="5"/>
  <c r="I62" i="5"/>
  <c r="I35" i="5"/>
  <c r="I83" i="5"/>
  <c r="I10" i="5"/>
  <c r="AC36" i="5"/>
  <c r="AB40" i="5"/>
  <c r="R65" i="16" l="1"/>
  <c r="S112" i="10"/>
  <c r="T125" i="5"/>
  <c r="T127" i="5" s="1"/>
  <c r="Q22" i="10"/>
  <c r="Q80" i="16" s="1"/>
  <c r="AV91" i="4"/>
  <c r="AV14" i="4"/>
  <c r="AV97" i="4"/>
  <c r="AV39" i="4"/>
  <c r="AV131" i="4"/>
  <c r="AV58" i="4"/>
  <c r="AV136" i="4"/>
  <c r="AV78" i="4"/>
  <c r="AV144" i="4"/>
  <c r="AV84" i="4"/>
  <c r="AV71" i="4"/>
  <c r="AV119" i="4"/>
  <c r="AV65" i="4"/>
  <c r="AV104" i="4"/>
  <c r="AV50" i="4"/>
  <c r="AV110" i="4"/>
  <c r="AW10" i="4"/>
  <c r="O15" i="5"/>
  <c r="O18" i="5" s="1"/>
  <c r="O87" i="11" s="1"/>
  <c r="AK5" i="4"/>
  <c r="AK10" i="4" s="1"/>
  <c r="AE28" i="5"/>
  <c r="AE63" i="16"/>
  <c r="AE108" i="11"/>
  <c r="AE55" i="11" s="1"/>
  <c r="S39" i="1"/>
  <c r="S65" i="16"/>
  <c r="AA106" i="11"/>
  <c r="J144" i="4"/>
  <c r="J136" i="4"/>
  <c r="AC20" i="10"/>
  <c r="R22" i="10"/>
  <c r="R80" i="16" s="1"/>
  <c r="R225" i="10"/>
  <c r="AE226" i="10"/>
  <c r="AE229" i="10"/>
  <c r="R27" i="5"/>
  <c r="S115" i="10"/>
  <c r="T42" i="5"/>
  <c r="T19" i="5"/>
  <c r="AB42" i="5"/>
  <c r="AB19" i="5"/>
  <c r="T113" i="10"/>
  <c r="T21" i="5"/>
  <c r="T59" i="16" s="1"/>
  <c r="U96" i="11"/>
  <c r="U24" i="5"/>
  <c r="S106" i="11"/>
  <c r="R44" i="1"/>
  <c r="R97" i="11"/>
  <c r="T98" i="11"/>
  <c r="T42" i="1"/>
  <c r="T150" i="10"/>
  <c r="U109" i="5"/>
  <c r="T119" i="5"/>
  <c r="R95" i="11"/>
  <c r="R41" i="1"/>
  <c r="S122" i="5"/>
  <c r="S22" i="5" s="1"/>
  <c r="AF170" i="10"/>
  <c r="AE32" i="10"/>
  <c r="AE82" i="16" s="1"/>
  <c r="J10" i="4"/>
  <c r="J14" i="4"/>
  <c r="J104" i="4"/>
  <c r="J78" i="4"/>
  <c r="J50" i="4"/>
  <c r="J110" i="4"/>
  <c r="J58" i="4"/>
  <c r="J119" i="4"/>
  <c r="J91" i="4"/>
  <c r="J65" i="4"/>
  <c r="J131" i="4"/>
  <c r="J97" i="4"/>
  <c r="J71" i="4"/>
  <c r="J39" i="4"/>
  <c r="AE110" i="5"/>
  <c r="AE120" i="5" s="1"/>
  <c r="Y111" i="5"/>
  <c r="Y121" i="5" s="1"/>
  <c r="T40" i="1"/>
  <c r="T18" i="11" s="1"/>
  <c r="T58" i="5"/>
  <c r="S139" i="5"/>
  <c r="S25" i="5" s="1"/>
  <c r="T138" i="5"/>
  <c r="AE105" i="10"/>
  <c r="AD46" i="1"/>
  <c r="AD17" i="11" s="1"/>
  <c r="AD91" i="10"/>
  <c r="AD93" i="10" s="1"/>
  <c r="AE90" i="10" s="1"/>
  <c r="AE84" i="10"/>
  <c r="U66" i="5"/>
  <c r="K9" i="4"/>
  <c r="K7" i="4"/>
  <c r="K6" i="4" s="1"/>
  <c r="L8" i="4"/>
  <c r="K5" i="4"/>
  <c r="J164" i="5"/>
  <c r="J71" i="5"/>
  <c r="J177" i="5"/>
  <c r="J46" i="5"/>
  <c r="J76" i="5"/>
  <c r="J134" i="5"/>
  <c r="J141" i="5"/>
  <c r="V55" i="5"/>
  <c r="U56" i="5"/>
  <c r="U43" i="1"/>
  <c r="V131" i="5"/>
  <c r="V132" i="5" s="1"/>
  <c r="J129" i="5"/>
  <c r="J101" i="5"/>
  <c r="J83" i="5"/>
  <c r="J62" i="5"/>
  <c r="J124" i="5"/>
  <c r="J35" i="5"/>
  <c r="J10" i="5"/>
  <c r="J52" i="5"/>
  <c r="AD36" i="5"/>
  <c r="AC40" i="5"/>
  <c r="U40" i="5"/>
  <c r="V36" i="5"/>
  <c r="V40" i="5" s="1"/>
  <c r="P69" i="5"/>
  <c r="K7" i="5"/>
  <c r="K6" i="5" s="1"/>
  <c r="K5" i="5"/>
  <c r="K9" i="5"/>
  <c r="K14" i="5" s="1"/>
  <c r="L8" i="5"/>
  <c r="T23" i="5" l="1"/>
  <c r="AK119" i="4"/>
  <c r="AK104" i="4"/>
  <c r="AK78" i="4"/>
  <c r="AK65" i="4"/>
  <c r="AK39" i="4"/>
  <c r="AK131" i="4"/>
  <c r="AK110" i="4"/>
  <c r="AK84" i="4"/>
  <c r="AK71" i="4"/>
  <c r="AK136" i="4"/>
  <c r="AK144" i="4"/>
  <c r="AK50" i="4"/>
  <c r="AK91" i="4"/>
  <c r="AK97" i="4"/>
  <c r="AK14" i="4"/>
  <c r="AK58" i="4"/>
  <c r="AW110" i="4"/>
  <c r="AW58" i="4"/>
  <c r="AW91" i="4"/>
  <c r="AW104" i="4"/>
  <c r="AW14" i="4"/>
  <c r="AW97" i="4"/>
  <c r="AW39" i="4"/>
  <c r="AW136" i="4"/>
  <c r="AW78" i="4"/>
  <c r="AW131" i="4"/>
  <c r="AW144" i="4"/>
  <c r="AW84" i="4"/>
  <c r="AW50" i="4"/>
  <c r="AW119" i="4"/>
  <c r="AW65" i="4"/>
  <c r="AW71" i="4"/>
  <c r="P15" i="5"/>
  <c r="S118" i="10"/>
  <c r="AN115" i="10" a="1"/>
  <c r="AN115" i="10" s="1"/>
  <c r="AR82" i="16" a="1"/>
  <c r="AR82" i="16" s="1"/>
  <c r="T39" i="1"/>
  <c r="AB39" i="1"/>
  <c r="K144" i="4"/>
  <c r="K136" i="4"/>
  <c r="S22" i="10"/>
  <c r="S225" i="10"/>
  <c r="AB106" i="11"/>
  <c r="T106" i="11"/>
  <c r="S27" i="5"/>
  <c r="T112" i="10"/>
  <c r="T115" i="10" s="1"/>
  <c r="AC42" i="5"/>
  <c r="AC19" i="5"/>
  <c r="V42" i="5"/>
  <c r="V19" i="5"/>
  <c r="U42" i="5"/>
  <c r="U19" i="5"/>
  <c r="V96" i="11"/>
  <c r="V24" i="5"/>
  <c r="U113" i="10"/>
  <c r="U21" i="5"/>
  <c r="U59" i="16" s="1"/>
  <c r="U125" i="5"/>
  <c r="U127" i="5" s="1"/>
  <c r="U23" i="5" s="1"/>
  <c r="T122" i="5"/>
  <c r="T22" i="5" s="1"/>
  <c r="S41" i="1"/>
  <c r="S95" i="11"/>
  <c r="S44" i="1"/>
  <c r="S97" i="11"/>
  <c r="V109" i="5"/>
  <c r="U119" i="5"/>
  <c r="Z111" i="5"/>
  <c r="Z121" i="5" s="1"/>
  <c r="Q144" i="10"/>
  <c r="Q26" i="10" s="1"/>
  <c r="AF170" i="5"/>
  <c r="AF173" i="5" s="1"/>
  <c r="AF175" i="5" s="1"/>
  <c r="AF173" i="10"/>
  <c r="K10" i="4"/>
  <c r="K58" i="4"/>
  <c r="K110" i="4"/>
  <c r="K119" i="4"/>
  <c r="K91" i="4"/>
  <c r="K65" i="4"/>
  <c r="K14" i="4"/>
  <c r="K78" i="4"/>
  <c r="K131" i="4"/>
  <c r="K97" i="4"/>
  <c r="K71" i="4"/>
  <c r="K39" i="4"/>
  <c r="K104" i="4"/>
  <c r="K50" i="4"/>
  <c r="V66" i="5"/>
  <c r="V67" i="5" s="1"/>
  <c r="U67" i="5"/>
  <c r="AF110" i="5"/>
  <c r="AF120" i="5" s="1"/>
  <c r="R144" i="10"/>
  <c r="R26" i="10" s="1"/>
  <c r="U40" i="1"/>
  <c r="U18" i="11" s="1"/>
  <c r="U58" i="5"/>
  <c r="U138" i="5"/>
  <c r="T139" i="5"/>
  <c r="T25" i="5" s="1"/>
  <c r="AD96" i="10"/>
  <c r="AE109" i="10"/>
  <c r="AE53" i="5"/>
  <c r="AE87" i="10"/>
  <c r="AE47" i="5"/>
  <c r="AE50" i="5" s="1"/>
  <c r="AE20" i="5" s="1"/>
  <c r="L7" i="4"/>
  <c r="L6" i="4" s="1"/>
  <c r="M8" i="4"/>
  <c r="L5" i="4"/>
  <c r="L9" i="4"/>
  <c r="K71" i="5"/>
  <c r="K164" i="5"/>
  <c r="K177" i="5"/>
  <c r="K46" i="5"/>
  <c r="K76" i="5"/>
  <c r="K134" i="5"/>
  <c r="K141" i="5"/>
  <c r="V43" i="1"/>
  <c r="W131" i="5"/>
  <c r="W132" i="5" s="1"/>
  <c r="W55" i="5"/>
  <c r="V56" i="5"/>
  <c r="L9" i="5"/>
  <c r="L14" i="5" s="1"/>
  <c r="M8" i="5"/>
  <c r="L7" i="5"/>
  <c r="L6" i="5" s="1"/>
  <c r="L5" i="5"/>
  <c r="K83" i="5"/>
  <c r="K124" i="5"/>
  <c r="K129" i="5"/>
  <c r="K35" i="5"/>
  <c r="K10" i="5"/>
  <c r="K101" i="5"/>
  <c r="K52" i="5"/>
  <c r="K62" i="5"/>
  <c r="AE36" i="5"/>
  <c r="AD40" i="5"/>
  <c r="Q69" i="5"/>
  <c r="T65" i="16" l="1"/>
  <c r="P18" i="5"/>
  <c r="P87" i="11" s="1"/>
  <c r="Q15" i="5"/>
  <c r="AN118" i="10"/>
  <c r="AN225" i="10" s="1"/>
  <c r="AF28" i="5"/>
  <c r="AF63" i="16"/>
  <c r="AF108" i="11"/>
  <c r="AF55" i="11" s="1"/>
  <c r="U39" i="1"/>
  <c r="V106" i="11"/>
  <c r="AN22" i="10" a="1"/>
  <c r="AN22" i="10" s="1"/>
  <c r="S80" i="16"/>
  <c r="AC39" i="1"/>
  <c r="L144" i="4"/>
  <c r="L136" i="4"/>
  <c r="AD20" i="10"/>
  <c r="AF229" i="10"/>
  <c r="AF226" i="10"/>
  <c r="T118" i="10"/>
  <c r="U112" i="10"/>
  <c r="U115" i="10" s="1"/>
  <c r="V112" i="10" s="1"/>
  <c r="T27" i="5"/>
  <c r="V39" i="1"/>
  <c r="AC106" i="11"/>
  <c r="U106" i="11"/>
  <c r="V113" i="10"/>
  <c r="V21" i="5"/>
  <c r="V59" i="16" s="1"/>
  <c r="W96" i="11"/>
  <c r="W24" i="5"/>
  <c r="AD42" i="5"/>
  <c r="AD19" i="5"/>
  <c r="V125" i="5"/>
  <c r="V127" i="5" s="1"/>
  <c r="V23" i="5" s="1"/>
  <c r="U122" i="5"/>
  <c r="U22" i="5" s="1"/>
  <c r="T95" i="11"/>
  <c r="T41" i="1"/>
  <c r="U98" i="11"/>
  <c r="U42" i="1"/>
  <c r="U150" i="10"/>
  <c r="V119" i="5"/>
  <c r="W109" i="5"/>
  <c r="T44" i="1"/>
  <c r="T97" i="11"/>
  <c r="AA111" i="5"/>
  <c r="AA121" i="5" s="1"/>
  <c r="AG170" i="10"/>
  <c r="AF32" i="10"/>
  <c r="AF82" i="16" s="1"/>
  <c r="W66" i="5"/>
  <c r="W67" i="5" s="1"/>
  <c r="L10" i="4"/>
  <c r="L110" i="4"/>
  <c r="L58" i="4"/>
  <c r="L119" i="4"/>
  <c r="L91" i="4"/>
  <c r="L65" i="4"/>
  <c r="L131" i="4"/>
  <c r="L97" i="4"/>
  <c r="L71" i="4"/>
  <c r="L39" i="4"/>
  <c r="L14" i="4"/>
  <c r="L104" i="4"/>
  <c r="L78" i="4"/>
  <c r="L50" i="4"/>
  <c r="AG110" i="5"/>
  <c r="AG120" i="5" s="1"/>
  <c r="S144" i="10"/>
  <c r="V40" i="1"/>
  <c r="V18" i="11" s="1"/>
  <c r="V58" i="5"/>
  <c r="V138" i="5"/>
  <c r="U139" i="5"/>
  <c r="U25" i="5" s="1"/>
  <c r="U27" i="5" s="1"/>
  <c r="AF105" i="10"/>
  <c r="AE46" i="1"/>
  <c r="AE17" i="11" s="1"/>
  <c r="AE91" i="10"/>
  <c r="AE93" i="10" s="1"/>
  <c r="AF90" i="10" s="1"/>
  <c r="AF84" i="10"/>
  <c r="N8" i="4"/>
  <c r="M5" i="4"/>
  <c r="AL5" i="4" s="1"/>
  <c r="M9" i="4"/>
  <c r="M7" i="4"/>
  <c r="M6" i="4" s="1"/>
  <c r="AL6" i="4" s="1"/>
  <c r="L164" i="5"/>
  <c r="L177" i="5"/>
  <c r="L46" i="5"/>
  <c r="L76" i="5"/>
  <c r="L71" i="5"/>
  <c r="L134" i="5"/>
  <c r="L141" i="5"/>
  <c r="X55" i="5"/>
  <c r="W56" i="5"/>
  <c r="W43" i="1"/>
  <c r="X131" i="5"/>
  <c r="X132" i="5" s="1"/>
  <c r="R69" i="5"/>
  <c r="M9" i="5"/>
  <c r="M14" i="5" s="1"/>
  <c r="M7" i="5"/>
  <c r="M6" i="5" s="1"/>
  <c r="N8" i="5"/>
  <c r="M5" i="5"/>
  <c r="L101" i="5"/>
  <c r="L124" i="5"/>
  <c r="L129" i="5"/>
  <c r="L52" i="5"/>
  <c r="L62" i="5"/>
  <c r="L35" i="5"/>
  <c r="L83" i="5"/>
  <c r="L10" i="5"/>
  <c r="AF36" i="5"/>
  <c r="AE40" i="5"/>
  <c r="U65" i="16" l="1"/>
  <c r="AL10" i="4"/>
  <c r="AL119" i="4" s="1"/>
  <c r="R15" i="5"/>
  <c r="S26" i="10"/>
  <c r="AN26" i="10" s="1" a="1"/>
  <c r="AN26" i="10" s="1"/>
  <c r="AN144" i="10" a="1"/>
  <c r="AN144" i="10" s="1"/>
  <c r="AN146" i="10" s="1"/>
  <c r="AD39" i="1"/>
  <c r="AN80" i="16" a="1"/>
  <c r="AN80" i="16" s="1"/>
  <c r="M144" i="4"/>
  <c r="M136" i="4"/>
  <c r="T22" i="10"/>
  <c r="T80" i="16" s="1"/>
  <c r="T225" i="10"/>
  <c r="V115" i="10"/>
  <c r="U118" i="10"/>
  <c r="AE42" i="5"/>
  <c r="AE19" i="5"/>
  <c r="W113" i="10"/>
  <c r="W21" i="5"/>
  <c r="W59" i="16" s="1"/>
  <c r="AD106" i="11"/>
  <c r="X96" i="11"/>
  <c r="X24" i="5"/>
  <c r="X109" i="5"/>
  <c r="W119" i="5"/>
  <c r="AE39" i="1"/>
  <c r="AE106" i="11"/>
  <c r="W125" i="5"/>
  <c r="W127" i="5" s="1"/>
  <c r="V122" i="5"/>
  <c r="AB111" i="5"/>
  <c r="AB121" i="5" s="1"/>
  <c r="U95" i="11"/>
  <c r="U41" i="1"/>
  <c r="U44" i="1"/>
  <c r="U97" i="11"/>
  <c r="V98" i="11"/>
  <c r="V42" i="1"/>
  <c r="V150" i="10"/>
  <c r="AG170" i="5"/>
  <c r="AG173" i="5" s="1"/>
  <c r="AG175" i="5" s="1"/>
  <c r="AG173" i="10"/>
  <c r="X66" i="5"/>
  <c r="X67" i="5" s="1"/>
  <c r="M10" i="4"/>
  <c r="M91" i="4"/>
  <c r="M65" i="4"/>
  <c r="M119" i="4"/>
  <c r="M131" i="4"/>
  <c r="M97" i="4"/>
  <c r="M71" i="4"/>
  <c r="M39" i="4"/>
  <c r="M58" i="4"/>
  <c r="M14" i="4"/>
  <c r="M104" i="4"/>
  <c r="M78" i="4"/>
  <c r="M50" i="4"/>
  <c r="M110" i="4"/>
  <c r="AH110" i="5"/>
  <c r="AH120" i="5" s="1"/>
  <c r="T144" i="10"/>
  <c r="T26" i="10" s="1"/>
  <c r="W40" i="1"/>
  <c r="W18" i="11" s="1"/>
  <c r="W58" i="5"/>
  <c r="V139" i="5"/>
  <c r="V25" i="5" s="1"/>
  <c r="W138" i="5"/>
  <c r="AF109" i="10"/>
  <c r="AF53" i="5"/>
  <c r="AF87" i="10"/>
  <c r="AF47" i="5"/>
  <c r="AF50" i="5" s="1"/>
  <c r="AF20" i="5" s="1"/>
  <c r="AE96" i="10"/>
  <c r="O8" i="4"/>
  <c r="N5" i="4"/>
  <c r="N7" i="4"/>
  <c r="N6" i="4" s="1"/>
  <c r="N9" i="4"/>
  <c r="M177" i="5"/>
  <c r="M46" i="5"/>
  <c r="M76" i="5"/>
  <c r="M71" i="5"/>
  <c r="M164" i="5"/>
  <c r="M134" i="5"/>
  <c r="M141" i="5"/>
  <c r="X43" i="1"/>
  <c r="Y131" i="5"/>
  <c r="Y132" i="5" s="1"/>
  <c r="Y55" i="5"/>
  <c r="X56" i="5"/>
  <c r="N7" i="5"/>
  <c r="N6" i="5" s="1"/>
  <c r="N5" i="5"/>
  <c r="O8" i="5"/>
  <c r="N9" i="5"/>
  <c r="N14" i="5" s="1"/>
  <c r="M101" i="5"/>
  <c r="M124" i="5"/>
  <c r="M129" i="5"/>
  <c r="M83" i="5"/>
  <c r="M10" i="5"/>
  <c r="M35" i="5"/>
  <c r="M52" i="5"/>
  <c r="M62" i="5"/>
  <c r="AF40" i="5"/>
  <c r="AG36" i="5"/>
  <c r="S69" i="5"/>
  <c r="W23" i="5" l="1"/>
  <c r="AS120" i="5" a="1"/>
  <c r="AS120" i="5" s="1"/>
  <c r="AS110" i="5" s="1"/>
  <c r="AO120" i="5" a="1"/>
  <c r="AO120" i="5" s="1"/>
  <c r="AO110" i="5" s="1"/>
  <c r="AW120" i="5" a="1"/>
  <c r="AW120" i="5" s="1"/>
  <c r="AW110" i="5" s="1"/>
  <c r="AP120" i="5" a="1"/>
  <c r="AP120" i="5" s="1"/>
  <c r="AP110" i="5" s="1"/>
  <c r="AR120" i="5" a="1"/>
  <c r="AR120" i="5" s="1"/>
  <c r="AR110" i="5" s="1"/>
  <c r="AK120" i="5" a="1"/>
  <c r="AK120" i="5" s="1"/>
  <c r="AK110" i="5" s="1"/>
  <c r="AN120" i="5" a="1"/>
  <c r="AN120" i="5" s="1"/>
  <c r="AN110" i="5" s="1"/>
  <c r="AV120" i="5" a="1"/>
  <c r="AV120" i="5" s="1"/>
  <c r="AV110" i="5" s="1"/>
  <c r="AJ120" i="5" a="1"/>
  <c r="AJ120" i="5" s="1"/>
  <c r="AJ110" i="5" s="1"/>
  <c r="AQ120" i="5" a="1"/>
  <c r="AQ120" i="5" s="1"/>
  <c r="AQ110" i="5" s="1"/>
  <c r="AM120" i="5" a="1"/>
  <c r="AM120" i="5" s="1"/>
  <c r="AM110" i="5" s="1"/>
  <c r="AU120" i="5" a="1"/>
  <c r="AU120" i="5" s="1"/>
  <c r="AU110" i="5" s="1"/>
  <c r="AL120" i="5" a="1"/>
  <c r="AL120" i="5" s="1"/>
  <c r="AL110" i="5" s="1"/>
  <c r="V22" i="5"/>
  <c r="V65" i="16"/>
  <c r="AL58" i="4"/>
  <c r="AL144" i="4"/>
  <c r="AL110" i="4"/>
  <c r="AL39" i="4"/>
  <c r="AL136" i="4"/>
  <c r="AL71" i="4"/>
  <c r="AL91" i="4"/>
  <c r="AL84" i="4"/>
  <c r="AL14" i="4"/>
  <c r="AL131" i="4"/>
  <c r="AL97" i="4"/>
  <c r="AL65" i="4"/>
  <c r="AL104" i="4"/>
  <c r="AL78" i="4"/>
  <c r="AL50" i="4"/>
  <c r="S15" i="5"/>
  <c r="AG63" i="16"/>
  <c r="AG108" i="11"/>
  <c r="AG55" i="11" s="1"/>
  <c r="AG28" i="5"/>
  <c r="W112" i="10"/>
  <c r="W115" i="10" s="1"/>
  <c r="X112" i="10" s="1"/>
  <c r="AO115" i="10" a="1"/>
  <c r="AO115" i="10" s="1"/>
  <c r="N144" i="4"/>
  <c r="N136" i="4"/>
  <c r="AG226" i="10"/>
  <c r="AG229" i="10"/>
  <c r="U22" i="10"/>
  <c r="U80" i="16" s="1"/>
  <c r="U225" i="10"/>
  <c r="AE20" i="10"/>
  <c r="V118" i="10"/>
  <c r="X113" i="10"/>
  <c r="X21" i="5"/>
  <c r="X59" i="16" s="1"/>
  <c r="Y96" i="11"/>
  <c r="Y24" i="5"/>
  <c r="AF42" i="5"/>
  <c r="AF19" i="5"/>
  <c r="W98" i="11"/>
  <c r="W150" i="10"/>
  <c r="W42" i="1"/>
  <c r="V44" i="1"/>
  <c r="V97" i="11"/>
  <c r="V41" i="1"/>
  <c r="V95" i="11"/>
  <c r="X125" i="5"/>
  <c r="X127" i="5" s="1"/>
  <c r="X23" i="5" s="1"/>
  <c r="W122" i="5"/>
  <c r="AC111" i="5"/>
  <c r="AC121" i="5" s="1"/>
  <c r="Y109" i="5"/>
  <c r="X119" i="5"/>
  <c r="AH170" i="10"/>
  <c r="AG32" i="10"/>
  <c r="AG82" i="16" s="1"/>
  <c r="Y66" i="5"/>
  <c r="Y67" i="5" s="1"/>
  <c r="N10" i="4"/>
  <c r="N119" i="4"/>
  <c r="N91" i="4"/>
  <c r="N65" i="4"/>
  <c r="N131" i="4"/>
  <c r="N97" i="4"/>
  <c r="N71" i="4"/>
  <c r="N39" i="4"/>
  <c r="N14" i="4"/>
  <c r="N104" i="4"/>
  <c r="N78" i="4"/>
  <c r="N50" i="4"/>
  <c r="N110" i="4"/>
  <c r="N58" i="4"/>
  <c r="U144" i="10"/>
  <c r="U26" i="10" s="1"/>
  <c r="X40" i="1"/>
  <c r="X18" i="11" s="1"/>
  <c r="X58" i="5"/>
  <c r="W139" i="5"/>
  <c r="W25" i="5" s="1"/>
  <c r="X138" i="5"/>
  <c r="AG105" i="10"/>
  <c r="AF46" i="1"/>
  <c r="AF17" i="11" s="1"/>
  <c r="AF91" i="10"/>
  <c r="AF93" i="10" s="1"/>
  <c r="AG90" i="10" s="1"/>
  <c r="AG84" i="10"/>
  <c r="O5" i="4"/>
  <c r="O9" i="4"/>
  <c r="O7" i="4"/>
  <c r="O6" i="4" s="1"/>
  <c r="P8" i="4"/>
  <c r="N177" i="5"/>
  <c r="N46" i="5"/>
  <c r="N76" i="5"/>
  <c r="N164" i="5"/>
  <c r="N71" i="5"/>
  <c r="N134" i="5"/>
  <c r="N141" i="5"/>
  <c r="Y56" i="5"/>
  <c r="Z55" i="5"/>
  <c r="Y43" i="1"/>
  <c r="Z131" i="5"/>
  <c r="Z132" i="5" s="1"/>
  <c r="N101" i="5"/>
  <c r="N124" i="5"/>
  <c r="N129" i="5"/>
  <c r="N52" i="5"/>
  <c r="N62" i="5"/>
  <c r="N10" i="5"/>
  <c r="N35" i="5"/>
  <c r="N83" i="5"/>
  <c r="P8" i="5"/>
  <c r="O5" i="5"/>
  <c r="O9" i="5"/>
  <c r="O14" i="5" s="1"/>
  <c r="O7" i="5"/>
  <c r="O6" i="5" s="1"/>
  <c r="T69" i="5"/>
  <c r="AG40" i="5"/>
  <c r="AH36" i="5"/>
  <c r="AH40" i="5" s="1"/>
  <c r="W22" i="5" l="1"/>
  <c r="W65" i="16"/>
  <c r="V27" i="5"/>
  <c r="T15" i="5"/>
  <c r="AO118" i="10"/>
  <c r="AO225" i="10" s="1"/>
  <c r="AF39" i="1"/>
  <c r="AR20" i="10" a="1"/>
  <c r="AR20" i="10" s="1"/>
  <c r="O144" i="4"/>
  <c r="O136" i="4"/>
  <c r="V22" i="10"/>
  <c r="AV22" i="10" s="1"/>
  <c r="V225" i="10"/>
  <c r="W118" i="10"/>
  <c r="X115" i="10"/>
  <c r="Y112" i="10" s="1"/>
  <c r="W27" i="5"/>
  <c r="AH42" i="5"/>
  <c r="AH19" i="5"/>
  <c r="AG42" i="5"/>
  <c r="AG19" i="5"/>
  <c r="AF106" i="11"/>
  <c r="Y113" i="10"/>
  <c r="Y21" i="5"/>
  <c r="Y59" i="16" s="1"/>
  <c r="AD111" i="5"/>
  <c r="AD121" i="5" s="1"/>
  <c r="Z96" i="11"/>
  <c r="Z24" i="5"/>
  <c r="W44" i="1"/>
  <c r="W97" i="11"/>
  <c r="W95" i="11"/>
  <c r="W41" i="1"/>
  <c r="X98" i="11"/>
  <c r="X150" i="10"/>
  <c r="X42" i="1"/>
  <c r="Y125" i="5"/>
  <c r="Y127" i="5" s="1"/>
  <c r="Y23" i="5" s="1"/>
  <c r="X122" i="5"/>
  <c r="Z109" i="5"/>
  <c r="Y119" i="5"/>
  <c r="AH170" i="5"/>
  <c r="AH173" i="5" s="1"/>
  <c r="AH173" i="10"/>
  <c r="Z66" i="5"/>
  <c r="Z67" i="5" s="1"/>
  <c r="O10" i="4"/>
  <c r="O71" i="4"/>
  <c r="O39" i="4"/>
  <c r="O131" i="4"/>
  <c r="O97" i="4"/>
  <c r="O50" i="4"/>
  <c r="O14" i="4"/>
  <c r="O104" i="4"/>
  <c r="O78" i="4"/>
  <c r="O110" i="4"/>
  <c r="O58" i="4"/>
  <c r="O91" i="4"/>
  <c r="O119" i="4"/>
  <c r="O65" i="4"/>
  <c r="V144" i="10"/>
  <c r="Y40" i="1"/>
  <c r="Y18" i="11" s="1"/>
  <c r="Y58" i="5"/>
  <c r="X139" i="5"/>
  <c r="X25" i="5" s="1"/>
  <c r="Y138" i="5"/>
  <c r="Y139" i="5" s="1"/>
  <c r="Y25" i="5" s="1"/>
  <c r="AF96" i="10"/>
  <c r="AG109" i="10"/>
  <c r="AG53" i="5"/>
  <c r="AG87" i="10"/>
  <c r="AG47" i="5"/>
  <c r="AG50" i="5" s="1"/>
  <c r="AG20" i="5" s="1"/>
  <c r="P5" i="4"/>
  <c r="P9" i="4"/>
  <c r="P7" i="4"/>
  <c r="P6" i="4" s="1"/>
  <c r="AM6" i="4" s="1"/>
  <c r="Q8" i="4"/>
  <c r="O177" i="5"/>
  <c r="O46" i="5"/>
  <c r="O76" i="5"/>
  <c r="O164" i="5"/>
  <c r="O71" i="5"/>
  <c r="O134" i="5"/>
  <c r="O141" i="5"/>
  <c r="Z43" i="1"/>
  <c r="AA131" i="5"/>
  <c r="AA132" i="5" s="1"/>
  <c r="AA55" i="5"/>
  <c r="Z56" i="5"/>
  <c r="O124" i="5"/>
  <c r="O129" i="5"/>
  <c r="O52" i="5"/>
  <c r="O62" i="5"/>
  <c r="O35" i="5"/>
  <c r="O101" i="5"/>
  <c r="O83" i="5"/>
  <c r="O10" i="5"/>
  <c r="Q8" i="5"/>
  <c r="P9" i="5"/>
  <c r="P14" i="5" s="1"/>
  <c r="P7" i="5"/>
  <c r="P6" i="5" s="1"/>
  <c r="P5" i="5"/>
  <c r="U69" i="5"/>
  <c r="X22" i="5" l="1"/>
  <c r="X65" i="16"/>
  <c r="AM5" i="4"/>
  <c r="AM10" i="4" s="1"/>
  <c r="U15" i="5"/>
  <c r="AR173" i="5" a="1"/>
  <c r="AR173" i="5" s="1"/>
  <c r="AR175" i="5" s="1"/>
  <c r="AN173" i="5" a="1"/>
  <c r="AN173" i="5" s="1"/>
  <c r="AN175" i="5" s="1"/>
  <c r="AM173" i="5" a="1"/>
  <c r="AM173" i="5" s="1"/>
  <c r="AM175" i="5" s="1"/>
  <c r="AJ173" i="5" a="1"/>
  <c r="AJ173" i="5" s="1"/>
  <c r="AJ175" i="5" s="1"/>
  <c r="AP173" i="5" a="1"/>
  <c r="AP173" i="5" s="1"/>
  <c r="AP175" i="5" s="1"/>
  <c r="AW173" i="5" a="1"/>
  <c r="AW173" i="5" s="1"/>
  <c r="AW175" i="5" s="1"/>
  <c r="AO173" i="5" a="1"/>
  <c r="AO173" i="5" s="1"/>
  <c r="AO175" i="5" s="1"/>
  <c r="AL173" i="5" a="1"/>
  <c r="AL173" i="5" s="1"/>
  <c r="AL175" i="5" s="1"/>
  <c r="AQ173" i="5" a="1"/>
  <c r="AQ173" i="5" s="1"/>
  <c r="AQ175" i="5" s="1"/>
  <c r="AU173" i="5" a="1"/>
  <c r="AU173" i="5" s="1"/>
  <c r="AU175" i="5" s="1"/>
  <c r="AS173" i="5" a="1"/>
  <c r="AS173" i="5" s="1"/>
  <c r="AS175" i="5" s="1"/>
  <c r="AK173" i="5" a="1"/>
  <c r="AK173" i="5" s="1"/>
  <c r="AK175" i="5" s="1"/>
  <c r="AV173" i="5" a="1"/>
  <c r="AV173" i="5" s="1"/>
  <c r="AV175" i="5" s="1"/>
  <c r="AH175" i="5"/>
  <c r="V26" i="10"/>
  <c r="AV26" i="10" s="1"/>
  <c r="AO144" i="10" a="1"/>
  <c r="AO144" i="10" s="1"/>
  <c r="AO146" i="10" s="1"/>
  <c r="AR173" i="10" a="1"/>
  <c r="AR173" i="10" s="1"/>
  <c r="AR170" i="10" s="1"/>
  <c r="AS173" i="10" a="1"/>
  <c r="AS173" i="10" s="1"/>
  <c r="AS170" i="10" s="1"/>
  <c r="AW173" i="10"/>
  <c r="AW170" i="10" s="1"/>
  <c r="AO26" i="10" a="1"/>
  <c r="AO26" i="10" s="1"/>
  <c r="AH39" i="1"/>
  <c r="AO22" i="10" a="1"/>
  <c r="AO22" i="10" s="1"/>
  <c r="V80" i="16"/>
  <c r="AR19" i="5" a="1"/>
  <c r="AR19" i="5" s="1"/>
  <c r="AQ19" i="5" a="1"/>
  <c r="AQ19" i="5" s="1"/>
  <c r="AV19" i="5" a="1"/>
  <c r="AV19" i="5" s="1"/>
  <c r="AP19" i="5" a="1"/>
  <c r="AP19" i="5" s="1"/>
  <c r="AN19" i="5" a="1"/>
  <c r="AN19" i="5" s="1"/>
  <c r="AJ19" i="5" a="1"/>
  <c r="AJ19" i="5" s="1"/>
  <c r="AK19" i="5" a="1"/>
  <c r="AK19" i="5" s="1"/>
  <c r="AU19" i="5" a="1"/>
  <c r="AU19" i="5" s="1"/>
  <c r="AL19" i="5" a="1"/>
  <c r="AL19" i="5" s="1"/>
  <c r="AM19" i="5" a="1"/>
  <c r="AM19" i="5" s="1"/>
  <c r="AO19" i="5" a="1"/>
  <c r="AO19" i="5" s="1"/>
  <c r="AS19" i="5" a="1"/>
  <c r="AS19" i="5" s="1"/>
  <c r="AW19" i="5" a="1"/>
  <c r="AW19" i="5" s="1"/>
  <c r="AG39" i="1"/>
  <c r="P144" i="4"/>
  <c r="P136" i="4"/>
  <c r="AE111" i="5"/>
  <c r="AE121" i="5" s="1"/>
  <c r="AF20" i="10"/>
  <c r="W22" i="10"/>
  <c r="W80" i="16" s="1"/>
  <c r="W225" i="10"/>
  <c r="X118" i="10"/>
  <c r="AH32" i="10"/>
  <c r="AH226" i="10"/>
  <c r="AH229" i="10"/>
  <c r="X27" i="5"/>
  <c r="AH106" i="11"/>
  <c r="AG106" i="11"/>
  <c r="Z113" i="10"/>
  <c r="Z21" i="5"/>
  <c r="Z59" i="16" s="1"/>
  <c r="Y115" i="10"/>
  <c r="AA96" i="11"/>
  <c r="AA24" i="5"/>
  <c r="Z125" i="5"/>
  <c r="Z127" i="5" s="1"/>
  <c r="Z23" i="5" s="1"/>
  <c r="Y122" i="5"/>
  <c r="Y44" i="1"/>
  <c r="Y97" i="11"/>
  <c r="AA109" i="5"/>
  <c r="Z119" i="5"/>
  <c r="X95" i="11"/>
  <c r="X41" i="1"/>
  <c r="Y98" i="11"/>
  <c r="Y42" i="1"/>
  <c r="Y150" i="10"/>
  <c r="X44" i="1"/>
  <c r="X97" i="11"/>
  <c r="AA66" i="5"/>
  <c r="AA67" i="5" s="1"/>
  <c r="P10" i="4"/>
  <c r="P131" i="4"/>
  <c r="P97" i="4"/>
  <c r="P71" i="4"/>
  <c r="P39" i="4"/>
  <c r="P14" i="4"/>
  <c r="P104" i="4"/>
  <c r="P78" i="4"/>
  <c r="P50" i="4"/>
  <c r="P110" i="4"/>
  <c r="P58" i="4"/>
  <c r="P119" i="4"/>
  <c r="P91" i="4"/>
  <c r="P65" i="4"/>
  <c r="W144" i="10"/>
  <c r="W26" i="10" s="1"/>
  <c r="Z40" i="1"/>
  <c r="Z18" i="11" s="1"/>
  <c r="Z58" i="5"/>
  <c r="Z138" i="5"/>
  <c r="AH105" i="10"/>
  <c r="AG46" i="1"/>
  <c r="AG17" i="11" s="1"/>
  <c r="AG91" i="10"/>
  <c r="AG93" i="10" s="1"/>
  <c r="AH90" i="10" s="1"/>
  <c r="AH84" i="10"/>
  <c r="Q8" i="8"/>
  <c r="Q9" i="4"/>
  <c r="Q7" i="4"/>
  <c r="Q6" i="4" s="1"/>
  <c r="Q5" i="4"/>
  <c r="R8" i="4"/>
  <c r="P177" i="5"/>
  <c r="P46" i="5"/>
  <c r="P164" i="5"/>
  <c r="P71" i="5"/>
  <c r="P76" i="5"/>
  <c r="P134" i="5"/>
  <c r="P141" i="5"/>
  <c r="AB55" i="5"/>
  <c r="AA56" i="5"/>
  <c r="AA43" i="1"/>
  <c r="AB131" i="5"/>
  <c r="AB132" i="5" s="1"/>
  <c r="V69" i="5"/>
  <c r="Q5" i="5"/>
  <c r="Q9" i="5"/>
  <c r="Q14" i="5" s="1"/>
  <c r="Q7" i="5"/>
  <c r="Q6" i="5" s="1"/>
  <c r="R8" i="5"/>
  <c r="P124" i="5"/>
  <c r="P129" i="5"/>
  <c r="P101" i="5"/>
  <c r="P83" i="5"/>
  <c r="P52" i="5"/>
  <c r="P35" i="5"/>
  <c r="P10" i="5"/>
  <c r="P62" i="5"/>
  <c r="Y22" i="5" l="1"/>
  <c r="Y27" i="5" s="1"/>
  <c r="Y65" i="16"/>
  <c r="AM136" i="4"/>
  <c r="AM91" i="4"/>
  <c r="AM50" i="4"/>
  <c r="AM144" i="4"/>
  <c r="AM97" i="4"/>
  <c r="AM58" i="4"/>
  <c r="AM14" i="4"/>
  <c r="AM104" i="4"/>
  <c r="AM39" i="4"/>
  <c r="AM110" i="4"/>
  <c r="AM119" i="4"/>
  <c r="AM78" i="4"/>
  <c r="AM65" i="4"/>
  <c r="AM131" i="4"/>
  <c r="AM84" i="4"/>
  <c r="AM71" i="4"/>
  <c r="V15" i="5"/>
  <c r="AW226" i="10"/>
  <c r="AW229" i="10"/>
  <c r="AS229" i="10"/>
  <c r="AS226" i="10"/>
  <c r="AR229" i="10"/>
  <c r="AR226" i="10"/>
  <c r="AH63" i="16"/>
  <c r="AH108" i="11"/>
  <c r="AH55" i="11" s="1"/>
  <c r="AH28" i="5"/>
  <c r="Z112" i="10"/>
  <c r="AP115" i="10" a="1"/>
  <c r="AP115" i="10" s="1"/>
  <c r="AV32" i="10"/>
  <c r="AR32" i="10" a="1"/>
  <c r="AR32" i="10" s="1"/>
  <c r="AW32" i="10"/>
  <c r="AS32" i="10" a="1"/>
  <c r="AS32" i="10" s="1"/>
  <c r="AH82" i="16"/>
  <c r="AV80" i="16"/>
  <c r="AO80" i="16" a="1"/>
  <c r="AO80" i="16" s="1"/>
  <c r="AU39" i="1" a="1"/>
  <c r="AU39" i="1" s="1"/>
  <c r="AQ39" i="1" a="1"/>
  <c r="AQ39" i="1" s="1"/>
  <c r="AM39" i="1" a="1"/>
  <c r="AM39" i="1" s="1"/>
  <c r="AW39" i="1" a="1"/>
  <c r="AW39" i="1" s="1"/>
  <c r="AJ39" i="1" a="1"/>
  <c r="AJ39" i="1" s="1"/>
  <c r="AO39" i="1" a="1"/>
  <c r="AO39" i="1" s="1"/>
  <c r="AK39" i="1" a="1"/>
  <c r="AK39" i="1" s="1"/>
  <c r="AP39" i="1" a="1"/>
  <c r="AP39" i="1" s="1"/>
  <c r="AV39" i="1" a="1"/>
  <c r="AV39" i="1" s="1"/>
  <c r="AS39" i="1" a="1"/>
  <c r="AS39" i="1" s="1"/>
  <c r="AL39" i="1" a="1"/>
  <c r="AL39" i="1" s="1"/>
  <c r="AN39" i="1" a="1"/>
  <c r="AN39" i="1" s="1"/>
  <c r="AR39" i="1" a="1"/>
  <c r="AR39" i="1" s="1"/>
  <c r="AK106" i="11" a="1"/>
  <c r="AK106" i="11" s="1"/>
  <c r="AL106" i="11" a="1"/>
  <c r="AL106" i="11" s="1"/>
  <c r="AQ106" i="11" a="1"/>
  <c r="AQ106" i="11" s="1"/>
  <c r="AM106" i="11" a="1"/>
  <c r="AM106" i="11" s="1"/>
  <c r="AS106" i="11" a="1"/>
  <c r="AS106" i="11" s="1"/>
  <c r="AO106" i="11" a="1"/>
  <c r="AO106" i="11" s="1"/>
  <c r="AW106" i="11" a="1"/>
  <c r="AW106" i="11" s="1"/>
  <c r="AV106" i="11" a="1"/>
  <c r="AV106" i="11" s="1"/>
  <c r="AP106" i="11" a="1"/>
  <c r="AP106" i="11" s="1"/>
  <c r="AJ106" i="11" a="1"/>
  <c r="AJ106" i="11" s="1"/>
  <c r="AU106" i="11" a="1"/>
  <c r="AU106" i="11" s="1"/>
  <c r="AN106" i="11" a="1"/>
  <c r="AN106" i="11" s="1"/>
  <c r="AR106" i="11" a="1"/>
  <c r="AR106" i="11" s="1"/>
  <c r="Q144" i="4"/>
  <c r="Q136" i="4"/>
  <c r="AF111" i="5"/>
  <c r="AF121" i="5" s="1"/>
  <c r="X22" i="10"/>
  <c r="X80" i="16" s="1"/>
  <c r="X225" i="10"/>
  <c r="Z115" i="10"/>
  <c r="Z118" i="10" s="1"/>
  <c r="Y118" i="10"/>
  <c r="AA113" i="10"/>
  <c r="AA21" i="5"/>
  <c r="AA59" i="16" s="1"/>
  <c r="AB96" i="11"/>
  <c r="AB24" i="5"/>
  <c r="AA119" i="5"/>
  <c r="AB109" i="5"/>
  <c r="AA125" i="5"/>
  <c r="AA127" i="5" s="1"/>
  <c r="AA23" i="5" s="1"/>
  <c r="Z122" i="5"/>
  <c r="Y95" i="11"/>
  <c r="Y41" i="1"/>
  <c r="Z98" i="11"/>
  <c r="Z150" i="10"/>
  <c r="Z42" i="1"/>
  <c r="AB66" i="5"/>
  <c r="AB67" i="5" s="1"/>
  <c r="Q10" i="4"/>
  <c r="Q50" i="4"/>
  <c r="Q14" i="4"/>
  <c r="Q104" i="4"/>
  <c r="Q78" i="4"/>
  <c r="Q110" i="4"/>
  <c r="Q58" i="4"/>
  <c r="Q97" i="4"/>
  <c r="Q119" i="4"/>
  <c r="Q91" i="4"/>
  <c r="Q65" i="4"/>
  <c r="Q71" i="4"/>
  <c r="Q131" i="4"/>
  <c r="Q39" i="4"/>
  <c r="X144" i="10"/>
  <c r="X26" i="10" s="1"/>
  <c r="AA40" i="1"/>
  <c r="AA18" i="11" s="1"/>
  <c r="AA58" i="5"/>
  <c r="AA138" i="5"/>
  <c r="Z139" i="5"/>
  <c r="Z25" i="5" s="1"/>
  <c r="AG96" i="10"/>
  <c r="AH109" i="10"/>
  <c r="AH53" i="5"/>
  <c r="AH87" i="10"/>
  <c r="AH47" i="5"/>
  <c r="AH50" i="5" s="1"/>
  <c r="R8" i="8"/>
  <c r="Q9" i="8"/>
  <c r="Q19" i="8" s="1"/>
  <c r="Q5" i="8"/>
  <c r="Q7" i="8"/>
  <c r="Q6" i="8" s="1"/>
  <c r="R9" i="4"/>
  <c r="R7" i="4"/>
  <c r="R6" i="4" s="1"/>
  <c r="S8" i="4"/>
  <c r="R5" i="4"/>
  <c r="Q164" i="5"/>
  <c r="Q71" i="5"/>
  <c r="Q46" i="5"/>
  <c r="Q76" i="5"/>
  <c r="Q177" i="5"/>
  <c r="Q134" i="5"/>
  <c r="Q141" i="5"/>
  <c r="AB43" i="1"/>
  <c r="AC131" i="5"/>
  <c r="AC132" i="5" s="1"/>
  <c r="AB56" i="5"/>
  <c r="AC55" i="5"/>
  <c r="Q124" i="5"/>
  <c r="Q129" i="5"/>
  <c r="Q101" i="5"/>
  <c r="Q52" i="5"/>
  <c r="Q62" i="5"/>
  <c r="Q35" i="5"/>
  <c r="Q83" i="5"/>
  <c r="Q10" i="5"/>
  <c r="R5" i="5"/>
  <c r="R9" i="5"/>
  <c r="R14" i="5" s="1"/>
  <c r="R7" i="5"/>
  <c r="R6" i="5" s="1"/>
  <c r="S8" i="5"/>
  <c r="W69" i="5"/>
  <c r="Z22" i="5" l="1"/>
  <c r="Z65" i="16"/>
  <c r="W15" i="5"/>
  <c r="AP118" i="10"/>
  <c r="AP225" i="10" s="1"/>
  <c r="AK63" i="16" a="1"/>
  <c r="AK63" i="16" s="1"/>
  <c r="AL63" i="16" a="1"/>
  <c r="AL63" i="16" s="1"/>
  <c r="AN63" i="16" a="1"/>
  <c r="AN63" i="16" s="1"/>
  <c r="AP63" i="16" a="1"/>
  <c r="AP63" i="16" s="1"/>
  <c r="AV63" i="16" a="1"/>
  <c r="AV63" i="16" s="1"/>
  <c r="AW63" i="16" a="1"/>
  <c r="AW63" i="16" s="1"/>
  <c r="AJ63" i="16" a="1"/>
  <c r="AJ63" i="16" s="1"/>
  <c r="AR63" i="16" a="1"/>
  <c r="AR63" i="16" s="1"/>
  <c r="AQ63" i="16" a="1"/>
  <c r="AQ63" i="16" s="1"/>
  <c r="AO63" i="16" a="1"/>
  <c r="AO63" i="16" s="1"/>
  <c r="AS63" i="16" a="1"/>
  <c r="AS63" i="16" s="1"/>
  <c r="AU63" i="16" a="1"/>
  <c r="AU63" i="16" s="1"/>
  <c r="AM63" i="16" a="1"/>
  <c r="AM63" i="16" s="1"/>
  <c r="AV109" i="10"/>
  <c r="AV105" i="10" s="1"/>
  <c r="AR109" i="10" a="1"/>
  <c r="AR109" i="10" s="1"/>
  <c r="AR105" i="10" s="1"/>
  <c r="AS109" i="10" a="1"/>
  <c r="AS109" i="10" s="1"/>
  <c r="AS105" i="10" s="1"/>
  <c r="AW109" i="10"/>
  <c r="AW105" i="10" s="1"/>
  <c r="AH20" i="5"/>
  <c r="AO50" i="5" a="1"/>
  <c r="AO50" i="5" s="1"/>
  <c r="AL50" i="5" a="1"/>
  <c r="AL50" i="5" s="1"/>
  <c r="AR50" i="5" a="1"/>
  <c r="AR50" i="5" s="1"/>
  <c r="AN50" i="5" a="1"/>
  <c r="AN50" i="5" s="1"/>
  <c r="AV50" i="5" a="1"/>
  <c r="AV50" i="5" s="1"/>
  <c r="AS50" i="5" a="1"/>
  <c r="AS50" i="5" s="1"/>
  <c r="AJ50" i="5" a="1"/>
  <c r="AJ50" i="5" s="1"/>
  <c r="AU50" i="5" a="1"/>
  <c r="AU50" i="5" s="1"/>
  <c r="AP50" i="5" a="1"/>
  <c r="AP50" i="5" s="1"/>
  <c r="AK50" i="5" a="1"/>
  <c r="AK50" i="5" s="1"/>
  <c r="AW50" i="5" a="1"/>
  <c r="AW50" i="5" s="1"/>
  <c r="AQ50" i="5" a="1"/>
  <c r="AQ50" i="5" s="1"/>
  <c r="AM50" i="5" a="1"/>
  <c r="AM50" i="5" s="1"/>
  <c r="AW82" i="16"/>
  <c r="AS82" i="16" a="1"/>
  <c r="AS82" i="16" s="1"/>
  <c r="AR28" i="5" a="1"/>
  <c r="AR28" i="5" s="1"/>
  <c r="AS28" i="5" a="1"/>
  <c r="AS28" i="5" s="1"/>
  <c r="AV28" i="5" a="1"/>
  <c r="AV28" i="5" s="1"/>
  <c r="AO28" i="5" a="1"/>
  <c r="AO28" i="5" s="1"/>
  <c r="AK28" i="5" a="1"/>
  <c r="AK28" i="5" s="1"/>
  <c r="AL28" i="5" a="1"/>
  <c r="AL28" i="5" s="1"/>
  <c r="AJ28" i="5" a="1"/>
  <c r="AJ28" i="5" s="1"/>
  <c r="AQ28" i="5" a="1"/>
  <c r="AQ28" i="5" s="1"/>
  <c r="AM28" i="5" a="1"/>
  <c r="AM28" i="5" s="1"/>
  <c r="AN28" i="5" a="1"/>
  <c r="AN28" i="5" s="1"/>
  <c r="AU28" i="5" a="1"/>
  <c r="AU28" i="5" s="1"/>
  <c r="AW28" i="5" a="1"/>
  <c r="AW28" i="5" s="1"/>
  <c r="AP28" i="5" a="1"/>
  <c r="AP28" i="5" s="1"/>
  <c r="AV87" i="10"/>
  <c r="AR87" i="10" a="1"/>
  <c r="AR87" i="10" s="1"/>
  <c r="AR84" i="10" s="1"/>
  <c r="AW87" i="10"/>
  <c r="AW84" i="10" s="1"/>
  <c r="AS87" i="10" a="1"/>
  <c r="AS87" i="10" s="1"/>
  <c r="AS84" i="10" s="1"/>
  <c r="AO108" i="11" a="1"/>
  <c r="AO108" i="11" s="1"/>
  <c r="AM108" i="11" a="1"/>
  <c r="AM108" i="11" s="1"/>
  <c r="AS108" i="11" a="1"/>
  <c r="AS108" i="11" s="1"/>
  <c r="AQ108" i="11" a="1"/>
  <c r="AQ108" i="11" s="1"/>
  <c r="AN108" i="11" a="1"/>
  <c r="AN108" i="11" s="1"/>
  <c r="AJ108" i="11" a="1"/>
  <c r="AJ108" i="11" s="1"/>
  <c r="AW108" i="11" a="1"/>
  <c r="AW108" i="11" s="1"/>
  <c r="AR108" i="11" a="1"/>
  <c r="AR108" i="11" s="1"/>
  <c r="AV108" i="11" a="1"/>
  <c r="AV108" i="11" s="1"/>
  <c r="AL108" i="11" a="1"/>
  <c r="AL108" i="11" s="1"/>
  <c r="AK108" i="11" a="1"/>
  <c r="AK108" i="11" s="1"/>
  <c r="AU108" i="11" a="1"/>
  <c r="AU108" i="11" s="1"/>
  <c r="AP108" i="11" a="1"/>
  <c r="AP108" i="11" s="1"/>
  <c r="R144" i="4"/>
  <c r="R136" i="4"/>
  <c r="AG111" i="5"/>
  <c r="AG121" i="5" s="1"/>
  <c r="Y22" i="10"/>
  <c r="Y225" i="10"/>
  <c r="Z22" i="10"/>
  <c r="Z80" i="16" s="1"/>
  <c r="Z225" i="10"/>
  <c r="AG20" i="10"/>
  <c r="AA112" i="10"/>
  <c r="AA115" i="10" s="1"/>
  <c r="AB112" i="10" s="1"/>
  <c r="Z27" i="5"/>
  <c r="AC66" i="5"/>
  <c r="AC67" i="5" s="1"/>
  <c r="AB113" i="10"/>
  <c r="AB21" i="5"/>
  <c r="AB59" i="16" s="1"/>
  <c r="AC96" i="11"/>
  <c r="AC24" i="5"/>
  <c r="Z44" i="1"/>
  <c r="Z97" i="11"/>
  <c r="Z95" i="11"/>
  <c r="Z41" i="1"/>
  <c r="AA98" i="11"/>
  <c r="AA150" i="10"/>
  <c r="AA42" i="1"/>
  <c r="AB119" i="5"/>
  <c r="AC109" i="5"/>
  <c r="AB125" i="5"/>
  <c r="AB127" i="5" s="1"/>
  <c r="AB23" i="5" s="1"/>
  <c r="AA122" i="5"/>
  <c r="R10" i="4"/>
  <c r="R14" i="4"/>
  <c r="R104" i="4"/>
  <c r="R78" i="4"/>
  <c r="R50" i="4"/>
  <c r="R110" i="4"/>
  <c r="R58" i="4"/>
  <c r="R119" i="4"/>
  <c r="R91" i="4"/>
  <c r="R65" i="4"/>
  <c r="R131" i="4"/>
  <c r="R97" i="4"/>
  <c r="R71" i="4"/>
  <c r="R39" i="4"/>
  <c r="Q117" i="8"/>
  <c r="Q175" i="8"/>
  <c r="Q130" i="8"/>
  <c r="Q168" i="8"/>
  <c r="Q158" i="8"/>
  <c r="Q163" i="8"/>
  <c r="Q103" i="8"/>
  <c r="Q41" i="8"/>
  <c r="Q73" i="8"/>
  <c r="Q143" i="8"/>
  <c r="Q68" i="8"/>
  <c r="Q78" i="8"/>
  <c r="Y144" i="10"/>
  <c r="AB40" i="1"/>
  <c r="AB18" i="11" s="1"/>
  <c r="AB58" i="5"/>
  <c r="AB138" i="5"/>
  <c r="AA139" i="5"/>
  <c r="AA25" i="5" s="1"/>
  <c r="AH46" i="1"/>
  <c r="AH91" i="10"/>
  <c r="Q10" i="8"/>
  <c r="R5" i="8"/>
  <c r="R7" i="8"/>
  <c r="R6" i="8" s="1"/>
  <c r="S8" i="8"/>
  <c r="R9" i="8"/>
  <c r="R19" i="8" s="1"/>
  <c r="S9" i="4"/>
  <c r="S7" i="4"/>
  <c r="S6" i="4" s="1"/>
  <c r="AN6" i="4" s="1"/>
  <c r="T8" i="4"/>
  <c r="S5" i="4"/>
  <c r="AN5" i="4" s="1"/>
  <c r="R164" i="5"/>
  <c r="R71" i="5"/>
  <c r="R177" i="5"/>
  <c r="R46" i="5"/>
  <c r="R76" i="5"/>
  <c r="R134" i="5"/>
  <c r="R141" i="5"/>
  <c r="AD55" i="5"/>
  <c r="AC56" i="5"/>
  <c r="AD131" i="5"/>
  <c r="AC43" i="1"/>
  <c r="S7" i="5"/>
  <c r="S6" i="5" s="1"/>
  <c r="S9" i="5"/>
  <c r="S14" i="5" s="1"/>
  <c r="S5" i="5"/>
  <c r="T8" i="5"/>
  <c r="R129" i="5"/>
  <c r="R101" i="5"/>
  <c r="R83" i="5"/>
  <c r="R124" i="5"/>
  <c r="R52" i="5"/>
  <c r="R62" i="5"/>
  <c r="R10" i="5"/>
  <c r="R35" i="5"/>
  <c r="X69" i="5"/>
  <c r="AA22" i="5" l="1"/>
  <c r="AA65" i="16"/>
  <c r="AN10" i="4"/>
  <c r="AN91" i="4" s="1"/>
  <c r="X15" i="5"/>
  <c r="AV96" i="10"/>
  <c r="AV84" i="10"/>
  <c r="AP55" i="11" a="1"/>
  <c r="AP55" i="11" s="1"/>
  <c r="AN55" i="11" a="1"/>
  <c r="AN55" i="11" s="1"/>
  <c r="AJ55" i="11" a="1"/>
  <c r="AJ55" i="11" s="1"/>
  <c r="AU55" i="11" a="1"/>
  <c r="AU55" i="11" s="1"/>
  <c r="AK55" i="11" a="1"/>
  <c r="AK55" i="11" s="1"/>
  <c r="AO55" i="11" a="1"/>
  <c r="AO55" i="11" s="1"/>
  <c r="AS55" i="11" a="1"/>
  <c r="AS55" i="11" s="1"/>
  <c r="AW55" i="11" a="1"/>
  <c r="AW55" i="11" s="1"/>
  <c r="AV55" i="11" a="1"/>
  <c r="AV55" i="11" s="1"/>
  <c r="AR55" i="11" a="1"/>
  <c r="AR55" i="11" s="1"/>
  <c r="AM55" i="11" a="1"/>
  <c r="AM55" i="11" s="1"/>
  <c r="AL55" i="11" a="1"/>
  <c r="AL55" i="11" s="1"/>
  <c r="AQ55" i="11" a="1"/>
  <c r="AQ55" i="11" s="1"/>
  <c r="AL20" i="5" a="1"/>
  <c r="AL20" i="5" s="1"/>
  <c r="AO20" i="5" a="1"/>
  <c r="AO20" i="5" s="1"/>
  <c r="AN20" i="5" a="1"/>
  <c r="AN20" i="5" s="1"/>
  <c r="AQ20" i="5" a="1"/>
  <c r="AQ20" i="5" s="1"/>
  <c r="AW20" i="5" a="1"/>
  <c r="AW20" i="5" s="1"/>
  <c r="AP20" i="5" a="1"/>
  <c r="AP20" i="5" s="1"/>
  <c r="AR20" i="5" a="1"/>
  <c r="AR20" i="5" s="1"/>
  <c r="AU20" i="5" a="1"/>
  <c r="AU20" i="5" s="1"/>
  <c r="AS20" i="5" a="1"/>
  <c r="AS20" i="5" s="1"/>
  <c r="AJ20" i="5" a="1"/>
  <c r="AJ20" i="5" s="1"/>
  <c r="AV20" i="5" a="1"/>
  <c r="AV20" i="5" s="1"/>
  <c r="AK20" i="5" a="1"/>
  <c r="AK20" i="5" s="1"/>
  <c r="AM20" i="5" a="1"/>
  <c r="AM20" i="5" s="1"/>
  <c r="Y26" i="10"/>
  <c r="AP26" i="10" s="1" a="1"/>
  <c r="AP26" i="10" s="1"/>
  <c r="AP144" i="10" a="1"/>
  <c r="AP144" i="10" s="1"/>
  <c r="AP146" i="10" s="1"/>
  <c r="AH93" i="10"/>
  <c r="AJ91" i="10" a="1"/>
  <c r="AJ91" i="10" s="1"/>
  <c r="AJ90" i="10" s="1"/>
  <c r="AU91" i="10" a="1"/>
  <c r="AU91" i="10" s="1"/>
  <c r="AU90" i="10" s="1"/>
  <c r="AW91" i="10" a="1"/>
  <c r="AW91" i="10" s="1"/>
  <c r="AS91" i="10" a="1"/>
  <c r="AS91" i="10" s="1"/>
  <c r="AV91" i="10" a="1"/>
  <c r="AV91" i="10" s="1"/>
  <c r="AV90" i="10" s="1"/>
  <c r="AR91" i="10" a="1"/>
  <c r="AR91" i="10" s="1"/>
  <c r="AL91" i="10" a="1"/>
  <c r="AL91" i="10" s="1"/>
  <c r="AL90" i="10" s="1"/>
  <c r="AK91" i="10" a="1"/>
  <c r="AK91" i="10" s="1"/>
  <c r="AK90" i="10" s="1"/>
  <c r="AM91" i="10" a="1"/>
  <c r="AM91" i="10" s="1"/>
  <c r="AM90" i="10" s="1"/>
  <c r="AN91" i="10" a="1"/>
  <c r="AN91" i="10" s="1"/>
  <c r="AN90" i="10" s="1"/>
  <c r="AP91" i="10" a="1"/>
  <c r="AP91" i="10" s="1"/>
  <c r="AP90" i="10" s="1"/>
  <c r="AO91" i="10" a="1"/>
  <c r="AO91" i="10" s="1"/>
  <c r="AO90" i="10" s="1"/>
  <c r="AQ91" i="10" a="1"/>
  <c r="AQ91" i="10" s="1"/>
  <c r="AQ90" i="10" s="1"/>
  <c r="AP22" i="10" a="1"/>
  <c r="AP22" i="10" s="1"/>
  <c r="Y80" i="16"/>
  <c r="AH17" i="11"/>
  <c r="AL46" i="1" a="1"/>
  <c r="AL46" i="1" s="1"/>
  <c r="AS46" i="1" a="1"/>
  <c r="AS46" i="1" s="1"/>
  <c r="AK46" i="1" a="1"/>
  <c r="AK46" i="1" s="1"/>
  <c r="AM46" i="1" a="1"/>
  <c r="AM46" i="1" s="1"/>
  <c r="AP46" i="1" a="1"/>
  <c r="AP46" i="1" s="1"/>
  <c r="AQ46" i="1" a="1"/>
  <c r="AQ46" i="1" s="1"/>
  <c r="AO46" i="1" a="1"/>
  <c r="AO46" i="1" s="1"/>
  <c r="AV46" i="1" a="1"/>
  <c r="AV46" i="1" s="1"/>
  <c r="AW46" i="1" a="1"/>
  <c r="AW46" i="1" s="1"/>
  <c r="AN46" i="1" a="1"/>
  <c r="AN46" i="1" s="1"/>
  <c r="AR46" i="1" a="1"/>
  <c r="AR46" i="1" s="1"/>
  <c r="AU46" i="1" a="1"/>
  <c r="AU46" i="1" s="1"/>
  <c r="AJ46" i="1" a="1"/>
  <c r="AJ46" i="1" s="1"/>
  <c r="S144" i="4"/>
  <c r="S136" i="4"/>
  <c r="AH111" i="5"/>
  <c r="AH121" i="5" s="1"/>
  <c r="AA118" i="10"/>
  <c r="AD66" i="5"/>
  <c r="AD67" i="5" s="1"/>
  <c r="AA27" i="5"/>
  <c r="AB115" i="10"/>
  <c r="AC113" i="10"/>
  <c r="AC21" i="5"/>
  <c r="AC59" i="16" s="1"/>
  <c r="AC125" i="5"/>
  <c r="AC127" i="5" s="1"/>
  <c r="AC23" i="5" s="1"/>
  <c r="AB122" i="5"/>
  <c r="AA95" i="11"/>
  <c r="AA41" i="1"/>
  <c r="AB98" i="11"/>
  <c r="AB42" i="1"/>
  <c r="AB150" i="10"/>
  <c r="AA44" i="1"/>
  <c r="AA97" i="11"/>
  <c r="AC119" i="5"/>
  <c r="AD109" i="5"/>
  <c r="S10" i="4"/>
  <c r="S58" i="4"/>
  <c r="S110" i="4"/>
  <c r="S119" i="4"/>
  <c r="S91" i="4"/>
  <c r="S65" i="4"/>
  <c r="S50" i="4"/>
  <c r="S131" i="4"/>
  <c r="S97" i="4"/>
  <c r="S71" i="4"/>
  <c r="S39" i="4"/>
  <c r="S14" i="4"/>
  <c r="S78" i="4"/>
  <c r="S104" i="4"/>
  <c r="R175" i="8"/>
  <c r="R130" i="8"/>
  <c r="R168" i="8"/>
  <c r="R158" i="8"/>
  <c r="R163" i="8"/>
  <c r="R103" i="8"/>
  <c r="R117" i="8"/>
  <c r="R41" i="8"/>
  <c r="R73" i="8"/>
  <c r="R143" i="8"/>
  <c r="R68" i="8"/>
  <c r="R78" i="8"/>
  <c r="Z144" i="10"/>
  <c r="Z26" i="10" s="1"/>
  <c r="AC40" i="1"/>
  <c r="AC18" i="11" s="1"/>
  <c r="AC58" i="5"/>
  <c r="AE131" i="5"/>
  <c r="AF131" i="5" s="1"/>
  <c r="AD132" i="5"/>
  <c r="AC138" i="5"/>
  <c r="AB139" i="5"/>
  <c r="AB25" i="5" s="1"/>
  <c r="R10" i="8"/>
  <c r="S5" i="8"/>
  <c r="S9" i="8"/>
  <c r="S19" i="8" s="1"/>
  <c r="S7" i="8"/>
  <c r="S6" i="8" s="1"/>
  <c r="T8" i="8"/>
  <c r="T7" i="4"/>
  <c r="T6" i="4" s="1"/>
  <c r="U8" i="4"/>
  <c r="T5" i="4"/>
  <c r="T9" i="4"/>
  <c r="S71" i="5"/>
  <c r="S164" i="5"/>
  <c r="S177" i="5"/>
  <c r="S46" i="5"/>
  <c r="S76" i="5"/>
  <c r="S134" i="5"/>
  <c r="S141" i="5"/>
  <c r="AD56" i="5"/>
  <c r="AE55" i="5"/>
  <c r="T9" i="5"/>
  <c r="T14" i="5" s="1"/>
  <c r="U8" i="5"/>
  <c r="T5" i="5"/>
  <c r="T7" i="5"/>
  <c r="T6" i="5" s="1"/>
  <c r="S83" i="5"/>
  <c r="S124" i="5"/>
  <c r="S101" i="5"/>
  <c r="S52" i="5"/>
  <c r="S62" i="5"/>
  <c r="S10" i="5"/>
  <c r="S35" i="5"/>
  <c r="S129" i="5"/>
  <c r="Y69" i="5"/>
  <c r="AB22" i="5" l="1"/>
  <c r="AB65" i="16"/>
  <c r="AL121" i="5" a="1"/>
  <c r="AL121" i="5" s="1"/>
  <c r="AL111" i="5" s="1"/>
  <c r="AN121" i="5" a="1"/>
  <c r="AN121" i="5" s="1"/>
  <c r="AN111" i="5" s="1"/>
  <c r="AU121" i="5" a="1"/>
  <c r="AU121" i="5" s="1"/>
  <c r="AU111" i="5" s="1"/>
  <c r="AO121" i="5" a="1"/>
  <c r="AO121" i="5" s="1"/>
  <c r="AO111" i="5" s="1"/>
  <c r="AV121" i="5" a="1"/>
  <c r="AV121" i="5" s="1"/>
  <c r="AV111" i="5" s="1"/>
  <c r="AP121" i="5" a="1"/>
  <c r="AP121" i="5" s="1"/>
  <c r="AP111" i="5" s="1"/>
  <c r="AJ121" i="5" a="1"/>
  <c r="AJ121" i="5" s="1"/>
  <c r="AJ111" i="5" s="1"/>
  <c r="AS121" i="5" a="1"/>
  <c r="AS121" i="5" s="1"/>
  <c r="AS111" i="5" s="1"/>
  <c r="AM121" i="5" a="1"/>
  <c r="AM121" i="5" s="1"/>
  <c r="AM111" i="5" s="1"/>
  <c r="AW121" i="5" a="1"/>
  <c r="AW121" i="5" s="1"/>
  <c r="AW111" i="5" s="1"/>
  <c r="AK121" i="5" a="1"/>
  <c r="AK121" i="5" s="1"/>
  <c r="AK111" i="5" s="1"/>
  <c r="AQ121" i="5" a="1"/>
  <c r="AQ121" i="5" s="1"/>
  <c r="AQ111" i="5" s="1"/>
  <c r="AR121" i="5" a="1"/>
  <c r="AR121" i="5" s="1"/>
  <c r="AR111" i="5" s="1"/>
  <c r="AN136" i="4"/>
  <c r="AN71" i="4"/>
  <c r="AN110" i="4"/>
  <c r="AN39" i="4"/>
  <c r="AN65" i="4"/>
  <c r="AN144" i="4"/>
  <c r="AN78" i="4"/>
  <c r="AN58" i="4"/>
  <c r="AN104" i="4"/>
  <c r="AN50" i="4"/>
  <c r="AN119" i="4"/>
  <c r="AN14" i="4"/>
  <c r="AN84" i="4"/>
  <c r="AN97" i="4"/>
  <c r="AN131" i="4"/>
  <c r="Y15" i="5"/>
  <c r="AC112" i="10"/>
  <c r="AQ115" i="10" a="1"/>
  <c r="AQ115" i="10" s="1"/>
  <c r="AH96" i="10"/>
  <c r="AH20" i="10" s="1"/>
  <c r="AW20" i="10" s="1"/>
  <c r="AR93" i="10" a="1"/>
  <c r="AR93" i="10" s="1"/>
  <c r="AW93" i="10"/>
  <c r="AS93" i="10" a="1"/>
  <c r="AS93" i="10" s="1"/>
  <c r="AS20" i="10" a="1"/>
  <c r="AS20" i="10" s="1"/>
  <c r="AJ17" i="11" a="1"/>
  <c r="AJ17" i="11" s="1"/>
  <c r="AQ17" i="11" a="1"/>
  <c r="AQ17" i="11" s="1"/>
  <c r="AP17" i="11" a="1"/>
  <c r="AP17" i="11" s="1"/>
  <c r="AR17" i="11" a="1"/>
  <c r="AR17" i="11" s="1"/>
  <c r="AO17" i="11" a="1"/>
  <c r="AO17" i="11" s="1"/>
  <c r="AU17" i="11" a="1"/>
  <c r="AU17" i="11" s="1"/>
  <c r="AW17" i="11" a="1"/>
  <c r="AW17" i="11" s="1"/>
  <c r="AN17" i="11" a="1"/>
  <c r="AN17" i="11" s="1"/>
  <c r="AK17" i="11" a="1"/>
  <c r="AK17" i="11" s="1"/>
  <c r="AV17" i="11" a="1"/>
  <c r="AV17" i="11" s="1"/>
  <c r="AL17" i="11" a="1"/>
  <c r="AL17" i="11" s="1"/>
  <c r="AM17" i="11" a="1"/>
  <c r="AM17" i="11" s="1"/>
  <c r="AS17" i="11" a="1"/>
  <c r="AS17" i="11" s="1"/>
  <c r="AP80" i="16" a="1"/>
  <c r="AP80" i="16" s="1"/>
  <c r="T144" i="4"/>
  <c r="T136" i="4"/>
  <c r="AE66" i="5"/>
  <c r="AE67" i="5" s="1"/>
  <c r="AB27" i="5"/>
  <c r="AA22" i="10"/>
  <c r="AA80" i="16" s="1"/>
  <c r="AA225" i="10"/>
  <c r="AC115" i="10"/>
  <c r="AC118" i="10" s="1"/>
  <c r="AB118" i="10"/>
  <c r="AD113" i="10"/>
  <c r="AD21" i="5"/>
  <c r="AD59" i="16" s="1"/>
  <c r="AD96" i="11"/>
  <c r="AD24" i="5"/>
  <c r="AB44" i="1"/>
  <c r="AB97" i="11"/>
  <c r="AD119" i="5"/>
  <c r="AE109" i="5"/>
  <c r="AD125" i="5"/>
  <c r="AD127" i="5" s="1"/>
  <c r="AD23" i="5" s="1"/>
  <c r="AC122" i="5"/>
  <c r="AB95" i="11"/>
  <c r="AB41" i="1"/>
  <c r="AC98" i="11"/>
  <c r="AC42" i="1"/>
  <c r="AC150" i="10"/>
  <c r="T10" i="4"/>
  <c r="T110" i="4"/>
  <c r="T58" i="4"/>
  <c r="T119" i="4"/>
  <c r="T91" i="4"/>
  <c r="T65" i="4"/>
  <c r="T131" i="4"/>
  <c r="T97" i="4"/>
  <c r="T71" i="4"/>
  <c r="T39" i="4"/>
  <c r="T14" i="4"/>
  <c r="T104" i="4"/>
  <c r="T78" i="4"/>
  <c r="T50" i="4"/>
  <c r="S158" i="8"/>
  <c r="S130" i="8"/>
  <c r="S163" i="8"/>
  <c r="S103" i="8"/>
  <c r="S168" i="8"/>
  <c r="S117" i="8"/>
  <c r="S175" i="8"/>
  <c r="S41" i="8"/>
  <c r="S68" i="8"/>
  <c r="S78" i="8"/>
  <c r="S143" i="8"/>
  <c r="S73" i="8"/>
  <c r="AD43" i="1"/>
  <c r="AA144" i="10"/>
  <c r="AA26" i="10" s="1"/>
  <c r="AD40" i="1"/>
  <c r="AD18" i="11" s="1"/>
  <c r="AD58" i="5"/>
  <c r="AF132" i="5"/>
  <c r="AD138" i="5"/>
  <c r="AC139" i="5"/>
  <c r="AC25" i="5" s="1"/>
  <c r="AE132" i="5"/>
  <c r="S10" i="8"/>
  <c r="U8" i="8"/>
  <c r="T5" i="8"/>
  <c r="T9" i="8"/>
  <c r="T19" i="8" s="1"/>
  <c r="T7" i="8"/>
  <c r="T6" i="8" s="1"/>
  <c r="V8" i="4"/>
  <c r="U5" i="4"/>
  <c r="U9" i="4"/>
  <c r="U7" i="4"/>
  <c r="U6" i="4" s="1"/>
  <c r="T164" i="5"/>
  <c r="T71" i="5"/>
  <c r="T177" i="5"/>
  <c r="T46" i="5"/>
  <c r="T76" i="5"/>
  <c r="T134" i="5"/>
  <c r="T141" i="5"/>
  <c r="AE56" i="5"/>
  <c r="AF55" i="5"/>
  <c r="AG131" i="5"/>
  <c r="AG132" i="5" s="1"/>
  <c r="Z69" i="5"/>
  <c r="U9" i="5"/>
  <c r="U14" i="5" s="1"/>
  <c r="U7" i="5"/>
  <c r="U6" i="5" s="1"/>
  <c r="V8" i="5"/>
  <c r="U5" i="5"/>
  <c r="T101" i="5"/>
  <c r="T83" i="5"/>
  <c r="T124" i="5"/>
  <c r="T129" i="5"/>
  <c r="T52" i="5"/>
  <c r="T62" i="5"/>
  <c r="T35" i="5"/>
  <c r="T10" i="5"/>
  <c r="AC22" i="5" l="1"/>
  <c r="AC65" i="16"/>
  <c r="Z15" i="5"/>
  <c r="AS96" i="10"/>
  <c r="AS90" i="10"/>
  <c r="AW96" i="10"/>
  <c r="AW90" i="10"/>
  <c r="AR96" i="10"/>
  <c r="AR90" i="10"/>
  <c r="AQ118" i="10"/>
  <c r="AQ225" i="10" s="1"/>
  <c r="AD112" i="10"/>
  <c r="AD115" i="10" s="1"/>
  <c r="AD118" i="10" s="1"/>
  <c r="AF66" i="5"/>
  <c r="AF67" i="5" s="1"/>
  <c r="U144" i="4"/>
  <c r="U136" i="4"/>
  <c r="AB22" i="10"/>
  <c r="AB225" i="10"/>
  <c r="AC22" i="10"/>
  <c r="AC80" i="16" s="1"/>
  <c r="AC225" i="10"/>
  <c r="AC27" i="5"/>
  <c r="AF96" i="11"/>
  <c r="AF24" i="5"/>
  <c r="AE96" i="11"/>
  <c r="AE24" i="5"/>
  <c r="AG96" i="11"/>
  <c r="AG24" i="5"/>
  <c r="AE113" i="10"/>
  <c r="AE21" i="5"/>
  <c r="AE59" i="16" s="1"/>
  <c r="AC44" i="1"/>
  <c r="AC97" i="11"/>
  <c r="AD98" i="11"/>
  <c r="AD42" i="1"/>
  <c r="AD150" i="10"/>
  <c r="AE119" i="5"/>
  <c r="AF109" i="5"/>
  <c r="AE125" i="5"/>
  <c r="AE127" i="5" s="1"/>
  <c r="AE23" i="5" s="1"/>
  <c r="AD122" i="5"/>
  <c r="AC41" i="1"/>
  <c r="AC95" i="11"/>
  <c r="U10" i="4"/>
  <c r="U119" i="4"/>
  <c r="U91" i="4"/>
  <c r="U65" i="4"/>
  <c r="U71" i="4"/>
  <c r="U131" i="4"/>
  <c r="U97" i="4"/>
  <c r="U39" i="4"/>
  <c r="U14" i="4"/>
  <c r="U104" i="4"/>
  <c r="U78" i="4"/>
  <c r="U50" i="4"/>
  <c r="U110" i="4"/>
  <c r="U58" i="4"/>
  <c r="T158" i="8"/>
  <c r="T163" i="8"/>
  <c r="T103" i="8"/>
  <c r="T168" i="8"/>
  <c r="T117" i="8"/>
  <c r="T175" i="8"/>
  <c r="T130" i="8"/>
  <c r="T41" i="8"/>
  <c r="T68" i="8"/>
  <c r="T78" i="8"/>
  <c r="T143" i="8"/>
  <c r="T73" i="8"/>
  <c r="AF43" i="1"/>
  <c r="AE43" i="1"/>
  <c r="AB144" i="10"/>
  <c r="AE40" i="1"/>
  <c r="AE18" i="11" s="1"/>
  <c r="AE58" i="5"/>
  <c r="AE138" i="5"/>
  <c r="AD139" i="5"/>
  <c r="AD25" i="5" s="1"/>
  <c r="T10" i="8"/>
  <c r="U9" i="8"/>
  <c r="U19" i="8" s="1"/>
  <c r="U7" i="8"/>
  <c r="U6" i="8" s="1"/>
  <c r="V8" i="8"/>
  <c r="U5" i="8"/>
  <c r="W8" i="4"/>
  <c r="V5" i="4"/>
  <c r="V9" i="4"/>
  <c r="V7" i="4"/>
  <c r="V6" i="4" s="1"/>
  <c r="AO6" i="4" s="1"/>
  <c r="U177" i="5"/>
  <c r="U46" i="5"/>
  <c r="U76" i="5"/>
  <c r="U164" i="5"/>
  <c r="U71" i="5"/>
  <c r="U134" i="5"/>
  <c r="U141" i="5"/>
  <c r="AG43" i="1"/>
  <c r="AH131" i="5"/>
  <c r="AG55" i="5"/>
  <c r="AF56" i="5"/>
  <c r="V7" i="5"/>
  <c r="V6" i="5" s="1"/>
  <c r="V5" i="5"/>
  <c r="W8" i="5"/>
  <c r="V9" i="5"/>
  <c r="V14" i="5" s="1"/>
  <c r="U101" i="5"/>
  <c r="U124" i="5"/>
  <c r="U129" i="5"/>
  <c r="U83" i="5"/>
  <c r="U52" i="5"/>
  <c r="U10" i="5"/>
  <c r="U62" i="5"/>
  <c r="U35" i="5"/>
  <c r="AA69" i="5"/>
  <c r="AD22" i="5" l="1"/>
  <c r="AD65" i="16"/>
  <c r="AA15" i="5"/>
  <c r="AO5" i="4"/>
  <c r="AB26" i="10"/>
  <c r="AQ26" i="10" s="1" a="1"/>
  <c r="AQ26" i="10" s="1"/>
  <c r="AQ144" i="10" a="1"/>
  <c r="AQ144" i="10" s="1"/>
  <c r="AQ146" i="10" s="1"/>
  <c r="AQ22" i="10" a="1"/>
  <c r="AQ22" i="10" s="1"/>
  <c r="AB80" i="16"/>
  <c r="AG66" i="5"/>
  <c r="AG67" i="5" s="1"/>
  <c r="V144" i="4"/>
  <c r="V136" i="4"/>
  <c r="AD22" i="10"/>
  <c r="AD80" i="16" s="1"/>
  <c r="AD225" i="10"/>
  <c r="AE112" i="10"/>
  <c r="AE115" i="10" s="1"/>
  <c r="AF112" i="10" s="1"/>
  <c r="AD27" i="5"/>
  <c r="AF113" i="10"/>
  <c r="AF21" i="5"/>
  <c r="AF59" i="16" s="1"/>
  <c r="AF119" i="5"/>
  <c r="AG109" i="5"/>
  <c r="AE98" i="11"/>
  <c r="AE42" i="1"/>
  <c r="AE150" i="10"/>
  <c r="AF125" i="5"/>
  <c r="AF127" i="5" s="1"/>
  <c r="AF23" i="5" s="1"/>
  <c r="AE122" i="5"/>
  <c r="AD44" i="1"/>
  <c r="AD97" i="11"/>
  <c r="AD95" i="11"/>
  <c r="AD41" i="1"/>
  <c r="V10" i="4"/>
  <c r="V119" i="4"/>
  <c r="V91" i="4"/>
  <c r="V65" i="4"/>
  <c r="V131" i="4"/>
  <c r="V97" i="4"/>
  <c r="V71" i="4"/>
  <c r="V39" i="4"/>
  <c r="V14" i="4"/>
  <c r="V104" i="4"/>
  <c r="V78" i="4"/>
  <c r="V50" i="4"/>
  <c r="V110" i="4"/>
  <c r="V58" i="4"/>
  <c r="U163" i="8"/>
  <c r="U103" i="8"/>
  <c r="U168" i="8"/>
  <c r="U117" i="8"/>
  <c r="U158" i="8"/>
  <c r="U175" i="8"/>
  <c r="U130" i="8"/>
  <c r="U41" i="8"/>
  <c r="U78" i="8"/>
  <c r="U143" i="8"/>
  <c r="U73" i="8"/>
  <c r="U68" i="8"/>
  <c r="AC144" i="10"/>
  <c r="AC26" i="10" s="1"/>
  <c r="AF40" i="1"/>
  <c r="AF18" i="11" s="1"/>
  <c r="AF58" i="5"/>
  <c r="AH132" i="5"/>
  <c r="AF138" i="5"/>
  <c r="AF139" i="5" s="1"/>
  <c r="AF25" i="5" s="1"/>
  <c r="AE139" i="5"/>
  <c r="AE25" i="5" s="1"/>
  <c r="V9" i="8"/>
  <c r="V19" i="8" s="1"/>
  <c r="V7" i="8"/>
  <c r="V6" i="8" s="1"/>
  <c r="V5" i="8"/>
  <c r="W8" i="8"/>
  <c r="U10" i="8"/>
  <c r="W5" i="4"/>
  <c r="W9" i="4"/>
  <c r="X8" i="4"/>
  <c r="W7" i="4"/>
  <c r="W6" i="4" s="1"/>
  <c r="V177" i="5"/>
  <c r="V46" i="5"/>
  <c r="V76" i="5"/>
  <c r="V164" i="5"/>
  <c r="V71" i="5"/>
  <c r="V134" i="5"/>
  <c r="V141" i="5"/>
  <c r="AG56" i="5"/>
  <c r="AH55" i="5"/>
  <c r="AH56" i="5" s="1"/>
  <c r="AB69" i="5"/>
  <c r="V101" i="5"/>
  <c r="V124" i="5"/>
  <c r="V129" i="5"/>
  <c r="V52" i="5"/>
  <c r="V62" i="5"/>
  <c r="V35" i="5"/>
  <c r="V83" i="5"/>
  <c r="V10" i="5"/>
  <c r="X8" i="5"/>
  <c r="W5" i="5"/>
  <c r="W7" i="5"/>
  <c r="W6" i="5" s="1"/>
  <c r="W9" i="5"/>
  <c r="W14" i="5" s="1"/>
  <c r="AS132" i="5" l="1" a="1"/>
  <c r="AS132" i="5" s="1"/>
  <c r="AM132" i="5" a="1"/>
  <c r="AM132" i="5" s="1"/>
  <c r="AP132" i="5" a="1"/>
  <c r="AP132" i="5" s="1"/>
  <c r="AL132" i="5" a="1"/>
  <c r="AL132" i="5" s="1"/>
  <c r="AQ132" i="5" a="1"/>
  <c r="AQ132" i="5" s="1"/>
  <c r="AV132" i="5" a="1"/>
  <c r="AV132" i="5" s="1"/>
  <c r="AW132" i="5" a="1"/>
  <c r="AW132" i="5" s="1"/>
  <c r="AN132" i="5" a="1"/>
  <c r="AN132" i="5" s="1"/>
  <c r="AU132" i="5" a="1"/>
  <c r="AU132" i="5" s="1"/>
  <c r="AO132" i="5" a="1"/>
  <c r="AO132" i="5" s="1"/>
  <c r="AJ132" i="5" a="1"/>
  <c r="AJ132" i="5" s="1"/>
  <c r="AK132" i="5" a="1"/>
  <c r="AK132" i="5" s="1"/>
  <c r="AR132" i="5" a="1"/>
  <c r="AR132" i="5" s="1"/>
  <c r="AE22" i="5"/>
  <c r="AE65" i="16"/>
  <c r="AB15" i="5"/>
  <c r="AO10" i="4"/>
  <c r="AU56" i="5" a="1"/>
  <c r="AU56" i="5" s="1"/>
  <c r="AU58" i="5" s="1"/>
  <c r="AO56" i="5" a="1"/>
  <c r="AO56" i="5" s="1"/>
  <c r="AO58" i="5" s="1"/>
  <c r="AV56" i="5" a="1"/>
  <c r="AV56" i="5" s="1"/>
  <c r="AV58" i="5" s="1"/>
  <c r="AR56" i="5" a="1"/>
  <c r="AR56" i="5" s="1"/>
  <c r="AR58" i="5" s="1"/>
  <c r="AS56" i="5" a="1"/>
  <c r="AS56" i="5" s="1"/>
  <c r="AS58" i="5" s="1"/>
  <c r="AN56" i="5" a="1"/>
  <c r="AN56" i="5" s="1"/>
  <c r="AN58" i="5" s="1"/>
  <c r="AQ56" i="5" a="1"/>
  <c r="AQ56" i="5" s="1"/>
  <c r="AQ58" i="5" s="1"/>
  <c r="AL56" i="5" a="1"/>
  <c r="AL56" i="5" s="1"/>
  <c r="AL58" i="5" s="1"/>
  <c r="AK56" i="5" a="1"/>
  <c r="AK56" i="5" s="1"/>
  <c r="AK58" i="5" s="1"/>
  <c r="AP56" i="5" a="1"/>
  <c r="AP56" i="5" s="1"/>
  <c r="AP58" i="5" s="1"/>
  <c r="AW56" i="5" a="1"/>
  <c r="AW56" i="5" s="1"/>
  <c r="AW58" i="5" s="1"/>
  <c r="AJ56" i="5" a="1"/>
  <c r="AJ56" i="5" s="1"/>
  <c r="AJ58" i="5" s="1"/>
  <c r="AM56" i="5" a="1"/>
  <c r="AM56" i="5" s="1"/>
  <c r="AM58" i="5" s="1"/>
  <c r="AQ80" i="16" a="1"/>
  <c r="AQ80" i="16" s="1"/>
  <c r="AH66" i="5"/>
  <c r="AH67" i="5" s="1"/>
  <c r="W144" i="4"/>
  <c r="W136" i="4"/>
  <c r="AE27" i="5"/>
  <c r="AE118" i="10"/>
  <c r="AF115" i="10"/>
  <c r="AF118" i="10" s="1"/>
  <c r="AG113" i="10"/>
  <c r="AG21" i="5"/>
  <c r="AG59" i="16" s="1"/>
  <c r="AH113" i="10"/>
  <c r="AH21" i="5"/>
  <c r="AH96" i="11"/>
  <c r="AH24" i="5"/>
  <c r="AF44" i="1"/>
  <c r="AF97" i="11"/>
  <c r="AE95" i="11"/>
  <c r="AE41" i="1"/>
  <c r="AF98" i="11"/>
  <c r="AF42" i="1"/>
  <c r="AF150" i="10"/>
  <c r="AE44" i="1"/>
  <c r="AE97" i="11"/>
  <c r="AG119" i="5"/>
  <c r="AH109" i="5"/>
  <c r="AH119" i="5" s="1"/>
  <c r="AG125" i="5"/>
  <c r="AG127" i="5" s="1"/>
  <c r="AG23" i="5" s="1"/>
  <c r="AF122" i="5"/>
  <c r="W10" i="4"/>
  <c r="W131" i="4"/>
  <c r="W97" i="4"/>
  <c r="W71" i="4"/>
  <c r="W39" i="4"/>
  <c r="W14" i="4"/>
  <c r="W104" i="4"/>
  <c r="W78" i="4"/>
  <c r="W50" i="4"/>
  <c r="W119" i="4"/>
  <c r="W91" i="4"/>
  <c r="W110" i="4"/>
  <c r="W58" i="4"/>
  <c r="W65" i="4"/>
  <c r="V163" i="8"/>
  <c r="V103" i="8"/>
  <c r="V168" i="8"/>
  <c r="V117" i="8"/>
  <c r="V175" i="8"/>
  <c r="V130" i="8"/>
  <c r="V158" i="8"/>
  <c r="V41" i="8"/>
  <c r="V78" i="8"/>
  <c r="V68" i="8"/>
  <c r="V143" i="8"/>
  <c r="V73" i="8"/>
  <c r="AH43" i="1"/>
  <c r="AD144" i="10"/>
  <c r="AD26" i="10" s="1"/>
  <c r="AG40" i="1"/>
  <c r="AG18" i="11" s="1"/>
  <c r="AG58" i="5"/>
  <c r="AH40" i="1"/>
  <c r="AH58" i="5"/>
  <c r="AG138" i="5"/>
  <c r="AG139" i="5" s="1"/>
  <c r="AG25" i="5" s="1"/>
  <c r="W7" i="8"/>
  <c r="W6" i="8" s="1"/>
  <c r="X8" i="8"/>
  <c r="W5" i="8"/>
  <c r="W9" i="8"/>
  <c r="W19" i="8" s="1"/>
  <c r="V10" i="8"/>
  <c r="X5" i="4"/>
  <c r="X9" i="4"/>
  <c r="X7" i="4"/>
  <c r="X6" i="4" s="1"/>
  <c r="Y8" i="4"/>
  <c r="W177" i="5"/>
  <c r="W164" i="5"/>
  <c r="W71" i="5"/>
  <c r="W76" i="5"/>
  <c r="W46" i="5"/>
  <c r="W134" i="5"/>
  <c r="W141" i="5"/>
  <c r="W124" i="5"/>
  <c r="W129" i="5"/>
  <c r="W101" i="5"/>
  <c r="W52" i="5"/>
  <c r="W62" i="5"/>
  <c r="W35" i="5"/>
  <c r="W83" i="5"/>
  <c r="W10" i="5"/>
  <c r="AC69" i="5"/>
  <c r="Y8" i="5"/>
  <c r="X7" i="5"/>
  <c r="X6" i="5" s="1"/>
  <c r="X5" i="5"/>
  <c r="X9" i="5"/>
  <c r="X14" i="5" s="1"/>
  <c r="AF22" i="5" l="1"/>
  <c r="AF27" i="5" s="1"/>
  <c r="AF65" i="16"/>
  <c r="AL24" i="5" a="1"/>
  <c r="AL24" i="5" s="1"/>
  <c r="AJ24" i="5" a="1"/>
  <c r="AJ24" i="5" s="1"/>
  <c r="AR24" i="5" a="1"/>
  <c r="AR24" i="5" s="1"/>
  <c r="AP24" i="5" a="1"/>
  <c r="AP24" i="5" s="1"/>
  <c r="AS24" i="5" a="1"/>
  <c r="AS24" i="5" s="1"/>
  <c r="AQ24" i="5" a="1"/>
  <c r="AQ24" i="5" s="1"/>
  <c r="AN24" i="5" a="1"/>
  <c r="AN24" i="5" s="1"/>
  <c r="AO24" i="5" a="1"/>
  <c r="AO24" i="5" s="1"/>
  <c r="AM24" i="5" a="1"/>
  <c r="AM24" i="5" s="1"/>
  <c r="AW24" i="5" a="1"/>
  <c r="AW24" i="5" s="1"/>
  <c r="AU24" i="5" a="1"/>
  <c r="AU24" i="5" s="1"/>
  <c r="AK24" i="5" a="1"/>
  <c r="AK24" i="5" s="1"/>
  <c r="AV24" i="5" a="1"/>
  <c r="AV24" i="5" s="1"/>
  <c r="AH122" i="5"/>
  <c r="AU119" i="5" a="1"/>
  <c r="AU119" i="5" s="1"/>
  <c r="AM119" i="5" a="1"/>
  <c r="AM119" i="5" s="1"/>
  <c r="AL119" i="5" a="1"/>
  <c r="AL119" i="5" s="1"/>
  <c r="AS119" i="5" a="1"/>
  <c r="AS119" i="5" s="1"/>
  <c r="AK119" i="5" a="1"/>
  <c r="AK119" i="5" s="1"/>
  <c r="AO119" i="5" a="1"/>
  <c r="AO119" i="5" s="1"/>
  <c r="AW119" i="5" a="1"/>
  <c r="AW119" i="5" s="1"/>
  <c r="AN119" i="5" a="1"/>
  <c r="AN119" i="5" s="1"/>
  <c r="AJ119" i="5" a="1"/>
  <c r="AJ119" i="5" s="1"/>
  <c r="AR119" i="5" a="1"/>
  <c r="AR119" i="5" s="1"/>
  <c r="AQ119" i="5" a="1"/>
  <c r="AQ119" i="5" s="1"/>
  <c r="AV119" i="5" a="1"/>
  <c r="AV119" i="5" s="1"/>
  <c r="AP119" i="5" a="1"/>
  <c r="AP119" i="5" s="1"/>
  <c r="AL67" i="5" a="1"/>
  <c r="AL67" i="5" s="1"/>
  <c r="AL69" i="5" s="1"/>
  <c r="AS67" i="5" a="1"/>
  <c r="AS67" i="5" s="1"/>
  <c r="AS69" i="5" s="1"/>
  <c r="AN67" i="5" a="1"/>
  <c r="AN67" i="5" s="1"/>
  <c r="AN69" i="5" s="1"/>
  <c r="AP67" i="5" a="1"/>
  <c r="AP67" i="5" s="1"/>
  <c r="AP69" i="5" s="1"/>
  <c r="AV67" i="5" a="1"/>
  <c r="AV67" i="5" s="1"/>
  <c r="AV69" i="5" s="1"/>
  <c r="AK67" i="5" a="1"/>
  <c r="AK67" i="5" s="1"/>
  <c r="AK69" i="5" s="1"/>
  <c r="AR67" i="5" a="1"/>
  <c r="AR67" i="5" s="1"/>
  <c r="AR69" i="5" s="1"/>
  <c r="AW67" i="5" a="1"/>
  <c r="AW67" i="5" s="1"/>
  <c r="AW69" i="5" s="1"/>
  <c r="AM67" i="5" a="1"/>
  <c r="AM67" i="5" s="1"/>
  <c r="AM69" i="5" s="1"/>
  <c r="AQ67" i="5" a="1"/>
  <c r="AQ67" i="5" s="1"/>
  <c r="AQ69" i="5" s="1"/>
  <c r="AU67" i="5" a="1"/>
  <c r="AU67" i="5" s="1"/>
  <c r="AU69" i="5" s="1"/>
  <c r="AO67" i="5" a="1"/>
  <c r="AO67" i="5" s="1"/>
  <c r="AO69" i="5" s="1"/>
  <c r="AJ67" i="5" a="1"/>
  <c r="AJ67" i="5" s="1"/>
  <c r="AJ69" i="5" s="1"/>
  <c r="AC15" i="5"/>
  <c r="AO119" i="4"/>
  <c r="AO78" i="4"/>
  <c r="AO65" i="4"/>
  <c r="AO39" i="4"/>
  <c r="AO131" i="4"/>
  <c r="AO84" i="4"/>
  <c r="AO71" i="4"/>
  <c r="AO136" i="4"/>
  <c r="AO144" i="4"/>
  <c r="AO104" i="4"/>
  <c r="AO50" i="4"/>
  <c r="AO91" i="4"/>
  <c r="AO97" i="4"/>
  <c r="AO14" i="4"/>
  <c r="AO110" i="4"/>
  <c r="AO58" i="4"/>
  <c r="AQ21" i="5" a="1"/>
  <c r="AQ21" i="5" s="1"/>
  <c r="AL21" i="5" a="1"/>
  <c r="AL21" i="5" s="1"/>
  <c r="AV21" i="5" a="1"/>
  <c r="AV21" i="5" s="1"/>
  <c r="AW21" i="5" a="1"/>
  <c r="AW21" i="5" s="1"/>
  <c r="AP21" i="5" a="1"/>
  <c r="AP21" i="5" s="1"/>
  <c r="AM21" i="5" a="1"/>
  <c r="AM21" i="5" s="1"/>
  <c r="AJ21" i="5" a="1"/>
  <c r="AJ21" i="5" s="1"/>
  <c r="AU21" i="5" a="1"/>
  <c r="AU21" i="5" s="1"/>
  <c r="AS21" i="5" a="1"/>
  <c r="AS21" i="5" s="1"/>
  <c r="AN21" i="5" a="1"/>
  <c r="AN21" i="5" s="1"/>
  <c r="AK21" i="5" a="1"/>
  <c r="AK21" i="5" s="1"/>
  <c r="AR21" i="5" a="1"/>
  <c r="AR21" i="5" s="1"/>
  <c r="AO21" i="5" a="1"/>
  <c r="AO21" i="5" s="1"/>
  <c r="AH59" i="16"/>
  <c r="AV113" i="10" a="1"/>
  <c r="AV113" i="10" s="1"/>
  <c r="AW113" i="10" a="1"/>
  <c r="AW113" i="10" s="1"/>
  <c r="AJ113" i="10" a="1"/>
  <c r="AJ113" i="10" s="1"/>
  <c r="AJ112" i="10" s="1"/>
  <c r="AS113" i="10" a="1"/>
  <c r="AS113" i="10" s="1"/>
  <c r="AR113" i="10" a="1"/>
  <c r="AR113" i="10" s="1"/>
  <c r="AU113" i="10" a="1"/>
  <c r="AU113" i="10" s="1"/>
  <c r="AU112" i="10" s="1"/>
  <c r="AL113" i="10" a="1"/>
  <c r="AL113" i="10" s="1"/>
  <c r="AL112" i="10" s="1"/>
  <c r="AK113" i="10" a="1"/>
  <c r="AK113" i="10" s="1"/>
  <c r="AK112" i="10" s="1"/>
  <c r="AM113" i="10" a="1"/>
  <c r="AM113" i="10" s="1"/>
  <c r="AM112" i="10" s="1"/>
  <c r="AN113" i="10" a="1"/>
  <c r="AN113" i="10" s="1"/>
  <c r="AN112" i="10" s="1"/>
  <c r="AP113" i="10" a="1"/>
  <c r="AP113" i="10" s="1"/>
  <c r="AP112" i="10" s="1"/>
  <c r="AO113" i="10" a="1"/>
  <c r="AO113" i="10" s="1"/>
  <c r="AO112" i="10" s="1"/>
  <c r="AQ113" i="10" a="1"/>
  <c r="AQ113" i="10" s="1"/>
  <c r="AQ112" i="10" s="1"/>
  <c r="AH18" i="11"/>
  <c r="AS40" i="1" a="1"/>
  <c r="AS40" i="1" s="1"/>
  <c r="AW40" i="1" a="1"/>
  <c r="AW40" i="1" s="1"/>
  <c r="AJ40" i="1" a="1"/>
  <c r="AJ40" i="1" s="1"/>
  <c r="AM40" i="1" a="1"/>
  <c r="AM40" i="1" s="1"/>
  <c r="AU40" i="1" a="1"/>
  <c r="AU40" i="1" s="1"/>
  <c r="AQ40" i="1" a="1"/>
  <c r="AQ40" i="1" s="1"/>
  <c r="AR40" i="1" a="1"/>
  <c r="AR40" i="1" s="1"/>
  <c r="AN40" i="1" a="1"/>
  <c r="AN40" i="1" s="1"/>
  <c r="AV40" i="1" a="1"/>
  <c r="AV40" i="1" s="1"/>
  <c r="AK40" i="1" a="1"/>
  <c r="AK40" i="1" s="1"/>
  <c r="AL40" i="1" a="1"/>
  <c r="AL40" i="1" s="1"/>
  <c r="AP40" i="1" a="1"/>
  <c r="AP40" i="1" s="1"/>
  <c r="AO40" i="1" a="1"/>
  <c r="AO40" i="1" s="1"/>
  <c r="AQ96" i="11" a="1"/>
  <c r="AQ96" i="11" s="1"/>
  <c r="AJ96" i="11" a="1"/>
  <c r="AJ96" i="11" s="1"/>
  <c r="AL96" i="11" a="1"/>
  <c r="AL96" i="11" s="1"/>
  <c r="AW96" i="11" a="1"/>
  <c r="AW96" i="11" s="1"/>
  <c r="AS96" i="11" a="1"/>
  <c r="AS96" i="11" s="1"/>
  <c r="AN96" i="11" a="1"/>
  <c r="AN96" i="11" s="1"/>
  <c r="AU96" i="11" a="1"/>
  <c r="AU96" i="11" s="1"/>
  <c r="AR96" i="11" a="1"/>
  <c r="AR96" i="11" s="1"/>
  <c r="AP96" i="11" a="1"/>
  <c r="AP96" i="11" s="1"/>
  <c r="AO96" i="11" a="1"/>
  <c r="AO96" i="11" s="1"/>
  <c r="AM96" i="11" a="1"/>
  <c r="AM96" i="11" s="1"/>
  <c r="AK96" i="11" a="1"/>
  <c r="AK96" i="11" s="1"/>
  <c r="AV96" i="11" a="1"/>
  <c r="AV96" i="11" s="1"/>
  <c r="AU43" i="1" a="1"/>
  <c r="AU43" i="1" s="1"/>
  <c r="AP43" i="1" a="1"/>
  <c r="AP43" i="1" s="1"/>
  <c r="AJ43" i="1" a="1"/>
  <c r="AJ43" i="1" s="1"/>
  <c r="AR43" i="1" a="1"/>
  <c r="AR43" i="1" s="1"/>
  <c r="AW43" i="1" a="1"/>
  <c r="AW43" i="1" s="1"/>
  <c r="AN43" i="1" a="1"/>
  <c r="AN43" i="1" s="1"/>
  <c r="AM43" i="1" a="1"/>
  <c r="AM43" i="1" s="1"/>
  <c r="AV43" i="1" a="1"/>
  <c r="AV43" i="1" s="1"/>
  <c r="AK43" i="1" a="1"/>
  <c r="AK43" i="1" s="1"/>
  <c r="AQ43" i="1" a="1"/>
  <c r="AQ43" i="1" s="1"/>
  <c r="AO43" i="1" a="1"/>
  <c r="AO43" i="1" s="1"/>
  <c r="AS43" i="1" a="1"/>
  <c r="AS43" i="1" s="1"/>
  <c r="AL43" i="1" a="1"/>
  <c r="AL43" i="1" s="1"/>
  <c r="X144" i="4"/>
  <c r="X136" i="4"/>
  <c r="AF22" i="10"/>
  <c r="AF80" i="16" s="1"/>
  <c r="AF225" i="10"/>
  <c r="AE22" i="10"/>
  <c r="AE225" i="10"/>
  <c r="AG112" i="10"/>
  <c r="AG115" i="10" s="1"/>
  <c r="AH112" i="10" s="1"/>
  <c r="AH115" i="10" s="1"/>
  <c r="AG98" i="11"/>
  <c r="AG42" i="1"/>
  <c r="AG150" i="10"/>
  <c r="AF41" i="1"/>
  <c r="AF95" i="11"/>
  <c r="AH95" i="11"/>
  <c r="AH41" i="1"/>
  <c r="AH125" i="5"/>
  <c r="AH127" i="5" s="1"/>
  <c r="AG122" i="5"/>
  <c r="AG44" i="1"/>
  <c r="AG97" i="11"/>
  <c r="X10" i="4"/>
  <c r="X131" i="4"/>
  <c r="X97" i="4"/>
  <c r="X71" i="4"/>
  <c r="X39" i="4"/>
  <c r="X14" i="4"/>
  <c r="X104" i="4"/>
  <c r="X78" i="4"/>
  <c r="X50" i="4"/>
  <c r="X110" i="4"/>
  <c r="X58" i="4"/>
  <c r="X119" i="4"/>
  <c r="X91" i="4"/>
  <c r="X65" i="4"/>
  <c r="W168" i="8"/>
  <c r="W117" i="8"/>
  <c r="W175" i="8"/>
  <c r="W130" i="8"/>
  <c r="W163" i="8"/>
  <c r="W103" i="8"/>
  <c r="W158" i="8"/>
  <c r="W41" i="8"/>
  <c r="W143" i="8"/>
  <c r="W73" i="8"/>
  <c r="W78" i="8"/>
  <c r="W68" i="8"/>
  <c r="AE144" i="10"/>
  <c r="AE26" i="10" s="1"/>
  <c r="AR26" i="10" s="1" a="1"/>
  <c r="AR26" i="10" s="1"/>
  <c r="AH138" i="5"/>
  <c r="AH139" i="5" s="1"/>
  <c r="W10" i="8"/>
  <c r="Y8" i="8"/>
  <c r="X5" i="8"/>
  <c r="X7" i="8"/>
  <c r="X6" i="8" s="1"/>
  <c r="X9" i="8"/>
  <c r="X19" i="8" s="1"/>
  <c r="Y9" i="4"/>
  <c r="Y7" i="4"/>
  <c r="Y6" i="4" s="1"/>
  <c r="AP6" i="4" s="1"/>
  <c r="Z8" i="4"/>
  <c r="Y5" i="4"/>
  <c r="X177" i="5"/>
  <c r="X46" i="5"/>
  <c r="X164" i="5"/>
  <c r="X71" i="5"/>
  <c r="X76" i="5"/>
  <c r="X134" i="5"/>
  <c r="X141" i="5"/>
  <c r="X124" i="5"/>
  <c r="X129" i="5"/>
  <c r="X101" i="5"/>
  <c r="X52" i="5"/>
  <c r="X62" i="5"/>
  <c r="X35" i="5"/>
  <c r="X10" i="5"/>
  <c r="X83" i="5"/>
  <c r="Y5" i="5"/>
  <c r="Y9" i="5"/>
  <c r="Y14" i="5" s="1"/>
  <c r="Y7" i="5"/>
  <c r="Y6" i="5" s="1"/>
  <c r="Z8" i="5"/>
  <c r="AD69" i="5"/>
  <c r="AH25" i="5" l="1"/>
  <c r="AL139" i="5" a="1"/>
  <c r="AL139" i="5" s="1"/>
  <c r="AO139" i="5" a="1"/>
  <c r="AO139" i="5" s="1"/>
  <c r="AW139" i="5" a="1"/>
  <c r="AW139" i="5" s="1"/>
  <c r="AV139" i="5" a="1"/>
  <c r="AV139" i="5" s="1"/>
  <c r="AQ139" i="5" a="1"/>
  <c r="AQ139" i="5" s="1"/>
  <c r="AM139" i="5" a="1"/>
  <c r="AM139" i="5" s="1"/>
  <c r="AU139" i="5" a="1"/>
  <c r="AU139" i="5" s="1"/>
  <c r="AS139" i="5" a="1"/>
  <c r="AS139" i="5" s="1"/>
  <c r="AR139" i="5" a="1"/>
  <c r="AR139" i="5" s="1"/>
  <c r="AP139" i="5" a="1"/>
  <c r="AP139" i="5" s="1"/>
  <c r="AK139" i="5" a="1"/>
  <c r="AK139" i="5" s="1"/>
  <c r="AJ139" i="5" a="1"/>
  <c r="AJ139" i="5" s="1"/>
  <c r="AN139" i="5" a="1"/>
  <c r="AN139" i="5" s="1"/>
  <c r="AH23" i="5"/>
  <c r="AN127" i="5" a="1"/>
  <c r="AN127" i="5" s="1"/>
  <c r="AU127" i="5" a="1"/>
  <c r="AU127" i="5" s="1"/>
  <c r="AS127" i="5" a="1"/>
  <c r="AS127" i="5" s="1"/>
  <c r="AM127" i="5" a="1"/>
  <c r="AM127" i="5" s="1"/>
  <c r="AR127" i="5" a="1"/>
  <c r="AR127" i="5" s="1"/>
  <c r="AV127" i="5" a="1"/>
  <c r="AV127" i="5" s="1"/>
  <c r="AL127" i="5" a="1"/>
  <c r="AL127" i="5" s="1"/>
  <c r="AJ127" i="5" a="1"/>
  <c r="AJ127" i="5" s="1"/>
  <c r="AP127" i="5" a="1"/>
  <c r="AP127" i="5" s="1"/>
  <c r="AK127" i="5" a="1"/>
  <c r="AK127" i="5" s="1"/>
  <c r="AQ127" i="5" a="1"/>
  <c r="AQ127" i="5" s="1"/>
  <c r="AW127" i="5" a="1"/>
  <c r="AW127" i="5" s="1"/>
  <c r="AO127" i="5" a="1"/>
  <c r="AO127" i="5" s="1"/>
  <c r="AW109" i="5"/>
  <c r="AW122" i="5"/>
  <c r="AO122" i="5"/>
  <c r="AO109" i="5"/>
  <c r="AP122" i="5"/>
  <c r="AP109" i="5"/>
  <c r="AV122" i="5"/>
  <c r="AV109" i="5"/>
  <c r="AS109" i="5"/>
  <c r="AS122" i="5"/>
  <c r="AK122" i="5"/>
  <c r="AK109" i="5"/>
  <c r="AQ109" i="5"/>
  <c r="AQ122" i="5"/>
  <c r="AL109" i="5"/>
  <c r="AL122" i="5"/>
  <c r="AR109" i="5"/>
  <c r="AR122" i="5"/>
  <c r="AM122" i="5"/>
  <c r="AM109" i="5"/>
  <c r="AP65" i="16" a="1"/>
  <c r="AP65" i="16" s="1"/>
  <c r="AJ109" i="5"/>
  <c r="AJ122" i="5"/>
  <c r="AU109" i="5"/>
  <c r="AU122" i="5"/>
  <c r="AG22" i="5"/>
  <c r="AG27" i="5" s="1"/>
  <c r="AG65" i="16"/>
  <c r="AN122" i="5"/>
  <c r="AN109" i="5"/>
  <c r="AH22" i="5"/>
  <c r="AH65" i="16"/>
  <c r="AO65" i="16" s="1" a="1"/>
  <c r="AO65" i="16" s="1"/>
  <c r="AD15" i="5"/>
  <c r="AP5" i="4"/>
  <c r="AP10" i="4" s="1"/>
  <c r="AK59" i="16" a="1"/>
  <c r="AK59" i="16" s="1"/>
  <c r="AR59" i="16" a="1"/>
  <c r="AR59" i="16" s="1"/>
  <c r="AQ59" i="16" a="1"/>
  <c r="AQ59" i="16" s="1"/>
  <c r="AU59" i="16" a="1"/>
  <c r="AU59" i="16" s="1"/>
  <c r="AN59" i="16" a="1"/>
  <c r="AN59" i="16" s="1"/>
  <c r="AO59" i="16" a="1"/>
  <c r="AO59" i="16" s="1"/>
  <c r="AW59" i="16" a="1"/>
  <c r="AW59" i="16" s="1"/>
  <c r="AV59" i="16" a="1"/>
  <c r="AV59" i="16" s="1"/>
  <c r="AM59" i="16" a="1"/>
  <c r="AM59" i="16" s="1"/>
  <c r="AP59" i="16" a="1"/>
  <c r="AP59" i="16" s="1"/>
  <c r="AS59" i="16" a="1"/>
  <c r="AS59" i="16" s="1"/>
  <c r="AJ59" i="16" a="1"/>
  <c r="AJ59" i="16" s="1"/>
  <c r="AL59" i="16" a="1"/>
  <c r="AL59" i="16" s="1"/>
  <c r="AH118" i="10"/>
  <c r="AH225" i="10" s="1"/>
  <c r="AV115" i="10"/>
  <c r="AR115" i="10" a="1"/>
  <c r="AR115" i="10" s="1"/>
  <c r="AS115" i="10" a="1"/>
  <c r="AS115" i="10" s="1"/>
  <c r="AW115" i="10"/>
  <c r="AR22" i="10" a="1"/>
  <c r="AR22" i="10" s="1"/>
  <c r="AE80" i="16"/>
  <c r="AV18" i="11" a="1"/>
  <c r="AV18" i="11" s="1"/>
  <c r="AU18" i="11" a="1"/>
  <c r="AU18" i="11" s="1"/>
  <c r="AQ18" i="11" a="1"/>
  <c r="AQ18" i="11" s="1"/>
  <c r="AK18" i="11" a="1"/>
  <c r="AK18" i="11" s="1"/>
  <c r="AO18" i="11" a="1"/>
  <c r="AO18" i="11" s="1"/>
  <c r="AS18" i="11" a="1"/>
  <c r="AS18" i="11" s="1"/>
  <c r="AL18" i="11" a="1"/>
  <c r="AL18" i="11" s="1"/>
  <c r="AP18" i="11" a="1"/>
  <c r="AP18" i="11" s="1"/>
  <c r="AJ18" i="11" a="1"/>
  <c r="AJ18" i="11" s="1"/>
  <c r="AN18" i="11" a="1"/>
  <c r="AN18" i="11" s="1"/>
  <c r="AR18" i="11" a="1"/>
  <c r="AR18" i="11" s="1"/>
  <c r="AM18" i="11" a="1"/>
  <c r="AM18" i="11" s="1"/>
  <c r="AW18" i="11" a="1"/>
  <c r="AW18" i="11" s="1"/>
  <c r="Y144" i="4"/>
  <c r="Y136" i="4"/>
  <c r="AH22" i="10"/>
  <c r="AW22" i="10" s="1"/>
  <c r="AH27" i="5"/>
  <c r="AG118" i="10"/>
  <c r="AH44" i="1"/>
  <c r="AH97" i="11"/>
  <c r="AG41" i="1"/>
  <c r="AV41" i="1" s="1" a="1"/>
  <c r="AV41" i="1" s="1"/>
  <c r="AG95" i="11"/>
  <c r="AH98" i="11"/>
  <c r="AH150" i="10"/>
  <c r="AH42" i="1"/>
  <c r="Y10" i="4"/>
  <c r="Y14" i="4"/>
  <c r="Y78" i="4"/>
  <c r="Y50" i="4"/>
  <c r="Y104" i="4"/>
  <c r="Y110" i="4"/>
  <c r="Y58" i="4"/>
  <c r="Y71" i="4"/>
  <c r="Y119" i="4"/>
  <c r="Y91" i="4"/>
  <c r="Y65" i="4"/>
  <c r="Y131" i="4"/>
  <c r="Y39" i="4"/>
  <c r="Y97" i="4"/>
  <c r="X168" i="8"/>
  <c r="X117" i="8"/>
  <c r="X175" i="8"/>
  <c r="X130" i="8"/>
  <c r="X103" i="8"/>
  <c r="X158" i="8"/>
  <c r="X163" i="8"/>
  <c r="X41" i="8"/>
  <c r="X143" i="8"/>
  <c r="X78" i="8"/>
  <c r="X73" i="8"/>
  <c r="X68" i="8"/>
  <c r="AF144" i="10"/>
  <c r="AF26" i="10" s="1"/>
  <c r="X10" i="8"/>
  <c r="Z8" i="8"/>
  <c r="Y5" i="8"/>
  <c r="Y9" i="8"/>
  <c r="Y19" i="8" s="1"/>
  <c r="Y7" i="8"/>
  <c r="Y6" i="8" s="1"/>
  <c r="Z9" i="4"/>
  <c r="Z7" i="4"/>
  <c r="Z6" i="4" s="1"/>
  <c r="AA8" i="4"/>
  <c r="Z5" i="4"/>
  <c r="Y164" i="5"/>
  <c r="Y71" i="5"/>
  <c r="Y177" i="5"/>
  <c r="Y46" i="5"/>
  <c r="Y76" i="5"/>
  <c r="Y134" i="5"/>
  <c r="Y141" i="5"/>
  <c r="AE69" i="5"/>
  <c r="Z5" i="5"/>
  <c r="Z9" i="5"/>
  <c r="Z14" i="5" s="1"/>
  <c r="Z7" i="5"/>
  <c r="Z6" i="5" s="1"/>
  <c r="AA8" i="5"/>
  <c r="Y124" i="5"/>
  <c r="Y129" i="5"/>
  <c r="Y101" i="5"/>
  <c r="Y83" i="5"/>
  <c r="Y52" i="5"/>
  <c r="Y62" i="5"/>
  <c r="Y35" i="5"/>
  <c r="Y10" i="5"/>
  <c r="AU65" i="16" l="1" a="1"/>
  <c r="AU65" i="16" s="1"/>
  <c r="AN65" i="16" a="1"/>
  <c r="AN65" i="16" s="1"/>
  <c r="AS65" i="16" a="1"/>
  <c r="AS65" i="16" s="1"/>
  <c r="AK23" i="5" a="1"/>
  <c r="AK23" i="5" s="1"/>
  <c r="AV23" i="5" a="1"/>
  <c r="AV23" i="5" s="1"/>
  <c r="AQ23" i="5" a="1"/>
  <c r="AQ23" i="5" s="1"/>
  <c r="AL23" i="5" a="1"/>
  <c r="AL23" i="5" s="1"/>
  <c r="AP23" i="5" a="1"/>
  <c r="AP23" i="5" s="1"/>
  <c r="AN23" i="5" a="1"/>
  <c r="AN23" i="5" s="1"/>
  <c r="AM23" i="5" a="1"/>
  <c r="AM23" i="5" s="1"/>
  <c r="AR23" i="5" a="1"/>
  <c r="AR23" i="5" s="1"/>
  <c r="AW23" i="5" a="1"/>
  <c r="AW23" i="5" s="1"/>
  <c r="AJ23" i="5" a="1"/>
  <c r="AJ23" i="5" s="1"/>
  <c r="AU23" i="5" a="1"/>
  <c r="AU23" i="5" s="1"/>
  <c r="AO23" i="5" a="1"/>
  <c r="AO23" i="5" s="1"/>
  <c r="AS23" i="5" a="1"/>
  <c r="AS23" i="5" s="1"/>
  <c r="AK65" i="16" a="1"/>
  <c r="AK65" i="16" s="1"/>
  <c r="AJ65" i="16" a="1"/>
  <c r="AJ65" i="16" s="1"/>
  <c r="AR65" i="16" a="1"/>
  <c r="AR65" i="16" s="1"/>
  <c r="AL65" i="16" a="1"/>
  <c r="AL65" i="16" s="1"/>
  <c r="AV65" i="16" a="1"/>
  <c r="AV65" i="16" s="1"/>
  <c r="AW65" i="16" a="1"/>
  <c r="AW65" i="16" s="1"/>
  <c r="AQ65" i="16" a="1"/>
  <c r="AQ65" i="16" s="1"/>
  <c r="AS22" i="5" a="1"/>
  <c r="AS22" i="5" s="1"/>
  <c r="AR22" i="5" a="1"/>
  <c r="AR22" i="5" s="1"/>
  <c r="AU22" i="5" a="1"/>
  <c r="AU22" i="5" s="1"/>
  <c r="AN22" i="5" a="1"/>
  <c r="AN22" i="5" s="1"/>
  <c r="AP22" i="5" a="1"/>
  <c r="AP22" i="5" s="1"/>
  <c r="AW22" i="5" a="1"/>
  <c r="AW22" i="5" s="1"/>
  <c r="AO22" i="5" a="1"/>
  <c r="AO22" i="5" s="1"/>
  <c r="AM22" i="5" a="1"/>
  <c r="AM22" i="5" s="1"/>
  <c r="AK22" i="5" a="1"/>
  <c r="AK22" i="5" s="1"/>
  <c r="AJ22" i="5" a="1"/>
  <c r="AJ22" i="5" s="1"/>
  <c r="AQ22" i="5" a="1"/>
  <c r="AQ22" i="5" s="1"/>
  <c r="AV22" i="5" a="1"/>
  <c r="AV22" i="5" s="1"/>
  <c r="AL22" i="5" a="1"/>
  <c r="AL22" i="5" s="1"/>
  <c r="AM65" i="16" a="1"/>
  <c r="AM65" i="16" s="1"/>
  <c r="AO25" i="5" a="1"/>
  <c r="AO25" i="5" s="1"/>
  <c r="AW25" i="5" a="1"/>
  <c r="AW25" i="5" s="1"/>
  <c r="AU25" i="5" a="1"/>
  <c r="AU25" i="5" s="1"/>
  <c r="AS25" i="5" a="1"/>
  <c r="AS25" i="5" s="1"/>
  <c r="AL25" i="5" a="1"/>
  <c r="AL25" i="5" s="1"/>
  <c r="AN25" i="5" a="1"/>
  <c r="AN25" i="5" s="1"/>
  <c r="AQ25" i="5" a="1"/>
  <c r="AQ25" i="5" s="1"/>
  <c r="AM25" i="5" a="1"/>
  <c r="AM25" i="5" s="1"/>
  <c r="AV25" i="5" a="1"/>
  <c r="AV25" i="5" s="1"/>
  <c r="AP25" i="5" a="1"/>
  <c r="AP25" i="5" s="1"/>
  <c r="AK25" i="5" a="1"/>
  <c r="AK25" i="5" s="1"/>
  <c r="AR25" i="5" a="1"/>
  <c r="AR25" i="5" s="1"/>
  <c r="AJ25" i="5" a="1"/>
  <c r="AJ25" i="5" s="1"/>
  <c r="AP136" i="4"/>
  <c r="AP144" i="4"/>
  <c r="AP50" i="4"/>
  <c r="AP58" i="4"/>
  <c r="AP91" i="4"/>
  <c r="AP119" i="4"/>
  <c r="AP104" i="4"/>
  <c r="AP78" i="4"/>
  <c r="AP65" i="4"/>
  <c r="AP39" i="4"/>
  <c r="AP131" i="4"/>
  <c r="AP110" i="4"/>
  <c r="AP84" i="4"/>
  <c r="AP71" i="4"/>
  <c r="AP97" i="4"/>
  <c r="AP14" i="4"/>
  <c r="AE15" i="5"/>
  <c r="AV95" i="11" a="1"/>
  <c r="AV95" i="11" s="1"/>
  <c r="AV118" i="10"/>
  <c r="AV225" i="10" s="1"/>
  <c r="AV112" i="10"/>
  <c r="AW118" i="10"/>
  <c r="AW225" i="10" s="1"/>
  <c r="AW112" i="10"/>
  <c r="AS118" i="10"/>
  <c r="AS225" i="10" s="1"/>
  <c r="AS112" i="10"/>
  <c r="AR118" i="10"/>
  <c r="AR225" i="10" s="1"/>
  <c r="AR112" i="10"/>
  <c r="AV150" i="10" a="1"/>
  <c r="AV150" i="10" s="1"/>
  <c r="AW150" i="10" a="1"/>
  <c r="AW150" i="10" s="1"/>
  <c r="AP150" i="10" a="1"/>
  <c r="AP150" i="10" s="1"/>
  <c r="AQ150" i="10" a="1"/>
  <c r="AQ150" i="10" s="1"/>
  <c r="AK150" i="10" a="1"/>
  <c r="AK150" i="10" s="1"/>
  <c r="AL150" i="10" a="1"/>
  <c r="AL150" i="10" s="1"/>
  <c r="AM150" i="10" a="1"/>
  <c r="AM150" i="10" s="1"/>
  <c r="AN150" i="10" a="1"/>
  <c r="AN150" i="10" s="1"/>
  <c r="AO150" i="10" a="1"/>
  <c r="AO150" i="10" s="1"/>
  <c r="AS150" i="10" a="1"/>
  <c r="AS150" i="10" s="1"/>
  <c r="AR150" i="10" a="1"/>
  <c r="AR150" i="10" s="1"/>
  <c r="AJ150" i="10" a="1"/>
  <c r="AJ150" i="10" s="1"/>
  <c r="AU150" i="10" a="1"/>
  <c r="AU150" i="10" s="1"/>
  <c r="AK95" i="11" a="1"/>
  <c r="AK95" i="11" s="1"/>
  <c r="AL41" i="1" a="1"/>
  <c r="AL41" i="1" s="1"/>
  <c r="AK97" i="11" a="1"/>
  <c r="AK97" i="11" s="1"/>
  <c r="AN97" i="11" a="1"/>
  <c r="AN97" i="11" s="1"/>
  <c r="AQ97" i="11" a="1"/>
  <c r="AQ97" i="11" s="1"/>
  <c r="AV97" i="11" a="1"/>
  <c r="AV97" i="11" s="1"/>
  <c r="AL97" i="11" a="1"/>
  <c r="AL97" i="11" s="1"/>
  <c r="AS97" i="11" a="1"/>
  <c r="AS97" i="11" s="1"/>
  <c r="AO97" i="11" a="1"/>
  <c r="AO97" i="11" s="1"/>
  <c r="AJ97" i="11" a="1"/>
  <c r="AJ97" i="11" s="1"/>
  <c r="AW97" i="11" a="1"/>
  <c r="AW97" i="11" s="1"/>
  <c r="AR97" i="11" a="1"/>
  <c r="AR97" i="11" s="1"/>
  <c r="AP97" i="11" a="1"/>
  <c r="AP97" i="11" s="1"/>
  <c r="AU97" i="11" a="1"/>
  <c r="AU97" i="11" s="1"/>
  <c r="AM97" i="11" a="1"/>
  <c r="AM97" i="11" s="1"/>
  <c r="AO95" i="11" a="1"/>
  <c r="AO95" i="11" s="1"/>
  <c r="AW41" i="1" a="1"/>
  <c r="AW41" i="1" s="1"/>
  <c r="AS41" i="1" a="1"/>
  <c r="AS41" i="1" s="1"/>
  <c r="AU95" i="11" a="1"/>
  <c r="AU95" i="11" s="1"/>
  <c r="AM95" i="11" a="1"/>
  <c r="AM95" i="11" s="1"/>
  <c r="AP41" i="1" a="1"/>
  <c r="AP41" i="1" s="1"/>
  <c r="AJ41" i="1" a="1"/>
  <c r="AJ41" i="1" s="1"/>
  <c r="AM41" i="1" a="1"/>
  <c r="AM41" i="1" s="1"/>
  <c r="AN95" i="11" a="1"/>
  <c r="AN95" i="11" s="1"/>
  <c r="AL95" i="11" a="1"/>
  <c r="AL95" i="11" s="1"/>
  <c r="AR41" i="1" a="1"/>
  <c r="AR41" i="1" s="1"/>
  <c r="AU41" i="1" a="1"/>
  <c r="AU41" i="1" s="1"/>
  <c r="AQ95" i="11" a="1"/>
  <c r="AQ95" i="11" s="1"/>
  <c r="AR95" i="11" a="1"/>
  <c r="AR95" i="11" s="1"/>
  <c r="AK41" i="1" a="1"/>
  <c r="AK41" i="1" s="1"/>
  <c r="AP44" i="1" a="1"/>
  <c r="AP44" i="1" s="1"/>
  <c r="AW44" i="1" a="1"/>
  <c r="AW44" i="1" s="1"/>
  <c r="AN44" i="1" a="1"/>
  <c r="AN44" i="1" s="1"/>
  <c r="AR44" i="1" a="1"/>
  <c r="AR44" i="1" s="1"/>
  <c r="AJ44" i="1" a="1"/>
  <c r="AJ44" i="1" s="1"/>
  <c r="AQ44" i="1" a="1"/>
  <c r="AQ44" i="1" s="1"/>
  <c r="AU44" i="1" a="1"/>
  <c r="AU44" i="1" s="1"/>
  <c r="AO44" i="1" a="1"/>
  <c r="AO44" i="1" s="1"/>
  <c r="AV44" i="1" a="1"/>
  <c r="AV44" i="1" s="1"/>
  <c r="AM44" i="1" a="1"/>
  <c r="AM44" i="1" s="1"/>
  <c r="AS44" i="1" a="1"/>
  <c r="AS44" i="1" s="1"/>
  <c r="AK44" i="1" a="1"/>
  <c r="AK44" i="1" s="1"/>
  <c r="AL44" i="1" a="1"/>
  <c r="AL44" i="1" s="1"/>
  <c r="AJ98" i="11" a="1"/>
  <c r="AJ98" i="11" s="1"/>
  <c r="AV98" i="11" a="1"/>
  <c r="AV98" i="11" s="1"/>
  <c r="AQ98" i="11" a="1"/>
  <c r="AQ98" i="11" s="1"/>
  <c r="AO98" i="11" a="1"/>
  <c r="AO98" i="11" s="1"/>
  <c r="AN98" i="11" a="1"/>
  <c r="AN98" i="11" s="1"/>
  <c r="AR98" i="11" a="1"/>
  <c r="AR98" i="11" s="1"/>
  <c r="AU98" i="11" a="1"/>
  <c r="AU98" i="11" s="1"/>
  <c r="AW98" i="11" a="1"/>
  <c r="AW98" i="11" s="1"/>
  <c r="AP98" i="11" a="1"/>
  <c r="AP98" i="11" s="1"/>
  <c r="AL98" i="11" a="1"/>
  <c r="AL98" i="11" s="1"/>
  <c r="AK98" i="11" a="1"/>
  <c r="AK98" i="11" s="1"/>
  <c r="AS98" i="11" a="1"/>
  <c r="AS98" i="11" s="1"/>
  <c r="AM98" i="11" a="1"/>
  <c r="AM98" i="11" s="1"/>
  <c r="AW95" i="11" a="1"/>
  <c r="AW95" i="11" s="1"/>
  <c r="AJ95" i="11" a="1"/>
  <c r="AJ95" i="11" s="1"/>
  <c r="AN41" i="1" a="1"/>
  <c r="AN41" i="1" s="1"/>
  <c r="AR80" i="16" a="1"/>
  <c r="AR80" i="16" s="1"/>
  <c r="AQ42" i="1" a="1"/>
  <c r="AQ42" i="1" s="1"/>
  <c r="AO42" i="1" a="1"/>
  <c r="AO42" i="1" s="1"/>
  <c r="AM42" i="1" a="1"/>
  <c r="AM42" i="1" s="1"/>
  <c r="AN42" i="1" a="1"/>
  <c r="AN42" i="1" s="1"/>
  <c r="AJ42" i="1" a="1"/>
  <c r="AJ42" i="1" s="1"/>
  <c r="AP42" i="1" a="1"/>
  <c r="AP42" i="1" s="1"/>
  <c r="AS42" i="1" a="1"/>
  <c r="AS42" i="1" s="1"/>
  <c r="AW42" i="1" a="1"/>
  <c r="AW42" i="1" s="1"/>
  <c r="AK42" i="1" a="1"/>
  <c r="AK42" i="1" s="1"/>
  <c r="AL42" i="1" a="1"/>
  <c r="AL42" i="1" s="1"/>
  <c r="AV42" i="1" a="1"/>
  <c r="AV42" i="1" s="1"/>
  <c r="AR42" i="1" a="1"/>
  <c r="AR42" i="1" s="1"/>
  <c r="AU42" i="1" a="1"/>
  <c r="AU42" i="1" s="1"/>
  <c r="AS22" i="10" a="1"/>
  <c r="AS22" i="10" s="1"/>
  <c r="AH80" i="16"/>
  <c r="AP95" i="11" a="1"/>
  <c r="AP95" i="11" s="1"/>
  <c r="AO41" i="1" a="1"/>
  <c r="AO41" i="1" s="1"/>
  <c r="AS95" i="11" a="1"/>
  <c r="AS95" i="11" s="1"/>
  <c r="AQ41" i="1" a="1"/>
  <c r="AQ41" i="1" s="1"/>
  <c r="Z144" i="4"/>
  <c r="Z136" i="4"/>
  <c r="AG22" i="10"/>
  <c r="AG80" i="16" s="1"/>
  <c r="AG225" i="10"/>
  <c r="Z10" i="4"/>
  <c r="Z14" i="4"/>
  <c r="Z104" i="4"/>
  <c r="Z78" i="4"/>
  <c r="Z50" i="4"/>
  <c r="Z110" i="4"/>
  <c r="Z58" i="4"/>
  <c r="Z119" i="4"/>
  <c r="Z91" i="4"/>
  <c r="Z65" i="4"/>
  <c r="Z131" i="4"/>
  <c r="Z97" i="4"/>
  <c r="Z71" i="4"/>
  <c r="Z39" i="4"/>
  <c r="Y175" i="8"/>
  <c r="Y130" i="8"/>
  <c r="Y158" i="8"/>
  <c r="Y168" i="8"/>
  <c r="Y117" i="8"/>
  <c r="Y163" i="8"/>
  <c r="Y103" i="8"/>
  <c r="Y41" i="8"/>
  <c r="Y73" i="8"/>
  <c r="Y143" i="8"/>
  <c r="Y68" i="8"/>
  <c r="Y78" i="8"/>
  <c r="AH144" i="10"/>
  <c r="AG144" i="10"/>
  <c r="AG26" i="10" s="1"/>
  <c r="Y10" i="8"/>
  <c r="AA8" i="8"/>
  <c r="Z5" i="8"/>
  <c r="Z7" i="8"/>
  <c r="Z6" i="8" s="1"/>
  <c r="Z9" i="8"/>
  <c r="Z19" i="8" s="1"/>
  <c r="AA9" i="4"/>
  <c r="AA7" i="4"/>
  <c r="AA6" i="4" s="1"/>
  <c r="AB8" i="4"/>
  <c r="AA5" i="4"/>
  <c r="Z164" i="5"/>
  <c r="Z71" i="5"/>
  <c r="Z177" i="5"/>
  <c r="Z46" i="5"/>
  <c r="Z76" i="5"/>
  <c r="Z134" i="5"/>
  <c r="Z141" i="5"/>
  <c r="Z129" i="5"/>
  <c r="Z101" i="5"/>
  <c r="Z124" i="5"/>
  <c r="Z52" i="5"/>
  <c r="Z62" i="5"/>
  <c r="Z35" i="5"/>
  <c r="Z10" i="5"/>
  <c r="Z83" i="5"/>
  <c r="AA7" i="5"/>
  <c r="AA6" i="5" s="1"/>
  <c r="AA5" i="5"/>
  <c r="AA9" i="5"/>
  <c r="AA14" i="5" s="1"/>
  <c r="AB8" i="5"/>
  <c r="AF69" i="5"/>
  <c r="AV27" i="5" l="1"/>
  <c r="AJ27" i="5"/>
  <c r="AR27" i="5"/>
  <c r="AK27" i="5"/>
  <c r="AS27" i="5"/>
  <c r="AM27" i="5"/>
  <c r="AO27" i="5"/>
  <c r="AW27" i="5"/>
  <c r="AL27" i="5"/>
  <c r="AP27" i="5"/>
  <c r="AN27" i="5"/>
  <c r="AQ27" i="5"/>
  <c r="AU27" i="5"/>
  <c r="AF15" i="5"/>
  <c r="AH26" i="10"/>
  <c r="AW26" i="10" s="1"/>
  <c r="AV144" i="10"/>
  <c r="AV146" i="10" s="1"/>
  <c r="AR144" i="10" a="1"/>
  <c r="AR144" i="10" s="1"/>
  <c r="AR146" i="10" s="1"/>
  <c r="AS144" i="10" a="1"/>
  <c r="AS144" i="10" s="1"/>
  <c r="AS146" i="10" s="1"/>
  <c r="AW144" i="10"/>
  <c r="AW146" i="10" s="1"/>
  <c r="AO47" i="1"/>
  <c r="AQ47" i="1"/>
  <c r="AV47" i="1"/>
  <c r="AM47" i="1"/>
  <c r="AW80" i="16"/>
  <c r="AS80" i="16" a="1"/>
  <c r="AS80" i="16" s="1"/>
  <c r="AK47" i="1"/>
  <c r="AJ47" i="1"/>
  <c r="AS26" i="10" a="1"/>
  <c r="AS26" i="10" s="1"/>
  <c r="AP47" i="1"/>
  <c r="AN47" i="1"/>
  <c r="AU47" i="1"/>
  <c r="AR47" i="1"/>
  <c r="AS47" i="1"/>
  <c r="AL47" i="1"/>
  <c r="AW47" i="1"/>
  <c r="AA144" i="4"/>
  <c r="AA136" i="4"/>
  <c r="AA10" i="4"/>
  <c r="AA110" i="4"/>
  <c r="AA58" i="4"/>
  <c r="AA119" i="4"/>
  <c r="AA91" i="4"/>
  <c r="AA65" i="4"/>
  <c r="AA104" i="4"/>
  <c r="AA131" i="4"/>
  <c r="AA97" i="4"/>
  <c r="AA71" i="4"/>
  <c r="AA39" i="4"/>
  <c r="AA50" i="4"/>
  <c r="AA14" i="4"/>
  <c r="AA78" i="4"/>
  <c r="Z175" i="8"/>
  <c r="Z130" i="8"/>
  <c r="Z117" i="8"/>
  <c r="Z158" i="8"/>
  <c r="Z168" i="8"/>
  <c r="Z163" i="8"/>
  <c r="Z103" i="8"/>
  <c r="Z41" i="8"/>
  <c r="Z73" i="8"/>
  <c r="Z143" i="8"/>
  <c r="Z68" i="8"/>
  <c r="Z78" i="8"/>
  <c r="AA5" i="8"/>
  <c r="AA9" i="8"/>
  <c r="AA19" i="8" s="1"/>
  <c r="AA7" i="8"/>
  <c r="AA6" i="8" s="1"/>
  <c r="AB8" i="8"/>
  <c r="Z10" i="8"/>
  <c r="AB7" i="4"/>
  <c r="AB6" i="4" s="1"/>
  <c r="AQ6" i="4" s="1"/>
  <c r="AC8" i="4"/>
  <c r="AB5" i="4"/>
  <c r="AQ5" i="4" s="1"/>
  <c r="AB9" i="4"/>
  <c r="AA177" i="5"/>
  <c r="AA46" i="5"/>
  <c r="AA76" i="5"/>
  <c r="AA164" i="5"/>
  <c r="AA71" i="5"/>
  <c r="AA134" i="5"/>
  <c r="AA141" i="5"/>
  <c r="AH69" i="5"/>
  <c r="AG69" i="5"/>
  <c r="AB9" i="5"/>
  <c r="AB14" i="5" s="1"/>
  <c r="AC8" i="5"/>
  <c r="AB5" i="5"/>
  <c r="AB7" i="5"/>
  <c r="AB6" i="5" s="1"/>
  <c r="AA83" i="5"/>
  <c r="AA129" i="5"/>
  <c r="AA101" i="5"/>
  <c r="AA124" i="5"/>
  <c r="AA35" i="5"/>
  <c r="AA10" i="5"/>
  <c r="AA62" i="5"/>
  <c r="AA52" i="5"/>
  <c r="AQ10" i="4" l="1"/>
  <c r="AQ91" i="4" s="1"/>
  <c r="AH15" i="5"/>
  <c r="AG15" i="5"/>
  <c r="AB144" i="4"/>
  <c r="AB136" i="4"/>
  <c r="AB10" i="4"/>
  <c r="AB110" i="4"/>
  <c r="AB58" i="4"/>
  <c r="AB119" i="4"/>
  <c r="AB91" i="4"/>
  <c r="AB65" i="4"/>
  <c r="AB131" i="4"/>
  <c r="AB97" i="4"/>
  <c r="AB71" i="4"/>
  <c r="AB39" i="4"/>
  <c r="AB14" i="4"/>
  <c r="AB104" i="4"/>
  <c r="AB78" i="4"/>
  <c r="AB50" i="4"/>
  <c r="AA130" i="8"/>
  <c r="AA158" i="8"/>
  <c r="AA175" i="8"/>
  <c r="AA163" i="8"/>
  <c r="AA103" i="8"/>
  <c r="AA168" i="8"/>
  <c r="AA117" i="8"/>
  <c r="AA41" i="8"/>
  <c r="AA68" i="8"/>
  <c r="AA78" i="8"/>
  <c r="AA73" i="8"/>
  <c r="AA143" i="8"/>
  <c r="AC8" i="8"/>
  <c r="AB9" i="8"/>
  <c r="AB19" i="8" s="1"/>
  <c r="AB7" i="8"/>
  <c r="AB6" i="8" s="1"/>
  <c r="AB5" i="8"/>
  <c r="AA10" i="8"/>
  <c r="AD8" i="4"/>
  <c r="AC5" i="4"/>
  <c r="AC9" i="4"/>
  <c r="AC7" i="4"/>
  <c r="AC6" i="4" s="1"/>
  <c r="AB164" i="5"/>
  <c r="AB177" i="5"/>
  <c r="AB46" i="5"/>
  <c r="AB76" i="5"/>
  <c r="AB71" i="5"/>
  <c r="AB134" i="5"/>
  <c r="AB141" i="5"/>
  <c r="AC9" i="5"/>
  <c r="AC14" i="5" s="1"/>
  <c r="AC7" i="5"/>
  <c r="AC6" i="5" s="1"/>
  <c r="AD8" i="5"/>
  <c r="AC5" i="5"/>
  <c r="AB101" i="5"/>
  <c r="AB83" i="5"/>
  <c r="AB124" i="5"/>
  <c r="AB129" i="5"/>
  <c r="AB52" i="5"/>
  <c r="AB62" i="5"/>
  <c r="AB35" i="5"/>
  <c r="AB10" i="5"/>
  <c r="AQ110" i="4" l="1"/>
  <c r="AQ84" i="4"/>
  <c r="AQ65" i="4"/>
  <c r="AQ78" i="4"/>
  <c r="AQ119" i="4"/>
  <c r="AQ39" i="4"/>
  <c r="AQ50" i="4"/>
  <c r="AQ104" i="4"/>
  <c r="AQ136" i="4"/>
  <c r="AQ131" i="4"/>
  <c r="AQ14" i="4"/>
  <c r="AQ58" i="4"/>
  <c r="AQ97" i="4"/>
  <c r="AQ144" i="4"/>
  <c r="AQ71" i="4"/>
  <c r="AO15" i="5" a="1"/>
  <c r="AO15" i="5" s="1"/>
  <c r="AU15" i="5" a="1"/>
  <c r="AU15" i="5" s="1"/>
  <c r="AK15" i="5" a="1"/>
  <c r="AK15" i="5" s="1"/>
  <c r="AV15" i="5" a="1"/>
  <c r="AV15" i="5" s="1"/>
  <c r="AR15" i="5" a="1"/>
  <c r="AR15" i="5" s="1"/>
  <c r="AP15" i="5" a="1"/>
  <c r="AP15" i="5" s="1"/>
  <c r="AW15" i="5" a="1"/>
  <c r="AW15" i="5" s="1"/>
  <c r="AS15" i="5" a="1"/>
  <c r="AS15" i="5" s="1"/>
  <c r="AN15" i="5" a="1"/>
  <c r="AN15" i="5" s="1"/>
  <c r="AJ15" i="5" a="1"/>
  <c r="AJ15" i="5" s="1"/>
  <c r="AM15" i="5" a="1"/>
  <c r="AM15" i="5" s="1"/>
  <c r="AL15" i="5" a="1"/>
  <c r="AL15" i="5" s="1"/>
  <c r="AQ15" i="5" a="1"/>
  <c r="AQ15" i="5" s="1"/>
  <c r="AC144" i="4"/>
  <c r="AC136" i="4"/>
  <c r="AC10" i="4"/>
  <c r="AC65" i="4"/>
  <c r="AC119" i="4"/>
  <c r="AC91" i="4"/>
  <c r="AC131" i="4"/>
  <c r="AC97" i="4"/>
  <c r="AC71" i="4"/>
  <c r="AC110" i="4"/>
  <c r="AC14" i="4"/>
  <c r="AC104" i="4"/>
  <c r="AC78" i="4"/>
  <c r="AC50" i="4"/>
  <c r="AC58" i="4"/>
  <c r="AC39" i="4"/>
  <c r="AB158" i="8"/>
  <c r="AB163" i="8"/>
  <c r="AB103" i="8"/>
  <c r="AB168" i="8"/>
  <c r="AB117" i="8"/>
  <c r="AB130" i="8"/>
  <c r="AB175" i="8"/>
  <c r="AB41" i="8"/>
  <c r="AB68" i="8"/>
  <c r="AB78" i="8"/>
  <c r="AB143" i="8"/>
  <c r="AB73" i="8"/>
  <c r="AB10" i="8"/>
  <c r="AC9" i="8"/>
  <c r="AC19" i="8" s="1"/>
  <c r="AC7" i="8"/>
  <c r="AC6" i="8" s="1"/>
  <c r="AD8" i="8"/>
  <c r="AC5" i="8"/>
  <c r="AE8" i="4"/>
  <c r="AD5" i="4"/>
  <c r="AD9" i="4"/>
  <c r="AD7" i="4"/>
  <c r="AD6" i="4" s="1"/>
  <c r="AC177" i="5"/>
  <c r="AC46" i="5"/>
  <c r="AC76" i="5"/>
  <c r="AC71" i="5"/>
  <c r="AC164" i="5"/>
  <c r="AC134" i="5"/>
  <c r="AC141" i="5"/>
  <c r="AD7" i="5"/>
  <c r="AD6" i="5" s="1"/>
  <c r="AD5" i="5"/>
  <c r="AD9" i="5"/>
  <c r="AD14" i="5" s="1"/>
  <c r="AE8" i="5"/>
  <c r="AC101" i="5"/>
  <c r="AC124" i="5"/>
  <c r="AC129" i="5"/>
  <c r="AC83" i="5"/>
  <c r="AC35" i="5"/>
  <c r="AC10" i="5"/>
  <c r="AC52" i="5"/>
  <c r="AC62" i="5"/>
  <c r="AD144" i="4" l="1"/>
  <c r="AD136" i="4"/>
  <c r="AD10" i="4"/>
  <c r="AD119" i="4"/>
  <c r="AD91" i="4"/>
  <c r="AD65" i="4"/>
  <c r="AD131" i="4"/>
  <c r="AD97" i="4"/>
  <c r="AD71" i="4"/>
  <c r="AD14" i="4"/>
  <c r="AD104" i="4"/>
  <c r="AD78" i="4"/>
  <c r="AD50" i="4"/>
  <c r="AD39" i="4"/>
  <c r="AD110" i="4"/>
  <c r="AD58" i="4"/>
  <c r="AC163" i="8"/>
  <c r="AC103" i="8"/>
  <c r="AC158" i="8"/>
  <c r="AC168" i="8"/>
  <c r="AC117" i="8"/>
  <c r="AC175" i="8"/>
  <c r="AC130" i="8"/>
  <c r="AC41" i="8"/>
  <c r="AC78" i="8"/>
  <c r="AC143" i="8"/>
  <c r="AC68" i="8"/>
  <c r="AC73" i="8"/>
  <c r="AC10" i="8"/>
  <c r="AD9" i="8"/>
  <c r="AD19" i="8" s="1"/>
  <c r="AD7" i="8"/>
  <c r="AD6" i="8" s="1"/>
  <c r="AD5" i="8"/>
  <c r="AE8" i="8"/>
  <c r="AE5" i="4"/>
  <c r="AE9" i="4"/>
  <c r="AF8" i="4"/>
  <c r="AE7" i="4"/>
  <c r="AE6" i="4" s="1"/>
  <c r="AD177" i="5"/>
  <c r="AD46" i="5"/>
  <c r="AD76" i="5"/>
  <c r="AD164" i="5"/>
  <c r="AD71" i="5"/>
  <c r="AD134" i="5"/>
  <c r="AD141" i="5"/>
  <c r="AF8" i="5"/>
  <c r="AE5" i="5"/>
  <c r="AE9" i="5"/>
  <c r="AE14" i="5" s="1"/>
  <c r="AE7" i="5"/>
  <c r="AE6" i="5" s="1"/>
  <c r="AD101" i="5"/>
  <c r="AD124" i="5"/>
  <c r="AD129" i="5"/>
  <c r="AD52" i="5"/>
  <c r="AD62" i="5"/>
  <c r="AD35" i="5"/>
  <c r="AD83" i="5"/>
  <c r="AD10" i="5"/>
  <c r="AE144" i="4" l="1"/>
  <c r="AE136" i="4"/>
  <c r="AE10" i="4"/>
  <c r="AE39" i="4"/>
  <c r="AE71" i="4"/>
  <c r="AE131" i="4"/>
  <c r="AE97" i="4"/>
  <c r="AE14" i="4"/>
  <c r="AE104" i="4"/>
  <c r="AE78" i="4"/>
  <c r="AE50" i="4"/>
  <c r="AE65" i="4"/>
  <c r="AE110" i="4"/>
  <c r="AE58" i="4"/>
  <c r="AE119" i="4"/>
  <c r="AE91" i="4"/>
  <c r="AD163" i="8"/>
  <c r="AD103" i="8"/>
  <c r="AD158" i="8"/>
  <c r="AD168" i="8"/>
  <c r="AD117" i="8"/>
  <c r="AD175" i="8"/>
  <c r="AD130" i="8"/>
  <c r="AD41" i="8"/>
  <c r="AD78" i="8"/>
  <c r="AD143" i="8"/>
  <c r="AD73" i="8"/>
  <c r="AD68" i="8"/>
  <c r="AD10" i="8"/>
  <c r="AE7" i="8"/>
  <c r="AE6" i="8" s="1"/>
  <c r="AF8" i="8"/>
  <c r="AE9" i="8"/>
  <c r="AE19" i="8" s="1"/>
  <c r="AE5" i="8"/>
  <c r="AF5" i="4"/>
  <c r="AF9" i="4"/>
  <c r="AF7" i="4"/>
  <c r="AF6" i="4" s="1"/>
  <c r="AG8" i="4"/>
  <c r="AE76" i="5"/>
  <c r="AE177" i="5"/>
  <c r="AE164" i="5"/>
  <c r="AE71" i="5"/>
  <c r="AE46" i="5"/>
  <c r="AE134" i="5"/>
  <c r="AE141" i="5"/>
  <c r="AE124" i="5"/>
  <c r="AE129" i="5"/>
  <c r="AE52" i="5"/>
  <c r="AE62" i="5"/>
  <c r="AE35" i="5"/>
  <c r="AE83" i="5"/>
  <c r="AE101" i="5"/>
  <c r="AE10" i="5"/>
  <c r="AG8" i="5"/>
  <c r="AF9" i="5"/>
  <c r="AF14" i="5" s="1"/>
  <c r="AF7" i="5"/>
  <c r="AF6" i="5" s="1"/>
  <c r="AF5" i="5"/>
  <c r="AF144" i="4" l="1"/>
  <c r="AF136" i="4"/>
  <c r="AF10" i="4"/>
  <c r="AF131" i="4"/>
  <c r="AF97" i="4"/>
  <c r="AF71" i="4"/>
  <c r="AF39" i="4"/>
  <c r="AF14" i="4"/>
  <c r="AF104" i="4"/>
  <c r="AF78" i="4"/>
  <c r="AF50" i="4"/>
  <c r="AF110" i="4"/>
  <c r="AF58" i="4"/>
  <c r="AF119" i="4"/>
  <c r="AF91" i="4"/>
  <c r="AF65" i="4"/>
  <c r="AE163" i="8"/>
  <c r="AE103" i="8"/>
  <c r="AE168" i="8"/>
  <c r="AE117" i="8"/>
  <c r="AE175" i="8"/>
  <c r="AE130" i="8"/>
  <c r="AE158" i="8"/>
  <c r="AE41" i="8"/>
  <c r="AE143" i="8"/>
  <c r="AE73" i="8"/>
  <c r="AE78" i="8"/>
  <c r="AE68" i="8"/>
  <c r="AE10" i="8"/>
  <c r="AG8" i="8"/>
  <c r="AF7" i="8"/>
  <c r="AF6" i="8" s="1"/>
  <c r="AF5" i="8"/>
  <c r="AF9" i="8"/>
  <c r="AF19" i="8" s="1"/>
  <c r="AG9" i="4"/>
  <c r="AG7" i="4"/>
  <c r="AG6" i="4" s="1"/>
  <c r="AG5" i="4"/>
  <c r="AH8" i="4"/>
  <c r="AF177" i="5"/>
  <c r="AF46" i="5"/>
  <c r="AF76" i="5"/>
  <c r="AF164" i="5"/>
  <c r="AF71" i="5"/>
  <c r="AF134" i="5"/>
  <c r="AF141" i="5"/>
  <c r="AF124" i="5"/>
  <c r="AF129" i="5"/>
  <c r="AF52" i="5"/>
  <c r="AF35" i="5"/>
  <c r="AF101" i="5"/>
  <c r="AF10" i="5"/>
  <c r="AF83" i="5"/>
  <c r="AF62" i="5"/>
  <c r="AG5" i="5"/>
  <c r="AG9" i="5"/>
  <c r="AG14" i="5" s="1"/>
  <c r="AG7" i="5"/>
  <c r="AG6" i="5" s="1"/>
  <c r="AH8" i="5"/>
  <c r="AP42" i="4" l="1" a="1"/>
  <c r="AP42" i="4" s="1"/>
  <c r="AP44" i="4" a="1"/>
  <c r="AP44" i="4" s="1"/>
  <c r="AQ46" i="4" a="1"/>
  <c r="AQ46" i="4" s="1"/>
  <c r="AG144" i="4"/>
  <c r="AG136" i="4"/>
  <c r="AG10" i="4"/>
  <c r="AG14" i="4"/>
  <c r="AG104" i="4"/>
  <c r="AG78" i="4"/>
  <c r="AG50" i="4"/>
  <c r="AG39" i="4"/>
  <c r="AG58" i="4"/>
  <c r="AG110" i="4"/>
  <c r="AG131" i="4"/>
  <c r="AG97" i="4"/>
  <c r="AG119" i="4"/>
  <c r="AG91" i="4"/>
  <c r="AG65" i="4"/>
  <c r="AG71" i="4"/>
  <c r="AF168" i="8"/>
  <c r="AF117" i="8"/>
  <c r="AF163" i="8"/>
  <c r="AF103" i="8"/>
  <c r="AF175" i="8"/>
  <c r="AF130" i="8"/>
  <c r="AF158" i="8"/>
  <c r="AF41" i="8"/>
  <c r="AF143" i="8"/>
  <c r="AF73" i="8"/>
  <c r="AF68" i="8"/>
  <c r="AF78" i="8"/>
  <c r="AH8" i="8"/>
  <c r="AG9" i="8"/>
  <c r="AG19" i="8" s="1"/>
  <c r="AG5" i="8"/>
  <c r="AG7" i="8"/>
  <c r="AG6" i="8" s="1"/>
  <c r="AF10" i="8"/>
  <c r="AH9" i="4"/>
  <c r="AH7" i="4"/>
  <c r="AH6" i="4" s="1"/>
  <c r="AH5" i="4"/>
  <c r="AG164" i="5"/>
  <c r="AG71" i="5"/>
  <c r="AG177" i="5"/>
  <c r="AG46" i="5"/>
  <c r="AG76" i="5"/>
  <c r="AG134" i="5"/>
  <c r="AG141" i="5"/>
  <c r="AH5" i="5"/>
  <c r="AH9" i="5"/>
  <c r="AH14" i="5" s="1"/>
  <c r="AH7" i="5"/>
  <c r="AH6" i="5" s="1"/>
  <c r="AG124" i="5"/>
  <c r="AG129" i="5"/>
  <c r="AG101" i="5"/>
  <c r="AG52" i="5"/>
  <c r="AG62" i="5"/>
  <c r="AG35" i="5"/>
  <c r="AG83" i="5"/>
  <c r="AG10" i="5"/>
  <c r="AS134" i="4" l="1" a="1"/>
  <c r="AS134" i="4" s="1"/>
  <c r="AS44" i="4" a="1"/>
  <c r="AS44" i="4" s="1"/>
  <c r="AR134" i="4" a="1"/>
  <c r="AR134" i="4" s="1"/>
  <c r="AR46" i="4" a="1"/>
  <c r="AR46" i="4" s="1"/>
  <c r="AR44" i="4" a="1"/>
  <c r="AR44" i="4" s="1"/>
  <c r="AS42" i="4" a="1"/>
  <c r="AS42" i="4" s="1"/>
  <c r="AJ42" i="4" a="1"/>
  <c r="AJ42" i="4" s="1"/>
  <c r="AS46" i="4" a="1"/>
  <c r="AS46" i="4" s="1"/>
  <c r="AJ46" i="4" a="1"/>
  <c r="AJ46" i="4" s="1"/>
  <c r="AR42" i="4" a="1"/>
  <c r="AR42" i="4" s="1"/>
  <c r="AJ44" i="4" a="1"/>
  <c r="AJ44" i="4" s="1"/>
  <c r="AR40" i="4" a="1"/>
  <c r="AR40" i="4" s="1"/>
  <c r="AS40" i="4" a="1"/>
  <c r="AS40" i="4" s="1"/>
  <c r="AJ134" i="4" a="1"/>
  <c r="AJ134" i="4" s="1"/>
  <c r="AJ40" i="4" a="1"/>
  <c r="AJ40" i="4" s="1"/>
  <c r="AU40" i="4" a="1"/>
  <c r="AU40" i="4" s="1"/>
  <c r="AU134" i="4" a="1"/>
  <c r="AU134" i="4" s="1"/>
  <c r="AU9" i="4"/>
  <c r="AU46" i="4" a="1"/>
  <c r="AU46" i="4" s="1"/>
  <c r="AV44" i="4" a="1"/>
  <c r="AV44" i="4" s="1"/>
  <c r="AV9" i="4"/>
  <c r="AV46" i="4" a="1"/>
  <c r="AV46" i="4" s="1"/>
  <c r="AV42" i="4" a="1"/>
  <c r="AV42" i="4" s="1"/>
  <c r="AU42" i="4" a="1"/>
  <c r="AU42" i="4" s="1"/>
  <c r="AU44" i="4" a="1"/>
  <c r="AU44" i="4" s="1"/>
  <c r="AV134" i="4" a="1"/>
  <c r="AV134" i="4" s="1"/>
  <c r="AW42" i="4" a="1"/>
  <c r="AW42" i="4" s="1"/>
  <c r="AW9" i="4"/>
  <c r="AW46" i="4" a="1"/>
  <c r="AW46" i="4" s="1"/>
  <c r="AW134" i="4" a="1"/>
  <c r="AW134" i="4" s="1"/>
  <c r="AW40" i="4" a="1"/>
  <c r="AW40" i="4" s="1"/>
  <c r="AV40" i="4" a="1"/>
  <c r="AV40" i="4" s="1"/>
  <c r="AK42" i="4" a="1"/>
  <c r="AK42" i="4" s="1"/>
  <c r="AK46" i="4" a="1"/>
  <c r="AK46" i="4" s="1"/>
  <c r="AK44" i="4" a="1"/>
  <c r="AK44" i="4" s="1"/>
  <c r="AW44" i="4" a="1"/>
  <c r="AW44" i="4" s="1"/>
  <c r="AK134" i="4" a="1"/>
  <c r="AK134" i="4" s="1"/>
  <c r="AK40" i="4" a="1"/>
  <c r="AK40" i="4" s="1"/>
  <c r="AL44" i="4" a="1"/>
  <c r="AL44" i="4" s="1"/>
  <c r="AP45" i="4" s="1"/>
  <c r="AL42" i="4" a="1"/>
  <c r="AL42" i="4" s="1"/>
  <c r="AP43" i="4" s="1"/>
  <c r="AL46" i="4" a="1"/>
  <c r="AL46" i="4" s="1"/>
  <c r="AL134" i="4" a="1"/>
  <c r="AL134" i="4" s="1"/>
  <c r="AL40" i="4" a="1"/>
  <c r="AL40" i="4" s="1"/>
  <c r="AM46" i="4" a="1"/>
  <c r="AM46" i="4" s="1"/>
  <c r="AQ47" i="4" s="1"/>
  <c r="AM134" i="4" a="1"/>
  <c r="AM134" i="4" s="1"/>
  <c r="AM44" i="4" a="1"/>
  <c r="AM44" i="4" s="1"/>
  <c r="AM40" i="4" a="1"/>
  <c r="AM40" i="4" s="1"/>
  <c r="AN134" i="4" a="1"/>
  <c r="AN134" i="4" s="1"/>
  <c r="AN44" i="4" a="1"/>
  <c r="AN44" i="4" s="1"/>
  <c r="AM42" i="4" a="1"/>
  <c r="AM42" i="4" s="1"/>
  <c r="AN46" i="4" a="1"/>
  <c r="AN46" i="4" s="1"/>
  <c r="AN42" i="4" a="1"/>
  <c r="AN42" i="4" s="1"/>
  <c r="AN40" i="4" a="1"/>
  <c r="AN40" i="4" s="1"/>
  <c r="AO40" i="4" a="1"/>
  <c r="AO40" i="4" s="1"/>
  <c r="AO44" i="4" a="1"/>
  <c r="AO44" i="4" s="1"/>
  <c r="AO46" i="4" a="1"/>
  <c r="AO46" i="4" s="1"/>
  <c r="AO42" i="4" a="1"/>
  <c r="AO42" i="4" s="1"/>
  <c r="AO134" i="4" a="1"/>
  <c r="AO134" i="4" s="1"/>
  <c r="AP46" i="4" a="1"/>
  <c r="AP46" i="4" s="1"/>
  <c r="AP134" i="4" a="1"/>
  <c r="AP134" i="4" s="1"/>
  <c r="AP40" i="4" a="1"/>
  <c r="AP40" i="4" s="1"/>
  <c r="AQ40" i="4" a="1"/>
  <c r="AQ40" i="4" s="1"/>
  <c r="AQ134" i="4" a="1"/>
  <c r="AQ134" i="4" s="1"/>
  <c r="AQ44" i="4" a="1"/>
  <c r="AQ44" i="4" s="1"/>
  <c r="AQ42" i="4" a="1"/>
  <c r="AQ42" i="4" s="1"/>
  <c r="AH144" i="4"/>
  <c r="AH136" i="4"/>
  <c r="AH10" i="4"/>
  <c r="AH14" i="4"/>
  <c r="AH104" i="4"/>
  <c r="AH78" i="4"/>
  <c r="AH50" i="4"/>
  <c r="AH110" i="4"/>
  <c r="AH58" i="4"/>
  <c r="AH39" i="4"/>
  <c r="AH119" i="4"/>
  <c r="AH91" i="4"/>
  <c r="AH65" i="4"/>
  <c r="AH131" i="4"/>
  <c r="AH97" i="4"/>
  <c r="AH71" i="4"/>
  <c r="AG175" i="8"/>
  <c r="AG130" i="8"/>
  <c r="AG117" i="8"/>
  <c r="AG158" i="8"/>
  <c r="AG168" i="8"/>
  <c r="AG163" i="8"/>
  <c r="AG103" i="8"/>
  <c r="AG41" i="8"/>
  <c r="AG73" i="8"/>
  <c r="AG68" i="8"/>
  <c r="AG143" i="8"/>
  <c r="AG78" i="8"/>
  <c r="AG10" i="8"/>
  <c r="AH5" i="8"/>
  <c r="AH7" i="8"/>
  <c r="AH6" i="8" s="1"/>
  <c r="AH9" i="8"/>
  <c r="AH19" i="8" s="1"/>
  <c r="AH164" i="5"/>
  <c r="AH71" i="5"/>
  <c r="AH177" i="5"/>
  <c r="AH46" i="5"/>
  <c r="AH76" i="5"/>
  <c r="AH134" i="5"/>
  <c r="AH141" i="5"/>
  <c r="AH129" i="5"/>
  <c r="AH101" i="5"/>
  <c r="AH83" i="5"/>
  <c r="AH124" i="5"/>
  <c r="AH62" i="5"/>
  <c r="AH10" i="5"/>
  <c r="AH35" i="5"/>
  <c r="AH52" i="5"/>
  <c r="AW45" i="4" l="1"/>
  <c r="AO43" i="4"/>
  <c r="AN47" i="4"/>
  <c r="AP47" i="4"/>
  <c r="AQ45" i="4"/>
  <c r="AO47" i="4"/>
  <c r="AQ43" i="4"/>
  <c r="AO45" i="4"/>
  <c r="AN45" i="4"/>
  <c r="AK48" i="4"/>
  <c r="AN43" i="4"/>
  <c r="AL48" i="4"/>
  <c r="AJ48" i="4"/>
  <c r="AS47" i="4"/>
  <c r="AR47" i="4"/>
  <c r="AW41" i="4"/>
  <c r="AW48" i="4"/>
  <c r="AW47" i="4"/>
  <c r="AU48" i="4"/>
  <c r="AS41" i="4"/>
  <c r="AS48" i="4"/>
  <c r="AM48" i="4"/>
  <c r="AR41" i="4"/>
  <c r="AR48" i="4"/>
  <c r="AQ41" i="4"/>
  <c r="AQ48" i="4"/>
  <c r="AO41" i="4"/>
  <c r="AO48" i="4"/>
  <c r="AW43" i="4"/>
  <c r="AR43" i="4"/>
  <c r="AP41" i="4"/>
  <c r="AP48" i="4"/>
  <c r="AN41" i="4"/>
  <c r="AN48" i="4"/>
  <c r="AS45" i="4"/>
  <c r="AR45" i="4"/>
  <c r="AV48" i="4"/>
  <c r="AS43" i="4"/>
  <c r="AH175" i="8"/>
  <c r="AH130" i="8"/>
  <c r="AH168" i="8"/>
  <c r="AH158" i="8"/>
  <c r="AH163" i="8"/>
  <c r="AH103" i="8"/>
  <c r="AH117" i="8"/>
  <c r="AH41" i="8"/>
  <c r="AH73" i="8"/>
  <c r="AH68" i="8"/>
  <c r="AH143" i="8"/>
  <c r="AH78" i="8"/>
  <c r="AH10" i="8"/>
  <c r="E56" i="10" l="1"/>
  <c r="E58" i="10" l="1"/>
  <c r="E78" i="5"/>
  <c r="G76" i="10" l="1"/>
  <c r="H76" i="10" l="1"/>
  <c r="I76" i="10" l="1"/>
  <c r="J76" i="10" l="1"/>
  <c r="K76" i="10" l="1"/>
  <c r="L76" i="10" l="1"/>
  <c r="M76" i="10" l="1"/>
  <c r="N76" i="10" l="1"/>
  <c r="O76" i="10" l="1"/>
  <c r="P76" i="10" l="1"/>
  <c r="Q76" i="10" l="1"/>
  <c r="Q92" i="4" l="1"/>
  <c r="AC92" i="4" s="1"/>
  <c r="X92" i="4" l="1"/>
  <c r="Z92" i="4"/>
  <c r="Y92" i="4"/>
  <c r="W92" i="4"/>
  <c r="AA92" i="4"/>
  <c r="AB92" i="4"/>
  <c r="R92" i="4"/>
  <c r="AD92" i="4" s="1"/>
  <c r="U92" i="4"/>
  <c r="AG92" i="4" s="1"/>
  <c r="T92" i="4"/>
  <c r="AF92" i="4" s="1"/>
  <c r="S92" i="4"/>
  <c r="AE92" i="4" s="1"/>
  <c r="V92" i="4"/>
  <c r="AH92" i="4" s="1"/>
  <c r="Q93" i="4" l="1"/>
  <c r="AC93" i="4" s="1"/>
  <c r="Q94" i="4" l="1"/>
  <c r="AC94" i="4" s="1"/>
  <c r="Q95" i="4"/>
  <c r="AC95" i="4" s="1"/>
  <c r="Y93" i="4" l="1"/>
  <c r="X93" i="4"/>
  <c r="T93" i="4"/>
  <c r="AA93" i="4"/>
  <c r="U93" i="4"/>
  <c r="AG93" i="4" s="1"/>
  <c r="Z93" i="4"/>
  <c r="W93" i="4"/>
  <c r="S93" i="4"/>
  <c r="AE93" i="4" s="1"/>
  <c r="R93" i="4"/>
  <c r="AB93" i="4"/>
  <c r="V93" i="4"/>
  <c r="AD93" i="4" l="1"/>
  <c r="AH93" i="4"/>
  <c r="AF93" i="4"/>
  <c r="V94" i="4" l="1"/>
  <c r="AH94" i="4" s="1"/>
  <c r="Z94" i="4"/>
  <c r="Y94" i="4"/>
  <c r="AA94" i="4"/>
  <c r="AB94" i="4"/>
  <c r="W94" i="4"/>
  <c r="S94" i="4"/>
  <c r="AE94" i="4" s="1"/>
  <c r="R94" i="4"/>
  <c r="AD94" i="4" s="1"/>
  <c r="X94" i="4"/>
  <c r="U94" i="4"/>
  <c r="T94" i="4"/>
  <c r="AG94" i="4" l="1"/>
  <c r="AF94" i="4"/>
  <c r="Z95" i="4" l="1"/>
  <c r="X95" i="4"/>
  <c r="Y95" i="4"/>
  <c r="U95" i="4"/>
  <c r="AG95" i="4" s="1"/>
  <c r="W95" i="4"/>
  <c r="R95" i="4"/>
  <c r="AD95" i="4" s="1"/>
  <c r="AB95" i="4"/>
  <c r="V95" i="4"/>
  <c r="AA95" i="4"/>
  <c r="S95" i="4"/>
  <c r="T95" i="4"/>
  <c r="AE95" i="4" l="1"/>
  <c r="AH95" i="4"/>
  <c r="AF95" i="4"/>
  <c r="AA82" i="4"/>
  <c r="S82" i="4"/>
  <c r="AE82" i="4" s="1"/>
  <c r="T81" i="4"/>
  <c r="AF81" i="4" s="1"/>
  <c r="V81" i="4"/>
  <c r="AH81" i="4" s="1"/>
  <c r="S81" i="4"/>
  <c r="AE81" i="4" s="1"/>
  <c r="AB81" i="4"/>
  <c r="W80" i="4"/>
  <c r="R80" i="4"/>
  <c r="AD80" i="4" s="1"/>
  <c r="J18" i="4"/>
  <c r="K18" i="4"/>
  <c r="O18" i="4"/>
  <c r="N18" i="4"/>
  <c r="G18" i="4"/>
  <c r="H18" i="4"/>
  <c r="L18" i="4"/>
  <c r="M18" i="4"/>
  <c r="I18" i="4"/>
  <c r="F18" i="4"/>
  <c r="P18" i="4"/>
  <c r="AB53" i="4"/>
  <c r="M16" i="4"/>
  <c r="F16" i="4"/>
  <c r="P16" i="4"/>
  <c r="K16" i="4"/>
  <c r="G16" i="4"/>
  <c r="N16" i="4"/>
  <c r="I16" i="4"/>
  <c r="J16" i="4"/>
  <c r="L16" i="4"/>
  <c r="E18" i="4"/>
  <c r="H16" i="4"/>
  <c r="O16" i="4"/>
  <c r="E16" i="4"/>
  <c r="X52" i="4"/>
  <c r="X60" i="4" s="1"/>
  <c r="V53" i="4"/>
  <c r="U51" i="4"/>
  <c r="U59" i="4" s="1"/>
  <c r="AB51" i="4"/>
  <c r="AB59" i="4" s="1"/>
  <c r="Z52" i="4"/>
  <c r="Z60" i="4" s="1"/>
  <c r="M63" i="4"/>
  <c r="U52" i="4"/>
  <c r="W53" i="4"/>
  <c r="R52" i="4"/>
  <c r="R60" i="4" s="1"/>
  <c r="R53" i="4"/>
  <c r="W52" i="4"/>
  <c r="W60" i="4" s="1"/>
  <c r="W54" i="4"/>
  <c r="W62" i="4" s="1"/>
  <c r="I17" i="4"/>
  <c r="K17" i="4"/>
  <c r="X51" i="4"/>
  <c r="Y51" i="4"/>
  <c r="T54" i="4"/>
  <c r="V54" i="4"/>
  <c r="AH54" i="4" s="1"/>
  <c r="AH62" i="4" s="1"/>
  <c r="AH75" i="4" s="1"/>
  <c r="R54" i="4"/>
  <c r="S54" i="4"/>
  <c r="S62" i="4" s="1"/>
  <c r="S75" i="4" s="1"/>
  <c r="T53" i="4"/>
  <c r="I63" i="4"/>
  <c r="AA52" i="4"/>
  <c r="AA60" i="4" s="1"/>
  <c r="V51" i="4"/>
  <c r="AH51" i="4" s="1"/>
  <c r="X53" i="4"/>
  <c r="Z54" i="4"/>
  <c r="Z62" i="4" s="1"/>
  <c r="P17" i="4"/>
  <c r="F63" i="4"/>
  <c r="L17" i="4"/>
  <c r="U54" i="4"/>
  <c r="U62" i="4" s="1"/>
  <c r="Y54" i="4"/>
  <c r="Y62" i="4" s="1"/>
  <c r="U53" i="4"/>
  <c r="S53" i="4"/>
  <c r="AA51" i="4"/>
  <c r="AA54" i="4"/>
  <c r="AA62" i="4" s="1"/>
  <c r="S52" i="4"/>
  <c r="S60" i="4" s="1"/>
  <c r="Z53" i="4"/>
  <c r="O63" i="4"/>
  <c r="H17" i="4"/>
  <c r="AA53" i="4"/>
  <c r="Y53" i="4"/>
  <c r="V52" i="4"/>
  <c r="X54" i="4"/>
  <c r="X62" i="4" s="1"/>
  <c r="X75" i="4" s="1"/>
  <c r="X88" i="4" s="1"/>
  <c r="X101" i="4" s="1"/>
  <c r="T52" i="4"/>
  <c r="AF52" i="4" s="1"/>
  <c r="AF60" i="4" s="1"/>
  <c r="AF73" i="4" s="1"/>
  <c r="AB52" i="4"/>
  <c r="AB60" i="4" s="1"/>
  <c r="AB73" i="4" s="1"/>
  <c r="N17" i="4"/>
  <c r="M17" i="4"/>
  <c r="G63" i="4"/>
  <c r="J17" i="4"/>
  <c r="H63" i="4"/>
  <c r="E17" i="4"/>
  <c r="P63" i="4"/>
  <c r="N63" i="4"/>
  <c r="K63" i="4"/>
  <c r="J63" i="4"/>
  <c r="L63" i="4"/>
  <c r="E63" i="4"/>
  <c r="H55" i="4" l="1"/>
  <c r="T55" i="4" s="1"/>
  <c r="AF55" i="4" s="1"/>
  <c r="E55" i="4"/>
  <c r="Q55" i="4" s="1"/>
  <c r="AC55" i="4" s="1"/>
  <c r="G55" i="4"/>
  <c r="S55" i="4" s="1"/>
  <c r="AE55" i="4" s="1"/>
  <c r="N55" i="4"/>
  <c r="Z55" i="4" s="1"/>
  <c r="P55" i="4"/>
  <c r="AB55" i="4" s="1"/>
  <c r="L55" i="4"/>
  <c r="X55" i="4" s="1"/>
  <c r="J55" i="4"/>
  <c r="V55" i="4" s="1"/>
  <c r="AH55" i="4" s="1"/>
  <c r="F55" i="4"/>
  <c r="R55" i="4" s="1"/>
  <c r="AD55" i="4" s="1"/>
  <c r="K55" i="4"/>
  <c r="W55" i="4" s="1"/>
  <c r="O55" i="4"/>
  <c r="AA55" i="4" s="1"/>
  <c r="AA56" i="4" s="1"/>
  <c r="I55" i="4"/>
  <c r="U55" i="4" s="1"/>
  <c r="AG55" i="4" s="1"/>
  <c r="M55" i="4"/>
  <c r="Y55" i="4" s="1"/>
  <c r="AB61" i="4"/>
  <c r="AA61" i="4"/>
  <c r="W61" i="4"/>
  <c r="W74" i="4" s="1"/>
  <c r="W87" i="4" s="1"/>
  <c r="W100" i="4" s="1"/>
  <c r="Y61" i="4"/>
  <c r="Y74" i="4" s="1"/>
  <c r="Y87" i="4" s="1"/>
  <c r="Y100" i="4" s="1"/>
  <c r="X61" i="4"/>
  <c r="X74" i="4" s="1"/>
  <c r="AH53" i="4"/>
  <c r="Z61" i="4"/>
  <c r="Z74" i="4" s="1"/>
  <c r="AF53" i="4"/>
  <c r="S88" i="4"/>
  <c r="L14" i="1"/>
  <c r="J13" i="1"/>
  <c r="N15" i="1"/>
  <c r="E14" i="1"/>
  <c r="I13" i="1"/>
  <c r="P15" i="1"/>
  <c r="O15" i="1"/>
  <c r="G15" i="1"/>
  <c r="P14" i="1"/>
  <c r="K14" i="1"/>
  <c r="N13" i="1"/>
  <c r="F15" i="1"/>
  <c r="K15" i="1"/>
  <c r="I14" i="1"/>
  <c r="E13" i="1"/>
  <c r="G13" i="1"/>
  <c r="I15" i="1"/>
  <c r="J15" i="1"/>
  <c r="L13" i="1"/>
  <c r="M14" i="1"/>
  <c r="N14" i="1"/>
  <c r="O13" i="1"/>
  <c r="K13" i="1"/>
  <c r="M15" i="1"/>
  <c r="M13" i="1"/>
  <c r="J14" i="1"/>
  <c r="H14" i="1"/>
  <c r="H13" i="1"/>
  <c r="P13" i="1"/>
  <c r="L15" i="1"/>
  <c r="E15" i="1"/>
  <c r="F13" i="1"/>
  <c r="H15" i="1"/>
  <c r="AB86" i="4"/>
  <c r="AH88" i="4"/>
  <c r="AF86" i="4"/>
  <c r="X114" i="4"/>
  <c r="X18" i="4" s="1"/>
  <c r="E120" i="4"/>
  <c r="J120" i="4"/>
  <c r="J121" i="4" s="1"/>
  <c r="T60" i="4"/>
  <c r="T73" i="4" s="1"/>
  <c r="M120" i="4"/>
  <c r="M121" i="4" s="1"/>
  <c r="AG54" i="4"/>
  <c r="AG62" i="4" s="1"/>
  <c r="AG75" i="4" s="1"/>
  <c r="I102" i="4"/>
  <c r="I72" i="5" s="1"/>
  <c r="I73" i="5" s="1"/>
  <c r="K76" i="4"/>
  <c r="AD54" i="4"/>
  <c r="AD62" i="4" s="1"/>
  <c r="AD75" i="4" s="1"/>
  <c r="R62" i="4"/>
  <c r="AA73" i="4"/>
  <c r="G76" i="4"/>
  <c r="I76" i="4"/>
  <c r="N76" i="4"/>
  <c r="N89" i="4"/>
  <c r="P120" i="4"/>
  <c r="P121" i="4" s="1"/>
  <c r="L76" i="4"/>
  <c r="N120" i="4"/>
  <c r="N121" i="4" s="1"/>
  <c r="K120" i="4"/>
  <c r="K121" i="4" s="1"/>
  <c r="Z73" i="4"/>
  <c r="AA74" i="4"/>
  <c r="S61" i="4"/>
  <c r="AE53" i="4"/>
  <c r="K56" i="4"/>
  <c r="AE54" i="4"/>
  <c r="AE62" i="4" s="1"/>
  <c r="P56" i="4"/>
  <c r="AD52" i="4"/>
  <c r="AD60" i="4" s="1"/>
  <c r="W51" i="4"/>
  <c r="W59" i="4" s="1"/>
  <c r="Q52" i="4"/>
  <c r="AC52" i="4" s="1"/>
  <c r="AC60" i="4" s="1"/>
  <c r="Y75" i="4"/>
  <c r="W73" i="4"/>
  <c r="AG52" i="4"/>
  <c r="AG60" i="4" s="1"/>
  <c r="U60" i="4"/>
  <c r="M89" i="4"/>
  <c r="T51" i="4"/>
  <c r="H56" i="4"/>
  <c r="P89" i="4"/>
  <c r="U72" i="4"/>
  <c r="O17" i="4"/>
  <c r="O120" i="4"/>
  <c r="O121" i="4" s="1"/>
  <c r="I56" i="4"/>
  <c r="F17" i="4"/>
  <c r="F120" i="4"/>
  <c r="F121" i="4" s="1"/>
  <c r="R73" i="4"/>
  <c r="L89" i="4"/>
  <c r="Q53" i="4"/>
  <c r="O76" i="4"/>
  <c r="T61" i="4"/>
  <c r="AB74" i="4"/>
  <c r="AB87" i="4" s="1"/>
  <c r="AB100" i="4" s="1"/>
  <c r="AA75" i="4"/>
  <c r="W75" i="4"/>
  <c r="AH52" i="4"/>
  <c r="AH60" i="4" s="1"/>
  <c r="V60" i="4"/>
  <c r="Z75" i="4"/>
  <c r="J56" i="4"/>
  <c r="F56" i="4"/>
  <c r="R51" i="4"/>
  <c r="U61" i="4"/>
  <c r="AG53" i="4"/>
  <c r="T62" i="4"/>
  <c r="AF54" i="4"/>
  <c r="AF62" i="4" s="1"/>
  <c r="AB54" i="4"/>
  <c r="AB62" i="4" s="1"/>
  <c r="AB63" i="4" s="1"/>
  <c r="AB72" i="4"/>
  <c r="V62" i="4"/>
  <c r="F76" i="4"/>
  <c r="S51" i="4"/>
  <c r="G56" i="4"/>
  <c r="V59" i="4"/>
  <c r="G17" i="4"/>
  <c r="AH59" i="4"/>
  <c r="X56" i="4"/>
  <c r="H76" i="4"/>
  <c r="AA59" i="4"/>
  <c r="M76" i="4"/>
  <c r="S73" i="4"/>
  <c r="K89" i="4"/>
  <c r="Z51" i="4"/>
  <c r="AG51" i="4"/>
  <c r="O56" i="4"/>
  <c r="Y59" i="4"/>
  <c r="AD53" i="4"/>
  <c r="R61" i="4"/>
  <c r="U75" i="4"/>
  <c r="Q54" i="4"/>
  <c r="X73" i="4"/>
  <c r="H89" i="4"/>
  <c r="J89" i="4"/>
  <c r="E89" i="4"/>
  <c r="Y120" i="4"/>
  <c r="Y113" i="4"/>
  <c r="Y17" i="4" s="1"/>
  <c r="E132" i="4"/>
  <c r="H120" i="4"/>
  <c r="H121" i="4" s="1"/>
  <c r="AE52" i="4"/>
  <c r="AE60" i="4" s="1"/>
  <c r="G120" i="4"/>
  <c r="G121" i="4" s="1"/>
  <c r="Y52" i="4"/>
  <c r="Y60" i="4" s="1"/>
  <c r="X59" i="4"/>
  <c r="P76" i="4"/>
  <c r="N102" i="4"/>
  <c r="N72" i="5" s="1"/>
  <c r="N73" i="5" s="1"/>
  <c r="H102" i="4"/>
  <c r="H72" i="5" s="1"/>
  <c r="H73" i="5" s="1"/>
  <c r="E76" i="4"/>
  <c r="J76" i="4"/>
  <c r="L120" i="4"/>
  <c r="L121" i="4" s="1"/>
  <c r="I120" i="4"/>
  <c r="I121" i="4" s="1"/>
  <c r="V61" i="4"/>
  <c r="I89" i="4"/>
  <c r="M56" i="4" l="1"/>
  <c r="N56" i="4"/>
  <c r="E133" i="4"/>
  <c r="AJ132" i="4" a="1"/>
  <c r="AJ132" i="4" s="1"/>
  <c r="AJ133" i="4" s="1"/>
  <c r="AU132" i="4" a="1"/>
  <c r="AU132" i="4" s="1"/>
  <c r="AU133" i="4" s="1"/>
  <c r="AK132" i="4" a="1"/>
  <c r="AK132" i="4" s="1"/>
  <c r="AK133" i="4" s="1"/>
  <c r="AP132" i="4" a="1"/>
  <c r="AP132" i="4" s="1"/>
  <c r="AP133" i="4" s="1"/>
  <c r="AL132" i="4" a="1"/>
  <c r="AL132" i="4" s="1"/>
  <c r="AL133" i="4" s="1"/>
  <c r="AN132" i="4" a="1"/>
  <c r="AN132" i="4" s="1"/>
  <c r="AN133" i="4" s="1"/>
  <c r="AQ132" i="4" a="1"/>
  <c r="AQ132" i="4" s="1"/>
  <c r="AQ133" i="4" s="1"/>
  <c r="AO132" i="4" a="1"/>
  <c r="AO132" i="4" s="1"/>
  <c r="AO133" i="4" s="1"/>
  <c r="AR132" i="4" a="1"/>
  <c r="AR132" i="4" s="1"/>
  <c r="AR133" i="4" s="1"/>
  <c r="AM132" i="4" a="1"/>
  <c r="AM132" i="4" s="1"/>
  <c r="AM133" i="4" s="1"/>
  <c r="AS132" i="4" a="1"/>
  <c r="AS132" i="4" s="1"/>
  <c r="AS133" i="4" s="1"/>
  <c r="AV132" i="4" a="1"/>
  <c r="AV132" i="4" s="1"/>
  <c r="AV133" i="4" s="1"/>
  <c r="AW132" i="4" a="1"/>
  <c r="AW132" i="4" s="1"/>
  <c r="AW133" i="4" s="1"/>
  <c r="L56" i="4"/>
  <c r="U85" i="4"/>
  <c r="U73" i="5"/>
  <c r="E121" i="4"/>
  <c r="T73" i="5"/>
  <c r="AB85" i="4"/>
  <c r="Z73" i="5"/>
  <c r="V56" i="4"/>
  <c r="U56" i="4"/>
  <c r="AG61" i="4"/>
  <c r="AG74" i="4" s="1"/>
  <c r="AG87" i="4" s="1"/>
  <c r="AG100" i="4" s="1"/>
  <c r="AE61" i="4"/>
  <c r="AE74" i="4" s="1"/>
  <c r="AE87" i="4" s="1"/>
  <c r="AF61" i="4"/>
  <c r="AF74" i="4" s="1"/>
  <c r="AF87" i="4" s="1"/>
  <c r="AF100" i="4" s="1"/>
  <c r="AF113" i="4" s="1"/>
  <c r="AF17" i="4" s="1"/>
  <c r="AH61" i="4"/>
  <c r="AH74" i="4" s="1"/>
  <c r="AH87" i="4" s="1"/>
  <c r="AD61" i="4"/>
  <c r="AD74" i="4" s="1"/>
  <c r="AD87" i="4" s="1"/>
  <c r="AD100" i="4" s="1"/>
  <c r="L159" i="8"/>
  <c r="L160" i="8" s="1"/>
  <c r="X160" i="8" s="1"/>
  <c r="L144" i="8"/>
  <c r="L145" i="8" s="1"/>
  <c r="H159" i="8"/>
  <c r="H160" i="8" s="1"/>
  <c r="T160" i="8" s="1"/>
  <c r="AF160" i="8" s="1"/>
  <c r="H144" i="8"/>
  <c r="H145" i="8" s="1"/>
  <c r="F144" i="8"/>
  <c r="F145" i="8" s="1"/>
  <c r="F159" i="8"/>
  <c r="F160" i="8" s="1"/>
  <c r="R160" i="8" s="1"/>
  <c r="AD160" i="8" s="1"/>
  <c r="K144" i="8"/>
  <c r="K145" i="8" s="1"/>
  <c r="K159" i="8"/>
  <c r="K160" i="8" s="1"/>
  <c r="W160" i="8" s="1"/>
  <c r="J144" i="8"/>
  <c r="J145" i="8" s="1"/>
  <c r="J159" i="8"/>
  <c r="J160" i="8" s="1"/>
  <c r="V160" i="8" s="1"/>
  <c r="AH160" i="8" s="1"/>
  <c r="E159" i="8"/>
  <c r="E144" i="8"/>
  <c r="O144" i="8"/>
  <c r="O145" i="8" s="1"/>
  <c r="O159" i="8"/>
  <c r="O160" i="8" s="1"/>
  <c r="AA160" i="8" s="1"/>
  <c r="N159" i="8"/>
  <c r="N160" i="8" s="1"/>
  <c r="Z160" i="8" s="1"/>
  <c r="N144" i="8"/>
  <c r="N145" i="8" s="1"/>
  <c r="I159" i="8"/>
  <c r="I160" i="8" s="1"/>
  <c r="U160" i="8" s="1"/>
  <c r="AG160" i="8" s="1"/>
  <c r="I144" i="8"/>
  <c r="I145" i="8" s="1"/>
  <c r="P159" i="8"/>
  <c r="P160" i="8" s="1"/>
  <c r="AB160" i="8" s="1"/>
  <c r="P144" i="8"/>
  <c r="P145" i="8" s="1"/>
  <c r="G144" i="8"/>
  <c r="G145" i="8" s="1"/>
  <c r="G159" i="8"/>
  <c r="G160" i="8" s="1"/>
  <c r="S160" i="8" s="1"/>
  <c r="AE160" i="8" s="1"/>
  <c r="M159" i="8"/>
  <c r="M160" i="8" s="1"/>
  <c r="Y160" i="8" s="1"/>
  <c r="M144" i="8"/>
  <c r="M145" i="8" s="1"/>
  <c r="Q121" i="4"/>
  <c r="R121" i="4" s="1"/>
  <c r="S121" i="4" s="1"/>
  <c r="T121" i="4" s="1"/>
  <c r="U121" i="4" s="1"/>
  <c r="V121" i="4" s="1"/>
  <c r="W121" i="4" s="1"/>
  <c r="X121" i="4" s="1"/>
  <c r="Y121" i="4" s="1"/>
  <c r="Z121" i="4" s="1"/>
  <c r="AA121" i="4" s="1"/>
  <c r="AB121" i="4" s="1"/>
  <c r="AC121" i="4" s="1"/>
  <c r="AD121" i="4" s="1"/>
  <c r="AE121" i="4" s="1"/>
  <c r="AF121" i="4" s="1"/>
  <c r="AG121" i="4" s="1"/>
  <c r="AH121" i="4" s="1"/>
  <c r="AF99" i="4"/>
  <c r="AF112" i="4" s="1"/>
  <c r="AF16" i="4" s="1"/>
  <c r="S101" i="4"/>
  <c r="S114" i="4" s="1"/>
  <c r="S18" i="4" s="1"/>
  <c r="AH101" i="4"/>
  <c r="AB99" i="4"/>
  <c r="AB112" i="4" s="1"/>
  <c r="AB16" i="4" s="1"/>
  <c r="N19" i="4"/>
  <c r="E19" i="4"/>
  <c r="L19" i="4"/>
  <c r="G19" i="4"/>
  <c r="F19" i="4"/>
  <c r="H19" i="4"/>
  <c r="I19" i="4"/>
  <c r="P19" i="4"/>
  <c r="E20" i="4"/>
  <c r="O19" i="4"/>
  <c r="M19" i="4"/>
  <c r="K19" i="4"/>
  <c r="J19" i="4"/>
  <c r="S85" i="5"/>
  <c r="AE85" i="5" s="1"/>
  <c r="W85" i="5"/>
  <c r="AA87" i="5"/>
  <c r="X85" i="5"/>
  <c r="V87" i="5"/>
  <c r="AH87" i="5" s="1"/>
  <c r="AB87" i="5"/>
  <c r="V85" i="5"/>
  <c r="AH85" i="5" s="1"/>
  <c r="Y86" i="5"/>
  <c r="Z87" i="5"/>
  <c r="X87" i="5"/>
  <c r="AA85" i="5"/>
  <c r="U86" i="5"/>
  <c r="AG86" i="5" s="1"/>
  <c r="W86" i="5"/>
  <c r="Z85" i="5"/>
  <c r="T87" i="5"/>
  <c r="AF87" i="5" s="1"/>
  <c r="AB85" i="5"/>
  <c r="Y85" i="5"/>
  <c r="Z86" i="5"/>
  <c r="W87" i="5"/>
  <c r="AB86" i="5"/>
  <c r="X86" i="5"/>
  <c r="S87" i="5"/>
  <c r="AE87" i="5" s="1"/>
  <c r="U87" i="5"/>
  <c r="AG87" i="5" s="1"/>
  <c r="U85" i="5"/>
  <c r="AG85" i="5" s="1"/>
  <c r="T86" i="5"/>
  <c r="AF86" i="5" s="1"/>
  <c r="V86" i="5"/>
  <c r="AH86" i="5" s="1"/>
  <c r="R85" i="5"/>
  <c r="AD85" i="5" s="1"/>
  <c r="T85" i="5"/>
  <c r="AF85" i="5" s="1"/>
  <c r="Y87" i="5"/>
  <c r="R87" i="5"/>
  <c r="AD87" i="5" s="1"/>
  <c r="F14" i="1"/>
  <c r="X15" i="1"/>
  <c r="Y14" i="1"/>
  <c r="G14" i="1"/>
  <c r="O14" i="1"/>
  <c r="AD88" i="4"/>
  <c r="Z87" i="4"/>
  <c r="U88" i="4"/>
  <c r="Z88" i="4"/>
  <c r="Z86" i="4"/>
  <c r="AG88" i="4"/>
  <c r="S86" i="4"/>
  <c r="W86" i="4"/>
  <c r="X87" i="4"/>
  <c r="T86" i="4"/>
  <c r="X86" i="4"/>
  <c r="AA120" i="4"/>
  <c r="AA87" i="4"/>
  <c r="W88" i="4"/>
  <c r="R86" i="4"/>
  <c r="Y88" i="4"/>
  <c r="AA86" i="4"/>
  <c r="AA88" i="4"/>
  <c r="S74" i="4"/>
  <c r="R75" i="4"/>
  <c r="Q60" i="4"/>
  <c r="AK60" i="4" s="1" a="1"/>
  <c r="AK60" i="4" s="1"/>
  <c r="AK52" i="4" s="1"/>
  <c r="U63" i="4"/>
  <c r="X120" i="4"/>
  <c r="Z120" i="4"/>
  <c r="W56" i="4"/>
  <c r="E56" i="4"/>
  <c r="AE75" i="4"/>
  <c r="AB56" i="4"/>
  <c r="Q51" i="4"/>
  <c r="Q56" i="4" s="1"/>
  <c r="AD73" i="4"/>
  <c r="AH56" i="4"/>
  <c r="V75" i="4"/>
  <c r="AA72" i="4"/>
  <c r="AA63" i="4"/>
  <c r="L102" i="4"/>
  <c r="L72" i="5" s="1"/>
  <c r="L73" i="5" s="1"/>
  <c r="AH73" i="4"/>
  <c r="AC73" i="4"/>
  <c r="F89" i="4"/>
  <c r="W120" i="4"/>
  <c r="W113" i="4"/>
  <c r="W17" i="4" s="1"/>
  <c r="AG73" i="4"/>
  <c r="R59" i="4"/>
  <c r="AD51" i="4"/>
  <c r="R56" i="4"/>
  <c r="T59" i="4"/>
  <c r="T56" i="4"/>
  <c r="AF51" i="4"/>
  <c r="V72" i="4"/>
  <c r="V63" i="4"/>
  <c r="AB120" i="4"/>
  <c r="AB113" i="4"/>
  <c r="AB17" i="4" s="1"/>
  <c r="F102" i="4"/>
  <c r="F72" i="5" s="1"/>
  <c r="F73" i="5" s="1"/>
  <c r="Q61" i="4"/>
  <c r="AC53" i="4"/>
  <c r="Y56" i="4"/>
  <c r="H115" i="4"/>
  <c r="H15" i="4"/>
  <c r="AB75" i="4"/>
  <c r="M102" i="4"/>
  <c r="M72" i="5" s="1"/>
  <c r="M73" i="5" s="1"/>
  <c r="P102" i="4"/>
  <c r="P72" i="5" s="1"/>
  <c r="P73" i="5" s="1"/>
  <c r="O89" i="4"/>
  <c r="Y63" i="4"/>
  <c r="Y72" i="4"/>
  <c r="E102" i="4"/>
  <c r="K102" i="4"/>
  <c r="K72" i="5" s="1"/>
  <c r="K73" i="5" s="1"/>
  <c r="AF75" i="4"/>
  <c r="G102" i="4"/>
  <c r="G72" i="5" s="1"/>
  <c r="G73" i="5" s="1"/>
  <c r="T74" i="4"/>
  <c r="T87" i="4" s="1"/>
  <c r="T100" i="4" s="1"/>
  <c r="J102" i="4"/>
  <c r="J72" i="5" s="1"/>
  <c r="J73" i="5" s="1"/>
  <c r="AG59" i="4"/>
  <c r="AG56" i="4"/>
  <c r="R74" i="4"/>
  <c r="R87" i="4" s="1"/>
  <c r="R100" i="4" s="1"/>
  <c r="I115" i="4"/>
  <c r="I15" i="4"/>
  <c r="U74" i="4"/>
  <c r="U87" i="4" s="1"/>
  <c r="U100" i="4" s="1"/>
  <c r="Z59" i="4"/>
  <c r="Z56" i="4"/>
  <c r="V73" i="4"/>
  <c r="X72" i="4"/>
  <c r="X63" i="4"/>
  <c r="Y73" i="4"/>
  <c r="AE73" i="4"/>
  <c r="AC54" i="4"/>
  <c r="AC62" i="4" s="1"/>
  <c r="Q62" i="4"/>
  <c r="V74" i="4"/>
  <c r="V87" i="4" s="1"/>
  <c r="V100" i="4" s="1"/>
  <c r="N115" i="4"/>
  <c r="N15" i="4"/>
  <c r="AH72" i="4"/>
  <c r="AE51" i="4"/>
  <c r="S56" i="4"/>
  <c r="S59" i="4"/>
  <c r="T75" i="4"/>
  <c r="G89" i="4"/>
  <c r="W72" i="4"/>
  <c r="W63" i="4"/>
  <c r="U73" i="4"/>
  <c r="AL62" i="4" l="1" a="1"/>
  <c r="AL62" i="4" s="1"/>
  <c r="AL54" i="4" s="1"/>
  <c r="AM62" i="4" a="1"/>
  <c r="AM62" i="4" s="1"/>
  <c r="AM54" i="4" s="1"/>
  <c r="AN62" i="4" a="1"/>
  <c r="AN62" i="4" s="1"/>
  <c r="AN54" i="4" s="1"/>
  <c r="AO62" i="4" a="1"/>
  <c r="AO62" i="4" s="1"/>
  <c r="AO54" i="4" s="1"/>
  <c r="AP62" i="4" a="1"/>
  <c r="AP62" i="4" s="1"/>
  <c r="AP54" i="4" s="1"/>
  <c r="AQ62" i="4" a="1"/>
  <c r="AQ62" i="4" s="1"/>
  <c r="AQ54" i="4" s="1"/>
  <c r="AS62" i="4" a="1"/>
  <c r="AS62" i="4" s="1"/>
  <c r="AS54" i="4" s="1"/>
  <c r="AK62" i="4" a="1"/>
  <c r="AK62" i="4" s="1"/>
  <c r="AK54" i="4" s="1"/>
  <c r="AV62" i="4" a="1"/>
  <c r="AV62" i="4" s="1"/>
  <c r="AV54" i="4" s="1"/>
  <c r="AR62" i="4" a="1"/>
  <c r="AR62" i="4" s="1"/>
  <c r="AR54" i="4" s="1"/>
  <c r="AJ62" i="4" a="1"/>
  <c r="AJ62" i="4" s="1"/>
  <c r="AJ54" i="4" s="1"/>
  <c r="AU62" i="4" a="1"/>
  <c r="AU62" i="4" s="1"/>
  <c r="AU54" i="4" s="1"/>
  <c r="AW62" i="4" a="1"/>
  <c r="AW62" i="4" s="1"/>
  <c r="AW54" i="4" s="1"/>
  <c r="AH120" i="4"/>
  <c r="V73" i="5"/>
  <c r="AM61" i="4" a="1"/>
  <c r="AM61" i="4" s="1"/>
  <c r="AM53" i="4" s="1"/>
  <c r="AR61" i="4" a="1"/>
  <c r="AR61" i="4" s="1"/>
  <c r="AR53" i="4" s="1"/>
  <c r="AK61" i="4" a="1"/>
  <c r="AK61" i="4" s="1"/>
  <c r="AK53" i="4" s="1"/>
  <c r="AH114" i="4"/>
  <c r="AH18" i="4" s="1"/>
  <c r="E145" i="8"/>
  <c r="AB98" i="4"/>
  <c r="S73" i="5"/>
  <c r="AB73" i="5"/>
  <c r="AH63" i="4"/>
  <c r="W73" i="5"/>
  <c r="AF73" i="5"/>
  <c r="AG73" i="5"/>
  <c r="R73" i="5"/>
  <c r="Q73" i="4"/>
  <c r="AL60" i="4" a="1"/>
  <c r="AL60" i="4" s="1"/>
  <c r="AL52" i="4" s="1"/>
  <c r="AM60" i="4" a="1"/>
  <c r="AM60" i="4" s="1"/>
  <c r="AM52" i="4" s="1"/>
  <c r="AN60" i="4" a="1"/>
  <c r="AN60" i="4" s="1"/>
  <c r="AN52" i="4" s="1"/>
  <c r="AO60" i="4" a="1"/>
  <c r="AO60" i="4" s="1"/>
  <c r="AO52" i="4" s="1"/>
  <c r="AP60" i="4" a="1"/>
  <c r="AP60" i="4" s="1"/>
  <c r="AP52" i="4" s="1"/>
  <c r="AQ60" i="4" a="1"/>
  <c r="AQ60" i="4" s="1"/>
  <c r="AQ52" i="4" s="1"/>
  <c r="AJ60" i="4" a="1"/>
  <c r="AJ60" i="4" s="1"/>
  <c r="AJ52" i="4" s="1"/>
  <c r="AU60" i="4" a="1"/>
  <c r="AU60" i="4" s="1"/>
  <c r="AU52" i="4" s="1"/>
  <c r="AV60" i="4" a="1"/>
  <c r="AV60" i="4" s="1"/>
  <c r="AV52" i="4" s="1"/>
  <c r="AS60" i="4" a="1"/>
  <c r="AS60" i="4" s="1"/>
  <c r="AS52" i="4" s="1"/>
  <c r="AW60" i="4" a="1"/>
  <c r="AW60" i="4" s="1"/>
  <c r="AW52" i="4" s="1"/>
  <c r="AR60" i="4" a="1"/>
  <c r="AR60" i="4" s="1"/>
  <c r="AR52" i="4" s="1"/>
  <c r="E160" i="8"/>
  <c r="Q160" i="8" s="1"/>
  <c r="AC160" i="8" s="1"/>
  <c r="AH85" i="4"/>
  <c r="Y73" i="5"/>
  <c r="X73" i="5"/>
  <c r="W85" i="4"/>
  <c r="W89" i="4" s="1"/>
  <c r="N21" i="4"/>
  <c r="N55" i="16" s="1"/>
  <c r="N88" i="16" s="1"/>
  <c r="X85" i="4"/>
  <c r="H21" i="4"/>
  <c r="H55" i="16" s="1"/>
  <c r="H88" i="16" s="1"/>
  <c r="AA85" i="4"/>
  <c r="AJ20" i="4" a="1"/>
  <c r="AJ20" i="4" s="1"/>
  <c r="AN20" i="4" a="1"/>
  <c r="AN20" i="4" s="1"/>
  <c r="AL20" i="4" a="1"/>
  <c r="AL20" i="4" s="1"/>
  <c r="AS20" i="4" a="1"/>
  <c r="AS20" i="4" s="1"/>
  <c r="AM20" i="4" a="1"/>
  <c r="AM20" i="4" s="1"/>
  <c r="AO20" i="4" a="1"/>
  <c r="AO20" i="4" s="1"/>
  <c r="AR20" i="4" a="1"/>
  <c r="AR20" i="4" s="1"/>
  <c r="AQ20" i="4" a="1"/>
  <c r="AQ20" i="4" s="1"/>
  <c r="AP20" i="4" a="1"/>
  <c r="AP20" i="4" s="1"/>
  <c r="AK20" i="4" a="1"/>
  <c r="AK20" i="4" s="1"/>
  <c r="AV20" i="4" a="1"/>
  <c r="AV20" i="4" s="1"/>
  <c r="AW20" i="4" a="1"/>
  <c r="AW20" i="4" s="1"/>
  <c r="AU20" i="4" a="1"/>
  <c r="AU20" i="4" s="1"/>
  <c r="I82" i="11"/>
  <c r="I21" i="4"/>
  <c r="I55" i="16" s="1"/>
  <c r="I88" i="16" s="1"/>
  <c r="Y85" i="4"/>
  <c r="V85" i="4"/>
  <c r="U98" i="4"/>
  <c r="N82" i="11"/>
  <c r="H82" i="11"/>
  <c r="AF120" i="4"/>
  <c r="AF124" i="4" s="1"/>
  <c r="AC61" i="4"/>
  <c r="AC74" i="4" s="1"/>
  <c r="AC87" i="4" s="1"/>
  <c r="AC100" i="4" s="1"/>
  <c r="AB124" i="4"/>
  <c r="W124" i="4"/>
  <c r="Z124" i="4"/>
  <c r="X124" i="4"/>
  <c r="AH124" i="4"/>
  <c r="Q145" i="8"/>
  <c r="R145" i="8" s="1"/>
  <c r="S145" i="8" s="1"/>
  <c r="T145" i="8" s="1"/>
  <c r="U145" i="8" s="1"/>
  <c r="V145" i="8" s="1"/>
  <c r="W145" i="8" s="1"/>
  <c r="X145" i="8" s="1"/>
  <c r="Y145" i="8" s="1"/>
  <c r="Z145" i="8" s="1"/>
  <c r="AA145" i="8" s="1"/>
  <c r="AB145" i="8" s="1"/>
  <c r="AC145" i="8" s="1"/>
  <c r="AD145" i="8" s="1"/>
  <c r="AE145" i="8" s="1"/>
  <c r="AF145" i="8" s="1"/>
  <c r="AG145" i="8" s="1"/>
  <c r="AH145" i="8" s="1"/>
  <c r="Y124" i="4"/>
  <c r="AA124" i="4"/>
  <c r="AB13" i="1"/>
  <c r="AH15" i="1"/>
  <c r="AF13" i="1"/>
  <c r="S15" i="1"/>
  <c r="X99" i="4"/>
  <c r="X112" i="4" s="1"/>
  <c r="X16" i="4" s="1"/>
  <c r="Z101" i="4"/>
  <c r="Z114" i="4" s="1"/>
  <c r="Z18" i="4" s="1"/>
  <c r="AA101" i="4"/>
  <c r="AA114" i="4" s="1"/>
  <c r="AA18" i="4" s="1"/>
  <c r="T99" i="4"/>
  <c r="T112" i="4" s="1"/>
  <c r="T16" i="4" s="1"/>
  <c r="U101" i="4"/>
  <c r="U114" i="4" s="1"/>
  <c r="U18" i="4" s="1"/>
  <c r="Z100" i="4"/>
  <c r="Z113" i="4" s="1"/>
  <c r="Z17" i="4" s="1"/>
  <c r="Y101" i="4"/>
  <c r="Y114" i="4" s="1"/>
  <c r="Y18" i="4" s="1"/>
  <c r="W99" i="4"/>
  <c r="W112" i="4" s="1"/>
  <c r="W16" i="4" s="1"/>
  <c r="AD101" i="4"/>
  <c r="AD114" i="4" s="1"/>
  <c r="AD18" i="4" s="1"/>
  <c r="X100" i="4"/>
  <c r="X113" i="4" s="1"/>
  <c r="X17" i="4" s="1"/>
  <c r="R99" i="4"/>
  <c r="R112" i="4" s="1"/>
  <c r="R16" i="4" s="1"/>
  <c r="AH100" i="4"/>
  <c r="AA99" i="4"/>
  <c r="AA112" i="4" s="1"/>
  <c r="AA16" i="4" s="1"/>
  <c r="W101" i="4"/>
  <c r="W114" i="4" s="1"/>
  <c r="W18" i="4" s="1"/>
  <c r="S99" i="4"/>
  <c r="S112" i="4" s="1"/>
  <c r="S16" i="4" s="1"/>
  <c r="AA100" i="4"/>
  <c r="AA113" i="4" s="1"/>
  <c r="AA17" i="4" s="1"/>
  <c r="AG101" i="4"/>
  <c r="AG114" i="4" s="1"/>
  <c r="AG18" i="4" s="1"/>
  <c r="AE100" i="4"/>
  <c r="AE113" i="4" s="1"/>
  <c r="AE17" i="4" s="1"/>
  <c r="Z99" i="4"/>
  <c r="Z112" i="4" s="1"/>
  <c r="Z16" i="4" s="1"/>
  <c r="H16" i="1"/>
  <c r="O16" i="1"/>
  <c r="E16" i="1"/>
  <c r="M16" i="1"/>
  <c r="F16" i="1"/>
  <c r="G16" i="1"/>
  <c r="J16" i="1"/>
  <c r="E17" i="1"/>
  <c r="P16" i="1"/>
  <c r="K16" i="1"/>
  <c r="L16" i="1"/>
  <c r="I16" i="1"/>
  <c r="N16" i="1"/>
  <c r="E72" i="5"/>
  <c r="R86" i="5"/>
  <c r="AD86" i="5" s="1"/>
  <c r="AA86" i="5"/>
  <c r="S86" i="5"/>
  <c r="AE86" i="5" s="1"/>
  <c r="AA89" i="4"/>
  <c r="H12" i="1"/>
  <c r="W14" i="1"/>
  <c r="N12" i="1"/>
  <c r="N18" i="1" s="1"/>
  <c r="AB14" i="1"/>
  <c r="AF14" i="1"/>
  <c r="I12" i="1"/>
  <c r="X89" i="4"/>
  <c r="Y86" i="4"/>
  <c r="R88" i="4"/>
  <c r="AF88" i="4"/>
  <c r="S87" i="4"/>
  <c r="U86" i="4"/>
  <c r="AE88" i="4"/>
  <c r="T88" i="4"/>
  <c r="V86" i="4"/>
  <c r="AH86" i="4"/>
  <c r="AD86" i="4"/>
  <c r="AE86" i="4"/>
  <c r="V88" i="4"/>
  <c r="AE120" i="4"/>
  <c r="AE124" i="4" s="1"/>
  <c r="AC86" i="4"/>
  <c r="AG86" i="4"/>
  <c r="AB88" i="4"/>
  <c r="AB101" i="4" s="1"/>
  <c r="Q86" i="4"/>
  <c r="S120" i="4"/>
  <c r="S124" i="4" s="1"/>
  <c r="AC51" i="4"/>
  <c r="AC59" i="4" s="1"/>
  <c r="AB76" i="4"/>
  <c r="Q59" i="4"/>
  <c r="AH76" i="4"/>
  <c r="J15" i="4"/>
  <c r="J115" i="4"/>
  <c r="Y76" i="4"/>
  <c r="AD56" i="4"/>
  <c r="AD59" i="4"/>
  <c r="AA76" i="4"/>
  <c r="O102" i="4"/>
  <c r="O72" i="5" s="1"/>
  <c r="O73" i="5" s="1"/>
  <c r="AG72" i="4"/>
  <c r="AG63" i="4"/>
  <c r="P115" i="4"/>
  <c r="P15" i="4"/>
  <c r="S63" i="4"/>
  <c r="S72" i="4"/>
  <c r="U120" i="4"/>
  <c r="U124" i="4" s="1"/>
  <c r="U113" i="4"/>
  <c r="U17" i="4" s="1"/>
  <c r="G15" i="4"/>
  <c r="G115" i="4"/>
  <c r="V76" i="4"/>
  <c r="R63" i="4"/>
  <c r="R72" i="4"/>
  <c r="M15" i="4"/>
  <c r="M115" i="4"/>
  <c r="T63" i="4"/>
  <c r="T72" i="4"/>
  <c r="Z72" i="4"/>
  <c r="Z63" i="4"/>
  <c r="U111" i="4"/>
  <c r="L15" i="4"/>
  <c r="L115" i="4"/>
  <c r="T113" i="4"/>
  <c r="T17" i="4" s="1"/>
  <c r="T120" i="4"/>
  <c r="T124" i="4" s="1"/>
  <c r="F15" i="4"/>
  <c r="F115" i="4"/>
  <c r="Q75" i="4"/>
  <c r="X76" i="4"/>
  <c r="W76" i="4"/>
  <c r="R120" i="4"/>
  <c r="R124" i="4" s="1"/>
  <c r="R113" i="4"/>
  <c r="R17" i="4" s="1"/>
  <c r="AB111" i="4"/>
  <c r="Q74" i="4"/>
  <c r="E115" i="4"/>
  <c r="E15" i="4"/>
  <c r="V113" i="4"/>
  <c r="V17" i="4" s="1"/>
  <c r="V120" i="4"/>
  <c r="V124" i="4" s="1"/>
  <c r="AE59" i="4"/>
  <c r="AE56" i="4"/>
  <c r="AC75" i="4"/>
  <c r="U76" i="4"/>
  <c r="K115" i="4"/>
  <c r="K15" i="4"/>
  <c r="AD120" i="4"/>
  <c r="AD124" i="4" s="1"/>
  <c r="AD113" i="4"/>
  <c r="AD17" i="4" s="1"/>
  <c r="AF59" i="4"/>
  <c r="AF56" i="4"/>
  <c r="AG120" i="4"/>
  <c r="AG124" i="4" s="1"/>
  <c r="AG113" i="4"/>
  <c r="AG17" i="4" s="1"/>
  <c r="K82" i="11" l="1"/>
  <c r="K21" i="4"/>
  <c r="K55" i="16" s="1"/>
  <c r="K88" i="16" s="1"/>
  <c r="AL75" i="4" a="1"/>
  <c r="AL75" i="4" s="1"/>
  <c r="AL69" i="4" s="1"/>
  <c r="AM75" i="4" a="1"/>
  <c r="AM75" i="4" s="1"/>
  <c r="AM69" i="4" s="1"/>
  <c r="AN75" i="4" a="1"/>
  <c r="AN75" i="4" s="1"/>
  <c r="AN69" i="4" s="1"/>
  <c r="AO75" i="4" a="1"/>
  <c r="AO75" i="4" s="1"/>
  <c r="AO69" i="4" s="1"/>
  <c r="AP75" i="4" a="1"/>
  <c r="AP75" i="4" s="1"/>
  <c r="AP69" i="4" s="1"/>
  <c r="AQ75" i="4" a="1"/>
  <c r="AQ75" i="4" s="1"/>
  <c r="AQ69" i="4" s="1"/>
  <c r="AS75" i="4" a="1"/>
  <c r="AS75" i="4" s="1"/>
  <c r="AS69" i="4" s="1"/>
  <c r="AK75" i="4" a="1"/>
  <c r="AK75" i="4" s="1"/>
  <c r="AK69" i="4" s="1"/>
  <c r="AU75" i="4" a="1"/>
  <c r="AU75" i="4" s="1"/>
  <c r="AU69" i="4" s="1"/>
  <c r="AR75" i="4" a="1"/>
  <c r="AR75" i="4" s="1"/>
  <c r="AR69" i="4" s="1"/>
  <c r="AV75" i="4" a="1"/>
  <c r="AV75" i="4" s="1"/>
  <c r="AV69" i="4" s="1"/>
  <c r="AJ75" i="4" a="1"/>
  <c r="AJ75" i="4" s="1"/>
  <c r="AJ69" i="4" s="1"/>
  <c r="AW75" i="4" a="1"/>
  <c r="AW75" i="4" s="1"/>
  <c r="AW69" i="4" s="1"/>
  <c r="Z85" i="4"/>
  <c r="J82" i="11"/>
  <c r="J21" i="4"/>
  <c r="J55" i="16" s="1"/>
  <c r="J88" i="16" s="1"/>
  <c r="AH113" i="4"/>
  <c r="AH17" i="4" s="1"/>
  <c r="AL73" i="4" a="1"/>
  <c r="AL73" i="4" s="1"/>
  <c r="AL67" i="4" s="1"/>
  <c r="AM73" i="4" a="1"/>
  <c r="AM73" i="4" s="1"/>
  <c r="AM67" i="4" s="1"/>
  <c r="AN73" i="4" a="1"/>
  <c r="AN73" i="4" s="1"/>
  <c r="AN67" i="4" s="1"/>
  <c r="AO73" i="4" a="1"/>
  <c r="AO73" i="4" s="1"/>
  <c r="AO67" i="4" s="1"/>
  <c r="AP73" i="4" a="1"/>
  <c r="AP73" i="4" s="1"/>
  <c r="AP67" i="4" s="1"/>
  <c r="AQ73" i="4" a="1"/>
  <c r="AQ73" i="4" s="1"/>
  <c r="AQ67" i="4" s="1"/>
  <c r="AS73" i="4" a="1"/>
  <c r="AS73" i="4" s="1"/>
  <c r="AS67" i="4" s="1"/>
  <c r="AU73" i="4" a="1"/>
  <c r="AU73" i="4" s="1"/>
  <c r="AU67" i="4" s="1"/>
  <c r="AW73" i="4" a="1"/>
  <c r="AW73" i="4" s="1"/>
  <c r="AW67" i="4" s="1"/>
  <c r="AV73" i="4" a="1"/>
  <c r="AV73" i="4" s="1"/>
  <c r="AV67" i="4" s="1"/>
  <c r="AR73" i="4" a="1"/>
  <c r="AR73" i="4" s="1"/>
  <c r="AR67" i="4" s="1"/>
  <c r="AK73" i="4" a="1"/>
  <c r="AK73" i="4" s="1"/>
  <c r="AK67" i="4" s="1"/>
  <c r="AJ73" i="4" a="1"/>
  <c r="AJ73" i="4" s="1"/>
  <c r="AJ67" i="4" s="1"/>
  <c r="AW61" i="4" a="1"/>
  <c r="AW61" i="4" s="1"/>
  <c r="AW53" i="4" s="1"/>
  <c r="AL61" i="4" a="1"/>
  <c r="AL61" i="4" s="1"/>
  <c r="AL53" i="4" s="1"/>
  <c r="AL86" i="4" a="1"/>
  <c r="AL86" i="4" s="1"/>
  <c r="AM86" i="4" a="1"/>
  <c r="AM86" i="4" s="1"/>
  <c r="AN86" i="4" a="1"/>
  <c r="AN86" i="4" s="1"/>
  <c r="AO86" i="4" a="1"/>
  <c r="AO86" i="4" s="1"/>
  <c r="AP86" i="4" a="1"/>
  <c r="AP86" i="4" s="1"/>
  <c r="AQ86" i="4" a="1"/>
  <c r="AQ86" i="4" s="1"/>
  <c r="AS86" i="4" a="1"/>
  <c r="AS86" i="4" s="1"/>
  <c r="AR86" i="4" a="1"/>
  <c r="AR86" i="4" s="1"/>
  <c r="AJ86" i="4" a="1"/>
  <c r="AJ86" i="4" s="1"/>
  <c r="AV86" i="4" a="1"/>
  <c r="AV86" i="4" s="1"/>
  <c r="AW86" i="4" a="1"/>
  <c r="AW86" i="4" s="1"/>
  <c r="AU86" i="4" a="1"/>
  <c r="AU86" i="4" s="1"/>
  <c r="E21" i="4"/>
  <c r="E55" i="16" s="1"/>
  <c r="E88" i="16" s="1"/>
  <c r="T85" i="4"/>
  <c r="AG85" i="4"/>
  <c r="AJ17" i="1" a="1"/>
  <c r="AJ17" i="1" s="1"/>
  <c r="AU17" i="1" a="1"/>
  <c r="AU17" i="1" s="1"/>
  <c r="AN17" i="1" a="1"/>
  <c r="AN17" i="1" s="1"/>
  <c r="AS17" i="1" a="1"/>
  <c r="AS17" i="1" s="1"/>
  <c r="AO17" i="1" a="1"/>
  <c r="AO17" i="1" s="1"/>
  <c r="AM17" i="1" a="1"/>
  <c r="AM17" i="1" s="1"/>
  <c r="AP17" i="1" a="1"/>
  <c r="AP17" i="1" s="1"/>
  <c r="AR17" i="1" a="1"/>
  <c r="AR17" i="1" s="1"/>
  <c r="AQ17" i="1" a="1"/>
  <c r="AQ17" i="1" s="1"/>
  <c r="AL17" i="1" a="1"/>
  <c r="AL17" i="1" s="1"/>
  <c r="AK17" i="1" a="1"/>
  <c r="AK17" i="1" s="1"/>
  <c r="AV17" i="1" a="1"/>
  <c r="AV17" i="1" s="1"/>
  <c r="AW17" i="1" a="1"/>
  <c r="AW17" i="1" s="1"/>
  <c r="AK59" i="4" a="1"/>
  <c r="AK59" i="4" s="1"/>
  <c r="AM59" i="4" a="1"/>
  <c r="AM59" i="4" s="1"/>
  <c r="AN59" i="4" a="1"/>
  <c r="AN59" i="4" s="1"/>
  <c r="AO59" i="4" a="1"/>
  <c r="AO59" i="4" s="1"/>
  <c r="AP59" i="4" a="1"/>
  <c r="AP59" i="4" s="1"/>
  <c r="AQ59" i="4" a="1"/>
  <c r="AQ59" i="4" s="1"/>
  <c r="AR59" i="4" a="1"/>
  <c r="AR59" i="4" s="1"/>
  <c r="AU59" i="4" a="1"/>
  <c r="AU59" i="4" s="1"/>
  <c r="AW59" i="4" a="1"/>
  <c r="AW59" i="4" s="1"/>
  <c r="AV59" i="4" a="1"/>
  <c r="AV59" i="4" s="1"/>
  <c r="AS59" i="4" a="1"/>
  <c r="AS59" i="4" s="1"/>
  <c r="AJ59" i="4" a="1"/>
  <c r="AJ59" i="4" s="1"/>
  <c r="AL59" i="4" a="1"/>
  <c r="AL59" i="4" s="1"/>
  <c r="AD73" i="5"/>
  <c r="AV61" i="4" a="1"/>
  <c r="AV61" i="4" s="1"/>
  <c r="AV53" i="4" s="1"/>
  <c r="AH73" i="5"/>
  <c r="AA98" i="4"/>
  <c r="AA73" i="5"/>
  <c r="E73" i="5"/>
  <c r="AQ61" i="4" a="1"/>
  <c r="AQ61" i="4" s="1"/>
  <c r="AQ53" i="4" s="1"/>
  <c r="P82" i="11"/>
  <c r="P21" i="4"/>
  <c r="P55" i="16" s="1"/>
  <c r="P88" i="16" s="1"/>
  <c r="Q87" i="4"/>
  <c r="AL74" i="4" a="1"/>
  <c r="AL74" i="4" s="1"/>
  <c r="AM74" i="4" a="1"/>
  <c r="AM74" i="4" s="1"/>
  <c r="AM68" i="4" s="1"/>
  <c r="AN74" i="4" a="1"/>
  <c r="AN74" i="4" s="1"/>
  <c r="AO74" i="4" a="1"/>
  <c r="AO74" i="4" s="1"/>
  <c r="AP74" i="4" a="1"/>
  <c r="AP74" i="4" s="1"/>
  <c r="AQ74" i="4" a="1"/>
  <c r="AQ74" i="4" s="1"/>
  <c r="AW74" i="4" a="1"/>
  <c r="AW74" i="4" s="1"/>
  <c r="AJ74" i="4" a="1"/>
  <c r="AJ74" i="4" s="1"/>
  <c r="AR74" i="4" a="1"/>
  <c r="AR74" i="4" s="1"/>
  <c r="AR68" i="4" s="1"/>
  <c r="AS74" i="4" a="1"/>
  <c r="AS74" i="4" s="1"/>
  <c r="AV74" i="4" a="1"/>
  <c r="AV74" i="4" s="1"/>
  <c r="AU74" i="4" a="1"/>
  <c r="AU74" i="4" s="1"/>
  <c r="AK74" i="4" a="1"/>
  <c r="AK74" i="4" s="1"/>
  <c r="AK68" i="4" s="1"/>
  <c r="F82" i="11"/>
  <c r="F21" i="4"/>
  <c r="F55" i="16" s="1"/>
  <c r="F88" i="16" s="1"/>
  <c r="G82" i="11"/>
  <c r="G21" i="4"/>
  <c r="G55" i="16" s="1"/>
  <c r="G88" i="16" s="1"/>
  <c r="M82" i="11"/>
  <c r="M21" i="4"/>
  <c r="M55" i="16" s="1"/>
  <c r="M88" i="16" s="1"/>
  <c r="S85" i="4"/>
  <c r="V98" i="4"/>
  <c r="X98" i="4"/>
  <c r="AE73" i="5"/>
  <c r="AS61" i="4" a="1"/>
  <c r="AS61" i="4" s="1"/>
  <c r="AS53" i="4" s="1"/>
  <c r="AP61" i="4" a="1"/>
  <c r="AP61" i="4" s="1"/>
  <c r="AP53" i="4" s="1"/>
  <c r="W98" i="4"/>
  <c r="L82" i="11"/>
  <c r="L21" i="4"/>
  <c r="L55" i="16" s="1"/>
  <c r="L88" i="16" s="1"/>
  <c r="R85" i="4"/>
  <c r="AH98" i="4"/>
  <c r="AJ61" i="4" a="1"/>
  <c r="AJ61" i="4" s="1"/>
  <c r="AJ53" i="4" s="1"/>
  <c r="AO61" i="4" a="1"/>
  <c r="AO61" i="4" s="1"/>
  <c r="AO53" i="4" s="1"/>
  <c r="AK86" i="4" a="1"/>
  <c r="AK86" i="4" s="1"/>
  <c r="Y98" i="4"/>
  <c r="AU61" i="4" a="1"/>
  <c r="AU61" i="4" s="1"/>
  <c r="AU53" i="4" s="1"/>
  <c r="AN61" i="4" a="1"/>
  <c r="AN61" i="4" s="1"/>
  <c r="AN53" i="4" s="1"/>
  <c r="I18" i="1"/>
  <c r="H18" i="1"/>
  <c r="E82" i="11"/>
  <c r="AH127" i="4"/>
  <c r="AD127" i="4"/>
  <c r="AD129" i="4" s="1"/>
  <c r="AD19" i="4" s="1"/>
  <c r="X127" i="4"/>
  <c r="Z127" i="4"/>
  <c r="AE127" i="4"/>
  <c r="AE129" i="4" s="1"/>
  <c r="AE19" i="4" s="1"/>
  <c r="W127" i="4"/>
  <c r="R127" i="4"/>
  <c r="R129" i="4" s="1"/>
  <c r="R19" i="4" s="1"/>
  <c r="U127" i="4"/>
  <c r="U129" i="4" s="1"/>
  <c r="U19" i="4" s="1"/>
  <c r="AF127" i="4"/>
  <c r="S127" i="4"/>
  <c r="Y127" i="4"/>
  <c r="AG127" i="4"/>
  <c r="AG129" i="4" s="1"/>
  <c r="AG19" i="4" s="1"/>
  <c r="T127" i="4"/>
  <c r="T129" i="4" s="1"/>
  <c r="T19" i="4" s="1"/>
  <c r="V127" i="4"/>
  <c r="V129" i="4" s="1"/>
  <c r="V19" i="4" s="1"/>
  <c r="AA127" i="4"/>
  <c r="AB127" i="4"/>
  <c r="AH159" i="8"/>
  <c r="AH161" i="8" s="1"/>
  <c r="AH144" i="8"/>
  <c r="AH146" i="8" s="1"/>
  <c r="O56" i="10"/>
  <c r="O58" i="10" s="1"/>
  <c r="AA159" i="8"/>
  <c r="AA161" i="8" s="1"/>
  <c r="AA144" i="8"/>
  <c r="AA146" i="8" s="1"/>
  <c r="AB144" i="8"/>
  <c r="AB146" i="8" s="1"/>
  <c r="AB159" i="8"/>
  <c r="AB161" i="8" s="1"/>
  <c r="AQ161" i="8" s="1" a="1"/>
  <c r="AQ161" i="8" s="1"/>
  <c r="J56" i="10"/>
  <c r="J58" i="10" s="1"/>
  <c r="X144" i="8"/>
  <c r="X146" i="8" s="1"/>
  <c r="X159" i="8"/>
  <c r="X161" i="8" s="1"/>
  <c r="Y159" i="8"/>
  <c r="Y161" i="8" s="1"/>
  <c r="AP161" i="8" s="1" a="1"/>
  <c r="AP161" i="8" s="1"/>
  <c r="Y144" i="8"/>
  <c r="Y146" i="8" s="1"/>
  <c r="U159" i="8"/>
  <c r="U161" i="8" s="1"/>
  <c r="U144" i="8"/>
  <c r="U146" i="8" s="1"/>
  <c r="W144" i="8"/>
  <c r="W146" i="8" s="1"/>
  <c r="W159" i="8"/>
  <c r="W161" i="8" s="1"/>
  <c r="V159" i="8"/>
  <c r="V161" i="8" s="1"/>
  <c r="V144" i="8"/>
  <c r="V146" i="8" s="1"/>
  <c r="I56" i="10"/>
  <c r="I58" i="10" s="1"/>
  <c r="G161" i="10"/>
  <c r="J161" i="10"/>
  <c r="I25" i="11"/>
  <c r="I85" i="11" s="1"/>
  <c r="I161" i="10"/>
  <c r="O161" i="10"/>
  <c r="E81" i="5"/>
  <c r="E56" i="16" s="1"/>
  <c r="Z13" i="1"/>
  <c r="Z14" i="1"/>
  <c r="AD15" i="1"/>
  <c r="AA15" i="1"/>
  <c r="AA14" i="1"/>
  <c r="T13" i="1"/>
  <c r="AA13" i="1"/>
  <c r="S13" i="1"/>
  <c r="AE14" i="1"/>
  <c r="U15" i="1"/>
  <c r="Z15" i="1"/>
  <c r="AH14" i="1"/>
  <c r="W13" i="1"/>
  <c r="Y15" i="1"/>
  <c r="R13" i="1"/>
  <c r="X13" i="1"/>
  <c r="AG99" i="4"/>
  <c r="AG112" i="4" s="1"/>
  <c r="AG16" i="4" s="1"/>
  <c r="T101" i="4"/>
  <c r="T114" i="4" s="1"/>
  <c r="T18" i="4" s="1"/>
  <c r="AG15" i="1"/>
  <c r="U99" i="4"/>
  <c r="U102" i="4" s="1"/>
  <c r="U72" i="5" s="1"/>
  <c r="V99" i="4"/>
  <c r="V112" i="4" s="1"/>
  <c r="V16" i="4" s="1"/>
  <c r="AE101" i="4"/>
  <c r="AE114" i="4" s="1"/>
  <c r="AE18" i="4" s="1"/>
  <c r="X14" i="1"/>
  <c r="AE99" i="4"/>
  <c r="AE112" i="4" s="1"/>
  <c r="AE16" i="4" s="1"/>
  <c r="AF101" i="4"/>
  <c r="AF114" i="4" s="1"/>
  <c r="AF18" i="4" s="1"/>
  <c r="V101" i="4"/>
  <c r="S129" i="4"/>
  <c r="S19" i="4" s="1"/>
  <c r="AD99" i="4"/>
  <c r="AD112" i="4" s="1"/>
  <c r="AD16" i="4" s="1"/>
  <c r="R101" i="4"/>
  <c r="R114" i="4" s="1"/>
  <c r="R18" i="4" s="1"/>
  <c r="S100" i="4"/>
  <c r="S113" i="4" s="1"/>
  <c r="S17" i="4" s="1"/>
  <c r="AH99" i="4"/>
  <c r="AH102" i="4" s="1"/>
  <c r="AH72" i="5" s="1"/>
  <c r="Y99" i="4"/>
  <c r="Y112" i="4" s="1"/>
  <c r="Y16" i="4" s="1"/>
  <c r="W15" i="1"/>
  <c r="Q99" i="4"/>
  <c r="AC99" i="4"/>
  <c r="AC112" i="4" s="1"/>
  <c r="AC16" i="4" s="1"/>
  <c r="AD14" i="1"/>
  <c r="L12" i="1"/>
  <c r="L18" i="1" s="1"/>
  <c r="M12" i="1"/>
  <c r="M18" i="1" s="1"/>
  <c r="V14" i="1"/>
  <c r="K12" i="1"/>
  <c r="K18" i="1" s="1"/>
  <c r="E12" i="1"/>
  <c r="U14" i="1"/>
  <c r="U89" i="4"/>
  <c r="AH89" i="4"/>
  <c r="Z84" i="5"/>
  <c r="AG14" i="1"/>
  <c r="F12" i="1"/>
  <c r="F18" i="1" s="1"/>
  <c r="Y89" i="4"/>
  <c r="P12" i="1"/>
  <c r="P18" i="1" s="1"/>
  <c r="U84" i="5"/>
  <c r="AG84" i="5" s="1"/>
  <c r="T84" i="5"/>
  <c r="AF84" i="5" s="1"/>
  <c r="R14" i="1"/>
  <c r="T14" i="1"/>
  <c r="G12" i="1"/>
  <c r="G18" i="1" s="1"/>
  <c r="J12" i="1"/>
  <c r="J18" i="1" s="1"/>
  <c r="AC88" i="4"/>
  <c r="Z89" i="4"/>
  <c r="R89" i="4"/>
  <c r="S89" i="4"/>
  <c r="AG89" i="4"/>
  <c r="AB89" i="4"/>
  <c r="T89" i="4"/>
  <c r="V89" i="4"/>
  <c r="Q88" i="4"/>
  <c r="Q72" i="4"/>
  <c r="Q63" i="4"/>
  <c r="AC56" i="4"/>
  <c r="AC113" i="4"/>
  <c r="AC17" i="4" s="1"/>
  <c r="AC120" i="4"/>
  <c r="AC124" i="4" s="1"/>
  <c r="S76" i="4"/>
  <c r="Y111" i="4"/>
  <c r="T76" i="4"/>
  <c r="AG76" i="4"/>
  <c r="AB15" i="4"/>
  <c r="AC72" i="4"/>
  <c r="AC63" i="4"/>
  <c r="O15" i="4"/>
  <c r="O115" i="4"/>
  <c r="AF72" i="4"/>
  <c r="AF63" i="4"/>
  <c r="AE72" i="4"/>
  <c r="AE63" i="4"/>
  <c r="Z76" i="4"/>
  <c r="Q120" i="4"/>
  <c r="U15" i="4"/>
  <c r="R76" i="4"/>
  <c r="AA111" i="4"/>
  <c r="AA102" i="4"/>
  <c r="AA72" i="5" s="1"/>
  <c r="W102" i="4"/>
  <c r="W72" i="5" s="1"/>
  <c r="W111" i="4"/>
  <c r="AD72" i="4"/>
  <c r="AD63" i="4"/>
  <c r="AH111" i="4"/>
  <c r="AW68" i="4" l="1"/>
  <c r="AP80" i="4"/>
  <c r="AV68" i="4"/>
  <c r="AK80" i="4"/>
  <c r="AU80" i="4"/>
  <c r="AL68" i="4"/>
  <c r="AL80" i="4"/>
  <c r="AW80" i="4"/>
  <c r="AJ80" i="4"/>
  <c r="AO80" i="4"/>
  <c r="AN80" i="4"/>
  <c r="AR80" i="4"/>
  <c r="AS80" i="4"/>
  <c r="AQ80" i="4"/>
  <c r="AN68" i="4"/>
  <c r="AP68" i="4"/>
  <c r="AL63" i="4"/>
  <c r="AL55" i="4" s="1"/>
  <c r="AL51" i="4"/>
  <c r="AP63" i="4"/>
  <c r="AP55" i="4" s="1"/>
  <c r="AP51" i="4"/>
  <c r="AE85" i="4"/>
  <c r="AU68" i="4"/>
  <c r="AO68" i="4"/>
  <c r="AJ63" i="4"/>
  <c r="AJ55" i="4" s="1"/>
  <c r="AJ51" i="4"/>
  <c r="AO63" i="4"/>
  <c r="AO55" i="4" s="1"/>
  <c r="AO51" i="4"/>
  <c r="AV80" i="4"/>
  <c r="AM80" i="4"/>
  <c r="AF85" i="4"/>
  <c r="X102" i="4"/>
  <c r="X72" i="5" s="1"/>
  <c r="Q85" i="4"/>
  <c r="AL72" i="4" a="1"/>
  <c r="AL72" i="4" s="1"/>
  <c r="AM72" i="4" a="1"/>
  <c r="AM72" i="4" s="1"/>
  <c r="AN72" i="4" a="1"/>
  <c r="AN72" i="4" s="1"/>
  <c r="AO72" i="4" a="1"/>
  <c r="AO72" i="4" s="1"/>
  <c r="AP72" i="4" a="1"/>
  <c r="AP72" i="4" s="1"/>
  <c r="AQ72" i="4" a="1"/>
  <c r="AQ72" i="4" s="1"/>
  <c r="AV72" i="4" a="1"/>
  <c r="AV72" i="4" s="1"/>
  <c r="AW72" i="4" a="1"/>
  <c r="AW72" i="4" s="1"/>
  <c r="AR72" i="4" a="1"/>
  <c r="AR72" i="4" s="1"/>
  <c r="AK72" i="4" a="1"/>
  <c r="AK72" i="4" s="1"/>
  <c r="AS72" i="4" a="1"/>
  <c r="AS72" i="4" s="1"/>
  <c r="AJ72" i="4" a="1"/>
  <c r="AJ72" i="4" s="1"/>
  <c r="AU72" i="4" a="1"/>
  <c r="AU72" i="4" s="1"/>
  <c r="E18" i="1"/>
  <c r="AS68" i="4"/>
  <c r="AV63" i="4"/>
  <c r="AV55" i="4" s="1"/>
  <c r="AV51" i="4"/>
  <c r="AM63" i="4"/>
  <c r="AM55" i="4" s="1"/>
  <c r="AM51" i="4"/>
  <c r="X111" i="4"/>
  <c r="AL88" i="4" a="1"/>
  <c r="AL88" i="4" s="1"/>
  <c r="AL82" i="4" s="1"/>
  <c r="AM88" i="4" a="1"/>
  <c r="AM88" i="4" s="1"/>
  <c r="AM82" i="4" s="1"/>
  <c r="AN88" i="4" a="1"/>
  <c r="AN88" i="4" s="1"/>
  <c r="AN82" i="4" s="1"/>
  <c r="AO88" i="4" a="1"/>
  <c r="AO88" i="4" s="1"/>
  <c r="AO82" i="4" s="1"/>
  <c r="AP88" i="4" a="1"/>
  <c r="AP88" i="4" s="1"/>
  <c r="AP82" i="4" s="1"/>
  <c r="AQ88" i="4" a="1"/>
  <c r="AQ88" i="4" s="1"/>
  <c r="AQ82" i="4" s="1"/>
  <c r="AR88" i="4" a="1"/>
  <c r="AR88" i="4" s="1"/>
  <c r="AR82" i="4" s="1"/>
  <c r="AS88" i="4" a="1"/>
  <c r="AS88" i="4" s="1"/>
  <c r="AS82" i="4" s="1"/>
  <c r="AW88" i="4" a="1"/>
  <c r="AW88" i="4" s="1"/>
  <c r="AW82" i="4" s="1"/>
  <c r="AU88" i="4" a="1"/>
  <c r="AU88" i="4" s="1"/>
  <c r="AU82" i="4" s="1"/>
  <c r="AJ88" i="4" a="1"/>
  <c r="AJ88" i="4" s="1"/>
  <c r="AJ82" i="4" s="1"/>
  <c r="AV88" i="4" a="1"/>
  <c r="AV88" i="4" s="1"/>
  <c r="AV82" i="4" s="1"/>
  <c r="AK88" i="4" a="1"/>
  <c r="AK88" i="4" s="1"/>
  <c r="AK82" i="4" s="1"/>
  <c r="AW63" i="4"/>
  <c r="AW55" i="4" s="1"/>
  <c r="AW51" i="4"/>
  <c r="AK63" i="4"/>
  <c r="AK55" i="4" s="1"/>
  <c r="AK51" i="4"/>
  <c r="Z98" i="4"/>
  <c r="AN63" i="4"/>
  <c r="AN55" i="4" s="1"/>
  <c r="AN51" i="4"/>
  <c r="V111" i="4"/>
  <c r="AO161" i="8" a="1"/>
  <c r="AO161" i="8" s="1"/>
  <c r="AV161" i="8"/>
  <c r="AS161" i="8" a="1"/>
  <c r="AS161" i="8" s="1"/>
  <c r="AW161" i="8"/>
  <c r="R98" i="4"/>
  <c r="AJ68" i="4"/>
  <c r="Q100" i="4"/>
  <c r="AL87" i="4" a="1"/>
  <c r="AL87" i="4" s="1"/>
  <c r="AL81" i="4" s="1"/>
  <c r="AM87" i="4" a="1"/>
  <c r="AM87" i="4" s="1"/>
  <c r="AM81" i="4" s="1"/>
  <c r="AN87" i="4" a="1"/>
  <c r="AN87" i="4" s="1"/>
  <c r="AN81" i="4" s="1"/>
  <c r="AO87" i="4" a="1"/>
  <c r="AO87" i="4" s="1"/>
  <c r="AO81" i="4" s="1"/>
  <c r="AP87" i="4" a="1"/>
  <c r="AP87" i="4" s="1"/>
  <c r="AP81" i="4" s="1"/>
  <c r="AQ87" i="4" a="1"/>
  <c r="AQ87" i="4" s="1"/>
  <c r="AQ81" i="4" s="1"/>
  <c r="AU87" i="4" a="1"/>
  <c r="AU87" i="4" s="1"/>
  <c r="AU81" i="4" s="1"/>
  <c r="AW87" i="4" a="1"/>
  <c r="AW87" i="4" s="1"/>
  <c r="AW81" i="4" s="1"/>
  <c r="AK87" i="4" a="1"/>
  <c r="AK87" i="4" s="1"/>
  <c r="AK81" i="4" s="1"/>
  <c r="AS87" i="4" a="1"/>
  <c r="AS87" i="4" s="1"/>
  <c r="AS81" i="4" s="1"/>
  <c r="AV87" i="4" a="1"/>
  <c r="AV87" i="4" s="1"/>
  <c r="AV81" i="4" s="1"/>
  <c r="AR87" i="4" a="1"/>
  <c r="AR87" i="4" s="1"/>
  <c r="AR81" i="4" s="1"/>
  <c r="AJ87" i="4" a="1"/>
  <c r="AJ87" i="4" s="1"/>
  <c r="AJ81" i="4" s="1"/>
  <c r="AU63" i="4"/>
  <c r="AU55" i="4" s="1"/>
  <c r="AU51" i="4"/>
  <c r="AG98" i="4"/>
  <c r="AS63" i="4"/>
  <c r="AS55" i="4" s="1"/>
  <c r="AS51" i="4"/>
  <c r="AD85" i="4"/>
  <c r="O82" i="11"/>
  <c r="O21" i="4"/>
  <c r="O55" i="16" s="1"/>
  <c r="O88" i="16" s="1"/>
  <c r="AK120" i="4" a="1"/>
  <c r="AK120" i="4" s="1"/>
  <c r="AS120" i="4" a="1"/>
  <c r="AS120" i="4" s="1"/>
  <c r="AP120" i="4" a="1"/>
  <c r="AP120" i="4" s="1"/>
  <c r="AV120" i="4" a="1"/>
  <c r="AV120" i="4" s="1"/>
  <c r="AU120" i="4" a="1"/>
  <c r="AU120" i="4" s="1"/>
  <c r="AW120" i="4" a="1"/>
  <c r="AW120" i="4" s="1"/>
  <c r="AN120" i="4" a="1"/>
  <c r="AN120" i="4" s="1"/>
  <c r="AJ120" i="4" a="1"/>
  <c r="AJ120" i="4" s="1"/>
  <c r="AO120" i="4" a="1"/>
  <c r="AO120" i="4" s="1"/>
  <c r="AQ120" i="4" a="1"/>
  <c r="AQ120" i="4" s="1"/>
  <c r="AL120" i="4" a="1"/>
  <c r="AL120" i="4" s="1"/>
  <c r="AR120" i="4" a="1"/>
  <c r="AR120" i="4" s="1"/>
  <c r="AM120" i="4" a="1"/>
  <c r="AM120" i="4" s="1"/>
  <c r="S98" i="4"/>
  <c r="AR63" i="4"/>
  <c r="AR55" i="4" s="1"/>
  <c r="AR51" i="4"/>
  <c r="Q112" i="4"/>
  <c r="AL99" i="4" a="1"/>
  <c r="AL99" i="4" s="1"/>
  <c r="AL93" i="4" s="1"/>
  <c r="AM99" i="4" a="1"/>
  <c r="AM99" i="4" s="1"/>
  <c r="AM93" i="4" s="1"/>
  <c r="AN99" i="4" a="1"/>
  <c r="AN99" i="4" s="1"/>
  <c r="AN93" i="4" s="1"/>
  <c r="AO99" i="4" a="1"/>
  <c r="AO99" i="4" s="1"/>
  <c r="AO93" i="4" s="1"/>
  <c r="AP99" i="4" a="1"/>
  <c r="AP99" i="4" s="1"/>
  <c r="AP93" i="4" s="1"/>
  <c r="AQ99" i="4" a="1"/>
  <c r="AQ99" i="4" s="1"/>
  <c r="AQ93" i="4" s="1"/>
  <c r="AR99" i="4" a="1"/>
  <c r="AR99" i="4" s="1"/>
  <c r="AR93" i="4" s="1"/>
  <c r="AS99" i="4" a="1"/>
  <c r="AS99" i="4" s="1"/>
  <c r="AS93" i="4" s="1"/>
  <c r="AV99" i="4" a="1"/>
  <c r="AV99" i="4" s="1"/>
  <c r="AV93" i="4" s="1"/>
  <c r="AJ99" i="4" a="1"/>
  <c r="AJ99" i="4" s="1"/>
  <c r="AJ93" i="4" s="1"/>
  <c r="AW99" i="4" a="1"/>
  <c r="AW99" i="4" s="1"/>
  <c r="AW93" i="4" s="1"/>
  <c r="AU99" i="4" a="1"/>
  <c r="AU99" i="4" s="1"/>
  <c r="AU93" i="4" s="1"/>
  <c r="AK99" i="4" a="1"/>
  <c r="AK99" i="4" s="1"/>
  <c r="AK93" i="4" s="1"/>
  <c r="AC85" i="4"/>
  <c r="AQ68" i="4"/>
  <c r="Q73" i="5"/>
  <c r="AQ63" i="4"/>
  <c r="AQ55" i="4" s="1"/>
  <c r="AQ51" i="4"/>
  <c r="T98" i="4"/>
  <c r="O78" i="5"/>
  <c r="I78" i="5"/>
  <c r="J78" i="5"/>
  <c r="Q127" i="4"/>
  <c r="AK127" i="4" s="1" a="1"/>
  <c r="AK127" i="4" s="1"/>
  <c r="AC127" i="4"/>
  <c r="AC129" i="4" s="1"/>
  <c r="AC19" i="4" s="1"/>
  <c r="AA129" i="4"/>
  <c r="AA19" i="4" s="1"/>
  <c r="Y129" i="4"/>
  <c r="Y19" i="4" s="1"/>
  <c r="AH129" i="4"/>
  <c r="AH19" i="4" s="1"/>
  <c r="X129" i="4"/>
  <c r="X19" i="4" s="1"/>
  <c r="AF129" i="4"/>
  <c r="AF19" i="4" s="1"/>
  <c r="Z129" i="4"/>
  <c r="Z19" i="4" s="1"/>
  <c r="AB129" i="4"/>
  <c r="AB19" i="4" s="1"/>
  <c r="W129" i="4"/>
  <c r="W19" i="4" s="1"/>
  <c r="I84" i="11"/>
  <c r="R159" i="8"/>
  <c r="R161" i="8" s="1"/>
  <c r="R144" i="8"/>
  <c r="R146" i="8" s="1"/>
  <c r="L56" i="10"/>
  <c r="L58" i="10" s="1"/>
  <c r="W164" i="8"/>
  <c r="W166" i="8" s="1"/>
  <c r="W32" i="8" s="1"/>
  <c r="W31" i="8"/>
  <c r="T144" i="8"/>
  <c r="T146" i="8" s="1"/>
  <c r="T159" i="8"/>
  <c r="T161" i="8" s="1"/>
  <c r="H84" i="11"/>
  <c r="G56" i="10"/>
  <c r="G58" i="10" s="1"/>
  <c r="AA164" i="8"/>
  <c r="AA166" i="8" s="1"/>
  <c r="AA32" i="8" s="1"/>
  <c r="AA31" i="8"/>
  <c r="S159" i="8"/>
  <c r="S161" i="8" s="1"/>
  <c r="AN161" i="8" s="1" a="1"/>
  <c r="AN161" i="8" s="1"/>
  <c r="S144" i="8"/>
  <c r="S146" i="8" s="1"/>
  <c r="U164" i="8"/>
  <c r="U166" i="8" s="1"/>
  <c r="U32" i="8" s="1"/>
  <c r="U31" i="8"/>
  <c r="V164" i="8"/>
  <c r="V31" i="8"/>
  <c r="Q56" i="10"/>
  <c r="N56" i="10"/>
  <c r="N58" i="10" s="1"/>
  <c r="Y164" i="8"/>
  <c r="Y31" i="8"/>
  <c r="AP31" i="8" s="1" a="1"/>
  <c r="AP31" i="8" s="1"/>
  <c r="Z159" i="8"/>
  <c r="Z161" i="8" s="1"/>
  <c r="Z144" i="8"/>
  <c r="Z146" i="8" s="1"/>
  <c r="AG159" i="8"/>
  <c r="AG161" i="8" s="1"/>
  <c r="AG144" i="8"/>
  <c r="AG146" i="8" s="1"/>
  <c r="X164" i="8"/>
  <c r="X166" i="8" s="1"/>
  <c r="X32" i="8" s="1"/>
  <c r="X31" i="8"/>
  <c r="AB164" i="8"/>
  <c r="AB31" i="8"/>
  <c r="AQ31" i="8" s="1" a="1"/>
  <c r="AQ31" i="8" s="1"/>
  <c r="AH164" i="8"/>
  <c r="AH31" i="8"/>
  <c r="N25" i="11"/>
  <c r="N85" i="11" s="1"/>
  <c r="E162" i="10"/>
  <c r="F25" i="11"/>
  <c r="F85" i="11" s="1"/>
  <c r="P25" i="11"/>
  <c r="P85" i="11" s="1"/>
  <c r="Q161" i="10"/>
  <c r="H161" i="10"/>
  <c r="G25" i="11"/>
  <c r="G85" i="11" s="1"/>
  <c r="F161" i="10"/>
  <c r="E25" i="11"/>
  <c r="H25" i="11"/>
  <c r="H85" i="11" s="1"/>
  <c r="P161" i="10"/>
  <c r="O25" i="11"/>
  <c r="O85" i="11" s="1"/>
  <c r="M161" i="10"/>
  <c r="L25" i="11"/>
  <c r="L85" i="11" s="1"/>
  <c r="M25" i="11"/>
  <c r="M85" i="11" s="1"/>
  <c r="N161" i="10"/>
  <c r="J25" i="11"/>
  <c r="J85" i="11" s="1"/>
  <c r="K161" i="10"/>
  <c r="L161" i="10"/>
  <c r="K25" i="11"/>
  <c r="K85" i="11" s="1"/>
  <c r="V102" i="4"/>
  <c r="V72" i="5" s="1"/>
  <c r="E96" i="5"/>
  <c r="E94" i="5"/>
  <c r="E92" i="5"/>
  <c r="E95" i="5"/>
  <c r="E93" i="5"/>
  <c r="E91" i="5"/>
  <c r="N84" i="11"/>
  <c r="Y102" i="4"/>
  <c r="Y72" i="5" s="1"/>
  <c r="S16" i="1"/>
  <c r="V16" i="1"/>
  <c r="AD16" i="1"/>
  <c r="U16" i="1"/>
  <c r="T15" i="1"/>
  <c r="AF15" i="1"/>
  <c r="AG16" i="1"/>
  <c r="AG13" i="1"/>
  <c r="AE15" i="1"/>
  <c r="AE13" i="1"/>
  <c r="AE16" i="1"/>
  <c r="R15" i="1"/>
  <c r="T16" i="1"/>
  <c r="AD13" i="1"/>
  <c r="Y13" i="1"/>
  <c r="AH112" i="4"/>
  <c r="AH16" i="4" s="1"/>
  <c r="V114" i="4"/>
  <c r="V18" i="4" s="1"/>
  <c r="S14" i="1"/>
  <c r="R16" i="1"/>
  <c r="U112" i="4"/>
  <c r="V13" i="1"/>
  <c r="AC13" i="1"/>
  <c r="Q101" i="4"/>
  <c r="AC101" i="4"/>
  <c r="AC114" i="4" s="1"/>
  <c r="AC18" i="4" s="1"/>
  <c r="AB12" i="1"/>
  <c r="U12" i="1"/>
  <c r="AB84" i="5"/>
  <c r="AC14" i="1"/>
  <c r="Y84" i="5"/>
  <c r="O12" i="1"/>
  <c r="O18" i="1" s="1"/>
  <c r="V84" i="5"/>
  <c r="AH84" i="5" s="1"/>
  <c r="R84" i="5"/>
  <c r="AD84" i="5" s="1"/>
  <c r="X84" i="5"/>
  <c r="AE89" i="4"/>
  <c r="S84" i="5"/>
  <c r="AE84" i="5" s="1"/>
  <c r="W84" i="5"/>
  <c r="AB114" i="4"/>
  <c r="AB102" i="4"/>
  <c r="AB72" i="5" s="1"/>
  <c r="AD89" i="4"/>
  <c r="AF89" i="4"/>
  <c r="Q89" i="4"/>
  <c r="Q76" i="4"/>
  <c r="AF76" i="4"/>
  <c r="AH15" i="4"/>
  <c r="Z111" i="4"/>
  <c r="Z102" i="4"/>
  <c r="Z72" i="5" s="1"/>
  <c r="Y15" i="4"/>
  <c r="Y115" i="4"/>
  <c r="S102" i="4"/>
  <c r="S72" i="5" s="1"/>
  <c r="S111" i="4"/>
  <c r="W115" i="4"/>
  <c r="W15" i="4"/>
  <c r="W21" i="4" s="1"/>
  <c r="W55" i="16" s="1"/>
  <c r="AE76" i="4"/>
  <c r="V15" i="4"/>
  <c r="V21" i="4" s="1"/>
  <c r="V55" i="16" s="1"/>
  <c r="X115" i="4"/>
  <c r="X15" i="4"/>
  <c r="AA115" i="4"/>
  <c r="AA15" i="4"/>
  <c r="R111" i="4"/>
  <c r="R102" i="4"/>
  <c r="R72" i="5" s="1"/>
  <c r="AG102" i="4"/>
  <c r="AG72" i="5" s="1"/>
  <c r="AG111" i="4"/>
  <c r="AD76" i="4"/>
  <c r="T111" i="4"/>
  <c r="T102" i="4"/>
  <c r="T72" i="5" s="1"/>
  <c r="AC76" i="4"/>
  <c r="Q16" i="4" l="1"/>
  <c r="AL112" i="4" a="1"/>
  <c r="AL112" i="4" s="1"/>
  <c r="AL106" i="4" s="1"/>
  <c r="AM112" i="4" a="1"/>
  <c r="AM112" i="4" s="1"/>
  <c r="AM106" i="4" s="1"/>
  <c r="AN112" i="4" a="1"/>
  <c r="AN112" i="4" s="1"/>
  <c r="AN106" i="4" s="1"/>
  <c r="AO112" i="4" a="1"/>
  <c r="AO112" i="4" s="1"/>
  <c r="AO106" i="4" s="1"/>
  <c r="AP112" i="4" a="1"/>
  <c r="AP112" i="4" s="1"/>
  <c r="AP106" i="4" s="1"/>
  <c r="AQ112" i="4" a="1"/>
  <c r="AQ112" i="4" s="1"/>
  <c r="AQ106" i="4" s="1"/>
  <c r="AW112" i="4" a="1"/>
  <c r="AW112" i="4" s="1"/>
  <c r="AW106" i="4" s="1"/>
  <c r="AJ112" i="4" a="1"/>
  <c r="AJ112" i="4" s="1"/>
  <c r="AJ106" i="4" s="1"/>
  <c r="AS112" i="4" a="1"/>
  <c r="AS112" i="4" s="1"/>
  <c r="AS106" i="4" s="1"/>
  <c r="AR112" i="4" a="1"/>
  <c r="AR112" i="4" s="1"/>
  <c r="AR106" i="4" s="1"/>
  <c r="AV112" i="4" a="1"/>
  <c r="AV112" i="4" s="1"/>
  <c r="AV106" i="4" s="1"/>
  <c r="AK112" i="4" a="1"/>
  <c r="AK112" i="4" s="1"/>
  <c r="AK106" i="4" s="1"/>
  <c r="AU112" i="4" a="1"/>
  <c r="AU112" i="4" s="1"/>
  <c r="AU106" i="4" s="1"/>
  <c r="AR66" i="4"/>
  <c r="AR76" i="4"/>
  <c r="AL66" i="4"/>
  <c r="AL76" i="4"/>
  <c r="AM66" i="4"/>
  <c r="AM76" i="4"/>
  <c r="AE98" i="4"/>
  <c r="AH82" i="11"/>
  <c r="AH21" i="4"/>
  <c r="AH55" i="16" s="1"/>
  <c r="Q129" i="4"/>
  <c r="AB166" i="8"/>
  <c r="AQ164" i="8" a="1"/>
  <c r="AQ164" i="8" s="1"/>
  <c r="Y166" i="8"/>
  <c r="AP164" i="8" a="1"/>
  <c r="AP164" i="8" s="1"/>
  <c r="AW76" i="4"/>
  <c r="AW66" i="4"/>
  <c r="Q114" i="4"/>
  <c r="AK101" i="4" a="1"/>
  <c r="AK101" i="4" s="1"/>
  <c r="AK95" i="4" s="1"/>
  <c r="AM101" i="4" a="1"/>
  <c r="AM101" i="4" s="1"/>
  <c r="AM95" i="4" s="1"/>
  <c r="AN101" i="4" a="1"/>
  <c r="AN101" i="4" s="1"/>
  <c r="AN95" i="4" s="1"/>
  <c r="AO101" i="4" a="1"/>
  <c r="AO101" i="4" s="1"/>
  <c r="AO95" i="4" s="1"/>
  <c r="AP101" i="4" a="1"/>
  <c r="AP101" i="4" s="1"/>
  <c r="AP95" i="4" s="1"/>
  <c r="AQ101" i="4" a="1"/>
  <c r="AQ101" i="4" s="1"/>
  <c r="AQ95" i="4" s="1"/>
  <c r="AR101" i="4" a="1"/>
  <c r="AR101" i="4" s="1"/>
  <c r="AR95" i="4" s="1"/>
  <c r="AU101" i="4" a="1"/>
  <c r="AU101" i="4" s="1"/>
  <c r="AU95" i="4" s="1"/>
  <c r="AS101" i="4" a="1"/>
  <c r="AS101" i="4" s="1"/>
  <c r="AS95" i="4" s="1"/>
  <c r="AV101" i="4" a="1"/>
  <c r="AV101" i="4" s="1"/>
  <c r="AV95" i="4" s="1"/>
  <c r="AJ101" i="4" a="1"/>
  <c r="AJ101" i="4" s="1"/>
  <c r="AJ95" i="4" s="1"/>
  <c r="AW101" i="4" a="1"/>
  <c r="AW101" i="4" s="1"/>
  <c r="AW95" i="4" s="1"/>
  <c r="AL101" i="4" a="1"/>
  <c r="AL101" i="4" s="1"/>
  <c r="AL95" i="4" s="1"/>
  <c r="E26" i="1"/>
  <c r="E35" i="1" s="1"/>
  <c r="AC98" i="4"/>
  <c r="AV76" i="4"/>
  <c r="AV66" i="4"/>
  <c r="Q98" i="4"/>
  <c r="AL85" i="4" a="1"/>
  <c r="AL85" i="4" s="1"/>
  <c r="AM85" i="4" a="1"/>
  <c r="AM85" i="4" s="1"/>
  <c r="AN85" i="4" a="1"/>
  <c r="AN85" i="4" s="1"/>
  <c r="AO85" i="4" a="1"/>
  <c r="AO85" i="4" s="1"/>
  <c r="AP85" i="4" a="1"/>
  <c r="AP85" i="4" s="1"/>
  <c r="AQ85" i="4" a="1"/>
  <c r="AQ85" i="4" s="1"/>
  <c r="AS85" i="4" a="1"/>
  <c r="AS85" i="4" s="1"/>
  <c r="AR85" i="4" a="1"/>
  <c r="AR85" i="4" s="1"/>
  <c r="AJ85" i="4" a="1"/>
  <c r="AJ85" i="4" s="1"/>
  <c r="AV85" i="4" a="1"/>
  <c r="AV85" i="4" s="1"/>
  <c r="AW85" i="4" a="1"/>
  <c r="AW85" i="4" s="1"/>
  <c r="AU85" i="4" a="1"/>
  <c r="AU85" i="4" s="1"/>
  <c r="AK85" i="4" a="1"/>
  <c r="AK85" i="4" s="1"/>
  <c r="AC89" i="4"/>
  <c r="E23" i="1"/>
  <c r="AL124" i="4" a="1"/>
  <c r="AL124" i="4" s="1"/>
  <c r="AL121" i="4" s="1"/>
  <c r="AM124" i="4" a="1"/>
  <c r="AM124" i="4" s="1"/>
  <c r="AM121" i="4" s="1"/>
  <c r="AN124" i="4" a="1"/>
  <c r="AN124" i="4" s="1"/>
  <c r="AN121" i="4" s="1"/>
  <c r="AO124" i="4" a="1"/>
  <c r="AO124" i="4" s="1"/>
  <c r="AO121" i="4" s="1"/>
  <c r="AP124" i="4" a="1"/>
  <c r="AP124" i="4" s="1"/>
  <c r="AP121" i="4" s="1"/>
  <c r="AQ124" i="4" a="1"/>
  <c r="AQ124" i="4" s="1"/>
  <c r="AQ121" i="4" s="1"/>
  <c r="AJ124" i="4" a="1"/>
  <c r="AJ124" i="4" s="1"/>
  <c r="AJ121" i="4" s="1"/>
  <c r="AK124" i="4" a="1"/>
  <c r="AK124" i="4" s="1"/>
  <c r="AK121" i="4" s="1"/>
  <c r="AS124" i="4" a="1"/>
  <c r="AS124" i="4" s="1"/>
  <c r="AS121" i="4" s="1"/>
  <c r="AV124" i="4" a="1"/>
  <c r="AV124" i="4" s="1"/>
  <c r="AV121" i="4" s="1"/>
  <c r="AU124" i="4" a="1"/>
  <c r="AU124" i="4" s="1"/>
  <c r="AU121" i="4" s="1"/>
  <c r="AR124" i="4" a="1"/>
  <c r="AR124" i="4" s="1"/>
  <c r="AR121" i="4" s="1"/>
  <c r="AW124" i="4" a="1"/>
  <c r="AW124" i="4" s="1"/>
  <c r="AW121" i="4" s="1"/>
  <c r="AD98" i="4"/>
  <c r="AQ66" i="4"/>
  <c r="AQ76" i="4"/>
  <c r="AK76" i="4"/>
  <c r="AK66" i="4"/>
  <c r="AA82" i="11"/>
  <c r="AA21" i="4"/>
  <c r="AA55" i="16" s="1"/>
  <c r="AC73" i="5"/>
  <c r="X21" i="4"/>
  <c r="X55" i="16" s="1"/>
  <c r="E25" i="1"/>
  <c r="E34" i="1" s="1"/>
  <c r="V166" i="8"/>
  <c r="AO164" i="8" a="1"/>
  <c r="AO164" i="8" s="1"/>
  <c r="AV164" i="8"/>
  <c r="AU66" i="4"/>
  <c r="AU76" i="4"/>
  <c r="AP66" i="4"/>
  <c r="AP76" i="4"/>
  <c r="AO31" i="8" a="1"/>
  <c r="AO31" i="8" s="1"/>
  <c r="AV31" i="8"/>
  <c r="Y82" i="11"/>
  <c r="Y21" i="4"/>
  <c r="Y55" i="16" s="1"/>
  <c r="E22" i="1"/>
  <c r="AS31" i="8" a="1"/>
  <c r="AS31" i="8" s="1"/>
  <c r="AW31" i="8"/>
  <c r="AJ66" i="4"/>
  <c r="AJ76" i="4"/>
  <c r="AO66" i="4"/>
  <c r="AO76" i="4"/>
  <c r="AF98" i="4"/>
  <c r="E24" i="1"/>
  <c r="AH166" i="8"/>
  <c r="AS164" i="8" a="1"/>
  <c r="AS164" i="8" s="1"/>
  <c r="AW164" i="8"/>
  <c r="AL127" i="4" a="1"/>
  <c r="AL127" i="4" s="1"/>
  <c r="AM127" i="4" a="1"/>
  <c r="AM127" i="4" s="1"/>
  <c r="AN127" i="4" a="1"/>
  <c r="AN127" i="4" s="1"/>
  <c r="AO127" i="4" a="1"/>
  <c r="AO127" i="4" s="1"/>
  <c r="AP127" i="4" a="1"/>
  <c r="AP127" i="4" s="1"/>
  <c r="AQ127" i="4" a="1"/>
  <c r="AQ127" i="4" s="1"/>
  <c r="AR127" i="4" a="1"/>
  <c r="AR127" i="4" s="1"/>
  <c r="AW127" i="4" a="1"/>
  <c r="AW127" i="4" s="1"/>
  <c r="AJ127" i="4" a="1"/>
  <c r="AJ127" i="4" s="1"/>
  <c r="AS127" i="4" a="1"/>
  <c r="AS127" i="4" s="1"/>
  <c r="AU127" i="4" a="1"/>
  <c r="AU127" i="4" s="1"/>
  <c r="AV127" i="4" a="1"/>
  <c r="AV127" i="4" s="1"/>
  <c r="AL100" i="4" a="1"/>
  <c r="AL100" i="4" s="1"/>
  <c r="AL94" i="4" s="1"/>
  <c r="AM100" i="4" a="1"/>
  <c r="AM100" i="4" s="1"/>
  <c r="AM94" i="4" s="1"/>
  <c r="AN100" i="4" a="1"/>
  <c r="AN100" i="4" s="1"/>
  <c r="AN94" i="4" s="1"/>
  <c r="AO100" i="4" a="1"/>
  <c r="AO100" i="4" s="1"/>
  <c r="AO94" i="4" s="1"/>
  <c r="AP100" i="4" a="1"/>
  <c r="AP100" i="4" s="1"/>
  <c r="AP94" i="4" s="1"/>
  <c r="AQ100" i="4" a="1"/>
  <c r="AQ100" i="4" s="1"/>
  <c r="AQ94" i="4" s="1"/>
  <c r="AV100" i="4" a="1"/>
  <c r="AV100" i="4" s="1"/>
  <c r="AV94" i="4" s="1"/>
  <c r="AR100" i="4" a="1"/>
  <c r="AR100" i="4" s="1"/>
  <c r="AR94" i="4" s="1"/>
  <c r="AW100" i="4" a="1"/>
  <c r="AW100" i="4" s="1"/>
  <c r="AW94" i="4" s="1"/>
  <c r="AU100" i="4" a="1"/>
  <c r="AU100" i="4" s="1"/>
  <c r="AU94" i="4" s="1"/>
  <c r="AJ100" i="4" a="1"/>
  <c r="AJ100" i="4" s="1"/>
  <c r="AJ94" i="4" s="1"/>
  <c r="AS100" i="4" a="1"/>
  <c r="AS100" i="4" s="1"/>
  <c r="AS94" i="4" s="1"/>
  <c r="AK100" i="4" a="1"/>
  <c r="AK100" i="4" s="1"/>
  <c r="AK94" i="4" s="1"/>
  <c r="Q113" i="4"/>
  <c r="AS76" i="4"/>
  <c r="AS66" i="4"/>
  <c r="AN76" i="4"/>
  <c r="AN66" i="4"/>
  <c r="E85" i="11"/>
  <c r="E32" i="1"/>
  <c r="E31" i="1"/>
  <c r="E33" i="1"/>
  <c r="X82" i="11"/>
  <c r="V82" i="11"/>
  <c r="W82" i="11"/>
  <c r="G78" i="5"/>
  <c r="L78" i="5"/>
  <c r="Z16" i="1"/>
  <c r="AH16" i="1"/>
  <c r="W16" i="1"/>
  <c r="AF16" i="1"/>
  <c r="Y16" i="1"/>
  <c r="AB16" i="1"/>
  <c r="X16" i="1"/>
  <c r="AA16" i="1"/>
  <c r="M84" i="11"/>
  <c r="M56" i="10"/>
  <c r="M58" i="10" s="1"/>
  <c r="H56" i="10"/>
  <c r="H58" i="10" s="1"/>
  <c r="L84" i="11"/>
  <c r="K84" i="11"/>
  <c r="G84" i="11"/>
  <c r="T164" i="8"/>
  <c r="T166" i="8" s="1"/>
  <c r="T32" i="8" s="1"/>
  <c r="T31" i="8"/>
  <c r="AD144" i="8"/>
  <c r="AD146" i="8" s="1"/>
  <c r="AD159" i="8"/>
  <c r="AD161" i="8" s="1"/>
  <c r="P84" i="11"/>
  <c r="K56" i="10"/>
  <c r="K58" i="10" s="1"/>
  <c r="AG164" i="8"/>
  <c r="AG166" i="8" s="1"/>
  <c r="AG32" i="8" s="1"/>
  <c r="AG31" i="8"/>
  <c r="J84" i="11"/>
  <c r="Z164" i="8"/>
  <c r="Z166" i="8" s="1"/>
  <c r="Z32" i="8" s="1"/>
  <c r="Z31" i="8"/>
  <c r="S164" i="8"/>
  <c r="S31" i="8"/>
  <c r="AN31" i="8" s="1" a="1"/>
  <c r="AN31" i="8" s="1"/>
  <c r="AE144" i="8"/>
  <c r="AE146" i="8" s="1"/>
  <c r="AE159" i="8"/>
  <c r="AE161" i="8" s="1"/>
  <c r="AR161" i="8" s="1" a="1"/>
  <c r="AR161" i="8" s="1"/>
  <c r="AC144" i="8"/>
  <c r="AC146" i="8" s="1"/>
  <c r="AC159" i="8"/>
  <c r="AC161" i="8" s="1"/>
  <c r="AF144" i="8"/>
  <c r="AF146" i="8" s="1"/>
  <c r="AF159" i="8"/>
  <c r="AF161" i="8" s="1"/>
  <c r="Q159" i="8"/>
  <c r="Q144" i="8"/>
  <c r="R164" i="8"/>
  <c r="R166" i="8" s="1"/>
  <c r="R32" i="8" s="1"/>
  <c r="R31" i="8"/>
  <c r="AH115" i="4"/>
  <c r="E97" i="5"/>
  <c r="E78" i="10" s="1"/>
  <c r="E81" i="10" s="1"/>
  <c r="N78" i="5"/>
  <c r="V115" i="4"/>
  <c r="Q102" i="4"/>
  <c r="Q72" i="5" s="1"/>
  <c r="V15" i="1"/>
  <c r="AH13" i="1"/>
  <c r="U16" i="4"/>
  <c r="U115" i="4"/>
  <c r="AC16" i="1"/>
  <c r="AC15" i="1"/>
  <c r="D210" i="10"/>
  <c r="V12" i="1"/>
  <c r="W12" i="1"/>
  <c r="AA12" i="1"/>
  <c r="AH12" i="1"/>
  <c r="Y12" i="1"/>
  <c r="X12" i="1"/>
  <c r="AA84" i="5"/>
  <c r="AB18" i="4"/>
  <c r="AB115" i="4"/>
  <c r="AE102" i="4"/>
  <c r="AE72" i="5" s="1"/>
  <c r="AE111" i="4"/>
  <c r="Z115" i="4"/>
  <c r="Z15" i="4"/>
  <c r="AC102" i="4"/>
  <c r="AC72" i="5" s="1"/>
  <c r="AC111" i="4"/>
  <c r="R15" i="4"/>
  <c r="R115" i="4"/>
  <c r="T115" i="4"/>
  <c r="T15" i="4"/>
  <c r="AD102" i="4"/>
  <c r="AD72" i="5" s="1"/>
  <c r="AD111" i="4"/>
  <c r="AG115" i="4"/>
  <c r="AG15" i="4"/>
  <c r="S115" i="4"/>
  <c r="S15" i="4"/>
  <c r="AF102" i="4"/>
  <c r="AF72" i="5" s="1"/>
  <c r="AF111" i="4"/>
  <c r="AU126" i="4" l="1"/>
  <c r="AL126" i="4"/>
  <c r="AQ126" i="4"/>
  <c r="AN126" i="4"/>
  <c r="AJ126" i="4"/>
  <c r="AS126" i="4"/>
  <c r="AM126" i="4"/>
  <c r="AW126" i="4"/>
  <c r="AP126" i="4"/>
  <c r="AV126" i="4"/>
  <c r="S82" i="11"/>
  <c r="S21" i="4"/>
  <c r="S55" i="16" s="1"/>
  <c r="R82" i="11"/>
  <c r="R21" i="4"/>
  <c r="R55" i="16" s="1"/>
  <c r="AB82" i="11"/>
  <c r="AB21" i="4"/>
  <c r="AB55" i="16" s="1"/>
  <c r="Q146" i="8"/>
  <c r="AN144" i="8" a="1"/>
  <c r="AN144" i="8" s="1"/>
  <c r="AS144" i="8" a="1"/>
  <c r="AS144" i="8" s="1"/>
  <c r="AL144" i="8" a="1"/>
  <c r="AL144" i="8" s="1"/>
  <c r="AO144" i="8" a="1"/>
  <c r="AO144" i="8" s="1"/>
  <c r="AR144" i="8" a="1"/>
  <c r="AR144" i="8" s="1"/>
  <c r="AV144" i="8" a="1"/>
  <c r="AV144" i="8" s="1"/>
  <c r="AM144" i="8" a="1"/>
  <c r="AM144" i="8" s="1"/>
  <c r="AW144" i="8" a="1"/>
  <c r="AW144" i="8" s="1"/>
  <c r="AP144" i="8" a="1"/>
  <c r="AP144" i="8" s="1"/>
  <c r="AQ144" i="8" a="1"/>
  <c r="AQ144" i="8" s="1"/>
  <c r="AK144" i="8" a="1"/>
  <c r="AK144" i="8" s="1"/>
  <c r="AU144" i="8" a="1"/>
  <c r="AU144" i="8" s="1"/>
  <c r="AJ144" i="8" a="1"/>
  <c r="AJ144" i="8" s="1"/>
  <c r="AJ89" i="4"/>
  <c r="AJ79" i="4"/>
  <c r="AL79" i="4"/>
  <c r="AL89" i="4"/>
  <c r="Q19" i="4"/>
  <c r="AL129" i="4" a="1"/>
  <c r="AL129" i="4" s="1"/>
  <c r="AL128" i="4" s="1"/>
  <c r="AM129" i="4" a="1"/>
  <c r="AM129" i="4" s="1"/>
  <c r="AM128" i="4" s="1"/>
  <c r="AN129" i="4" a="1"/>
  <c r="AN129" i="4" s="1"/>
  <c r="AN128" i="4" s="1"/>
  <c r="AO129" i="4" a="1"/>
  <c r="AO129" i="4" s="1"/>
  <c r="AO128" i="4" s="1"/>
  <c r="AP129" i="4" a="1"/>
  <c r="AP129" i="4" s="1"/>
  <c r="AP128" i="4" s="1"/>
  <c r="AQ129" i="4" a="1"/>
  <c r="AQ129" i="4" s="1"/>
  <c r="AQ128" i="4" s="1"/>
  <c r="AR129" i="4" a="1"/>
  <c r="AR129" i="4" s="1"/>
  <c r="AR128" i="4" s="1"/>
  <c r="AW129" i="4" a="1"/>
  <c r="AW129" i="4" s="1"/>
  <c r="AW128" i="4" s="1"/>
  <c r="AJ129" i="4" a="1"/>
  <c r="AJ129" i="4" s="1"/>
  <c r="AJ128" i="4" s="1"/>
  <c r="AK129" i="4" a="1"/>
  <c r="AK129" i="4" s="1"/>
  <c r="AK128" i="4" s="1"/>
  <c r="AU129" i="4" a="1"/>
  <c r="AU129" i="4" s="1"/>
  <c r="AU128" i="4" s="1"/>
  <c r="AS129" i="4" a="1"/>
  <c r="AS129" i="4" s="1"/>
  <c r="AS128" i="4" s="1"/>
  <c r="AV129" i="4" a="1"/>
  <c r="AV129" i="4" s="1"/>
  <c r="AV128" i="4" s="1"/>
  <c r="AB32" i="8"/>
  <c r="AQ32" i="8" s="1" a="1"/>
  <c r="AQ32" i="8" s="1"/>
  <c r="AQ166" i="8" a="1"/>
  <c r="AQ166" i="8" s="1"/>
  <c r="AQ165" i="8" s="1"/>
  <c r="AG82" i="11"/>
  <c r="AG21" i="4"/>
  <c r="AG55" i="16" s="1"/>
  <c r="AL72" i="5" a="1"/>
  <c r="AL72" i="5" s="1"/>
  <c r="AW72" i="5" a="1"/>
  <c r="AW72" i="5" s="1"/>
  <c r="AO72" i="5" a="1"/>
  <c r="AO72" i="5" s="1"/>
  <c r="AR72" i="5" a="1"/>
  <c r="AR72" i="5" s="1"/>
  <c r="AM72" i="5" a="1"/>
  <c r="AM72" i="5" s="1"/>
  <c r="AU72" i="5" a="1"/>
  <c r="AU72" i="5" s="1"/>
  <c r="AN72" i="5" a="1"/>
  <c r="AN72" i="5" s="1"/>
  <c r="AK72" i="5" a="1"/>
  <c r="AK72" i="5" s="1"/>
  <c r="AQ72" i="5" a="1"/>
  <c r="AQ72" i="5" s="1"/>
  <c r="AV72" i="5" a="1"/>
  <c r="AV72" i="5" s="1"/>
  <c r="AS72" i="5" a="1"/>
  <c r="AS72" i="5" s="1"/>
  <c r="AJ72" i="5" a="1"/>
  <c r="AJ72" i="5" s="1"/>
  <c r="AP72" i="5" a="1"/>
  <c r="AP72" i="5" s="1"/>
  <c r="Q161" i="8"/>
  <c r="AU159" i="8" a="1"/>
  <c r="AU159" i="8" s="1"/>
  <c r="AU160" i="8" s="1"/>
  <c r="AW159" i="8" a="1"/>
  <c r="AW159" i="8" s="1"/>
  <c r="AW160" i="8" s="1"/>
  <c r="AP159" i="8" a="1"/>
  <c r="AP159" i="8" s="1"/>
  <c r="AP160" i="8" s="1"/>
  <c r="AN159" i="8" a="1"/>
  <c r="AN159" i="8" s="1"/>
  <c r="AN160" i="8" s="1"/>
  <c r="AR159" i="8" a="1"/>
  <c r="AR159" i="8" s="1"/>
  <c r="AR160" i="8" s="1"/>
  <c r="AQ159" i="8" a="1"/>
  <c r="AQ159" i="8" s="1"/>
  <c r="AQ160" i="8" s="1"/>
  <c r="AM159" i="8" a="1"/>
  <c r="AM159" i="8" s="1"/>
  <c r="AM160" i="8" s="1"/>
  <c r="AK159" i="8" a="1"/>
  <c r="AK159" i="8" s="1"/>
  <c r="AK160" i="8" s="1"/>
  <c r="AS159" i="8" a="1"/>
  <c r="AS159" i="8" s="1"/>
  <c r="AS160" i="8" s="1"/>
  <c r="AV159" i="8" a="1"/>
  <c r="AV159" i="8" s="1"/>
  <c r="AV160" i="8" s="1"/>
  <c r="AO159" i="8" a="1"/>
  <c r="AO159" i="8" s="1"/>
  <c r="AO160" i="8" s="1"/>
  <c r="AL159" i="8" a="1"/>
  <c r="AL159" i="8" s="1"/>
  <c r="AL160" i="8" s="1"/>
  <c r="AJ159" i="8" a="1"/>
  <c r="AJ159" i="8" s="1"/>
  <c r="AJ160" i="8" s="1"/>
  <c r="S166" i="8"/>
  <c r="AN164" i="8" a="1"/>
  <c r="AN164" i="8" s="1"/>
  <c r="AR126" i="4"/>
  <c r="AR79" i="4"/>
  <c r="AR89" i="4"/>
  <c r="AM89" i="4"/>
  <c r="AM79" i="4"/>
  <c r="AH32" i="8"/>
  <c r="AS166" i="8" a="1"/>
  <c r="AS166" i="8" s="1"/>
  <c r="AS165" i="8" s="1"/>
  <c r="AW166" i="8"/>
  <c r="AW165" i="8" s="1"/>
  <c r="AS79" i="4"/>
  <c r="AS89" i="4"/>
  <c r="AL98" i="4" a="1"/>
  <c r="AL98" i="4" s="1"/>
  <c r="AM98" i="4" a="1"/>
  <c r="AM98" i="4" s="1"/>
  <c r="AN98" i="4" a="1"/>
  <c r="AN98" i="4" s="1"/>
  <c r="AO98" i="4" a="1"/>
  <c r="AO98" i="4" s="1"/>
  <c r="AP98" i="4" a="1"/>
  <c r="AP98" i="4" s="1"/>
  <c r="AQ98" i="4" a="1"/>
  <c r="AQ98" i="4" s="1"/>
  <c r="AJ98" i="4" a="1"/>
  <c r="AJ98" i="4" s="1"/>
  <c r="AK98" i="4" a="1"/>
  <c r="AK98" i="4" s="1"/>
  <c r="AU98" i="4" a="1"/>
  <c r="AU98" i="4" s="1"/>
  <c r="AW98" i="4" a="1"/>
  <c r="AW98" i="4" s="1"/>
  <c r="AR98" i="4" a="1"/>
  <c r="AR98" i="4" s="1"/>
  <c r="AS98" i="4" a="1"/>
  <c r="AS98" i="4" s="1"/>
  <c r="AV98" i="4" a="1"/>
  <c r="AV98" i="4" s="1"/>
  <c r="Q111" i="4"/>
  <c r="AV79" i="4"/>
  <c r="AV89" i="4"/>
  <c r="Y18" i="1"/>
  <c r="AQ79" i="4"/>
  <c r="AQ89" i="4"/>
  <c r="AO126" i="4"/>
  <c r="AK89" i="4"/>
  <c r="AK79" i="4"/>
  <c r="AP79" i="4"/>
  <c r="AP89" i="4"/>
  <c r="AO16" i="4" a="1"/>
  <c r="AO16" i="4" s="1"/>
  <c r="AP16" i="4" a="1"/>
  <c r="AP16" i="4" s="1"/>
  <c r="AQ16" i="4" a="1"/>
  <c r="AQ16" i="4" s="1"/>
  <c r="AU16" i="4" a="1"/>
  <c r="AU16" i="4" s="1"/>
  <c r="AS16" i="4" a="1"/>
  <c r="AS16" i="4" s="1"/>
  <c r="AN16" i="4" a="1"/>
  <c r="AN16" i="4" s="1"/>
  <c r="AK16" i="4" a="1"/>
  <c r="AK16" i="4" s="1"/>
  <c r="AM16" i="4" a="1"/>
  <c r="AM16" i="4" s="1"/>
  <c r="AW16" i="4" a="1"/>
  <c r="AW16" i="4" s="1"/>
  <c r="AJ16" i="4" a="1"/>
  <c r="AJ16" i="4" s="1"/>
  <c r="AR16" i="4" a="1"/>
  <c r="AR16" i="4" s="1"/>
  <c r="AV16" i="4" a="1"/>
  <c r="AV16" i="4" s="1"/>
  <c r="AL16" i="4" a="1"/>
  <c r="AL16" i="4" s="1"/>
  <c r="Q13" i="1"/>
  <c r="AK126" i="4"/>
  <c r="V32" i="8"/>
  <c r="AO166" i="8" a="1"/>
  <c r="AO166" i="8" s="1"/>
  <c r="AO165" i="8" s="1"/>
  <c r="AV166" i="8"/>
  <c r="AV165" i="8" s="1"/>
  <c r="Z82" i="11"/>
  <c r="Z21" i="4"/>
  <c r="Z55" i="16" s="1"/>
  <c r="T82" i="11"/>
  <c r="T21" i="4"/>
  <c r="T55" i="16" s="1"/>
  <c r="AU89" i="4"/>
  <c r="AU79" i="4"/>
  <c r="AO89" i="4"/>
  <c r="AO79" i="4"/>
  <c r="Q18" i="4"/>
  <c r="AL114" i="4" a="1"/>
  <c r="AL114" i="4" s="1"/>
  <c r="AL108" i="4" s="1"/>
  <c r="AM114" i="4" a="1"/>
  <c r="AM114" i="4" s="1"/>
  <c r="AM108" i="4" s="1"/>
  <c r="AN114" i="4" a="1"/>
  <c r="AN114" i="4" s="1"/>
  <c r="AN108" i="4" s="1"/>
  <c r="AO114" i="4" a="1"/>
  <c r="AO114" i="4" s="1"/>
  <c r="AO108" i="4" s="1"/>
  <c r="AP114" i="4" a="1"/>
  <c r="AP114" i="4" s="1"/>
  <c r="AP108" i="4" s="1"/>
  <c r="AQ114" i="4" a="1"/>
  <c r="AQ114" i="4" s="1"/>
  <c r="AQ108" i="4" s="1"/>
  <c r="AR114" i="4" a="1"/>
  <c r="AR114" i="4" s="1"/>
  <c r="AR108" i="4" s="1"/>
  <c r="AJ114" i="4" a="1"/>
  <c r="AJ114" i="4" s="1"/>
  <c r="AJ108" i="4" s="1"/>
  <c r="AV114" i="4" a="1"/>
  <c r="AV114" i="4" s="1"/>
  <c r="AV108" i="4" s="1"/>
  <c r="AK114" i="4" a="1"/>
  <c r="AK114" i="4" s="1"/>
  <c r="AK108" i="4" s="1"/>
  <c r="AS114" i="4" a="1"/>
  <c r="AS114" i="4" s="1"/>
  <c r="AS108" i="4" s="1"/>
  <c r="AU114" i="4" a="1"/>
  <c r="AU114" i="4" s="1"/>
  <c r="AU108" i="4" s="1"/>
  <c r="AW114" i="4" a="1"/>
  <c r="AW114" i="4" s="1"/>
  <c r="AW108" i="4" s="1"/>
  <c r="Y32" i="8"/>
  <c r="AP32" i="8" s="1" a="1"/>
  <c r="AP32" i="8" s="1"/>
  <c r="AP166" i="8" a="1"/>
  <c r="AP166" i="8" s="1"/>
  <c r="U82" i="11"/>
  <c r="U21" i="4"/>
  <c r="U55" i="16" s="1"/>
  <c r="Q17" i="4"/>
  <c r="AL113" i="4" a="1"/>
  <c r="AL113" i="4" s="1"/>
  <c r="AL107" i="4" s="1"/>
  <c r="AM113" i="4" a="1"/>
  <c r="AM113" i="4" s="1"/>
  <c r="AM107" i="4" s="1"/>
  <c r="AN113" i="4" a="1"/>
  <c r="AN113" i="4" s="1"/>
  <c r="AN107" i="4" s="1"/>
  <c r="AO113" i="4" a="1"/>
  <c r="AO113" i="4" s="1"/>
  <c r="AO107" i="4" s="1"/>
  <c r="AP113" i="4" a="1"/>
  <c r="AP113" i="4" s="1"/>
  <c r="AP107" i="4" s="1"/>
  <c r="AQ113" i="4" a="1"/>
  <c r="AQ113" i="4" s="1"/>
  <c r="AQ107" i="4" s="1"/>
  <c r="AV113" i="4" a="1"/>
  <c r="AV113" i="4" s="1"/>
  <c r="AV107" i="4" s="1"/>
  <c r="AK113" i="4" a="1"/>
  <c r="AK113" i="4" s="1"/>
  <c r="AK107" i="4" s="1"/>
  <c r="AR113" i="4" a="1"/>
  <c r="AR113" i="4" s="1"/>
  <c r="AR107" i="4" s="1"/>
  <c r="AU113" i="4" a="1"/>
  <c r="AU113" i="4" s="1"/>
  <c r="AU107" i="4" s="1"/>
  <c r="AJ113" i="4" a="1"/>
  <c r="AJ113" i="4" s="1"/>
  <c r="AJ107" i="4" s="1"/>
  <c r="AS113" i="4" a="1"/>
  <c r="AS113" i="4" s="1"/>
  <c r="AS107" i="4" s="1"/>
  <c r="AW113" i="4" a="1"/>
  <c r="AW113" i="4" s="1"/>
  <c r="AW107" i="4" s="1"/>
  <c r="AW79" i="4"/>
  <c r="AW89" i="4"/>
  <c r="AN89" i="4"/>
  <c r="AN79" i="4"/>
  <c r="E77" i="10"/>
  <c r="V18" i="1"/>
  <c r="AA18" i="1"/>
  <c r="X18" i="1"/>
  <c r="AH18" i="1"/>
  <c r="W18" i="1"/>
  <c r="K78" i="5"/>
  <c r="M78" i="5"/>
  <c r="H78" i="5"/>
  <c r="P56" i="10"/>
  <c r="P58" i="10" s="1"/>
  <c r="O84" i="11"/>
  <c r="AF164" i="8"/>
  <c r="AF166" i="8" s="1"/>
  <c r="AF32" i="8" s="1"/>
  <c r="AF31" i="8"/>
  <c r="AC164" i="8"/>
  <c r="AC166" i="8" s="1"/>
  <c r="AC32" i="8" s="1"/>
  <c r="AC31" i="8"/>
  <c r="Q164" i="8"/>
  <c r="Q166" i="8" s="1"/>
  <c r="Q32" i="8" s="1"/>
  <c r="Q31" i="8"/>
  <c r="AE31" i="8"/>
  <c r="AR31" i="8" s="1" a="1"/>
  <c r="AR31" i="8" s="1"/>
  <c r="AE164" i="8"/>
  <c r="AD164" i="8"/>
  <c r="AD166" i="8" s="1"/>
  <c r="AD32" i="8" s="1"/>
  <c r="AD31" i="8"/>
  <c r="E84" i="11"/>
  <c r="F56" i="10"/>
  <c r="F58" i="10" s="1"/>
  <c r="F84" i="11"/>
  <c r="U13" i="1"/>
  <c r="U18" i="1" s="1"/>
  <c r="R12" i="1"/>
  <c r="R18" i="1" s="1"/>
  <c r="AB15" i="1"/>
  <c r="AB18" i="1" s="1"/>
  <c r="AG12" i="1"/>
  <c r="AG18" i="1" s="1"/>
  <c r="S12" i="1"/>
  <c r="S18" i="1" s="1"/>
  <c r="Z12" i="1"/>
  <c r="Z18" i="1" s="1"/>
  <c r="T12" i="1"/>
  <c r="T18" i="1" s="1"/>
  <c r="AD15" i="4"/>
  <c r="AD115" i="4"/>
  <c r="AF115" i="4"/>
  <c r="AF15" i="4"/>
  <c r="AE115" i="4"/>
  <c r="AE15" i="4"/>
  <c r="AC115" i="4"/>
  <c r="AC15" i="4"/>
  <c r="AJ102" i="4" l="1"/>
  <c r="AJ92" i="4"/>
  <c r="AS32" i="8" a="1"/>
  <c r="AS32" i="8" s="1"/>
  <c r="AW32" i="8"/>
  <c r="AD82" i="11"/>
  <c r="AD21" i="4"/>
  <c r="AD55" i="16" s="1"/>
  <c r="AC82" i="11"/>
  <c r="AC21" i="4"/>
  <c r="AC55" i="16" s="1"/>
  <c r="AU13" i="1" a="1"/>
  <c r="AU13" i="1" s="1"/>
  <c r="AR13" i="1" a="1"/>
  <c r="AR13" i="1" s="1"/>
  <c r="AL13" i="1" a="1"/>
  <c r="AL13" i="1" s="1"/>
  <c r="AN13" i="1" a="1"/>
  <c r="AN13" i="1" s="1"/>
  <c r="AM13" i="1" a="1"/>
  <c r="AM13" i="1" s="1"/>
  <c r="AP13" i="1" a="1"/>
  <c r="AP13" i="1" s="1"/>
  <c r="AV13" i="1" a="1"/>
  <c r="AV13" i="1" s="1"/>
  <c r="AW13" i="1" a="1"/>
  <c r="AW13" i="1" s="1"/>
  <c r="AK13" i="1" a="1"/>
  <c r="AK13" i="1" s="1"/>
  <c r="AO13" i="1" a="1"/>
  <c r="AO13" i="1" s="1"/>
  <c r="AQ13" i="1" a="1"/>
  <c r="AQ13" i="1" s="1"/>
  <c r="AJ13" i="1" a="1"/>
  <c r="AJ13" i="1" s="1"/>
  <c r="AS13" i="1" a="1"/>
  <c r="AS13" i="1" s="1"/>
  <c r="AL111" i="4" a="1"/>
  <c r="AL111" i="4" s="1"/>
  <c r="AM111" i="4" a="1"/>
  <c r="AM111" i="4" s="1"/>
  <c r="AN111" i="4" a="1"/>
  <c r="AN111" i="4" s="1"/>
  <c r="AO111" i="4" a="1"/>
  <c r="AO111" i="4" s="1"/>
  <c r="AP111" i="4" a="1"/>
  <c r="AP111" i="4" s="1"/>
  <c r="AQ111" i="4" a="1"/>
  <c r="AQ111" i="4" s="1"/>
  <c r="AS111" i="4" a="1"/>
  <c r="AS111" i="4" s="1"/>
  <c r="AU111" i="4" a="1"/>
  <c r="AU111" i="4" s="1"/>
  <c r="AV111" i="4" a="1"/>
  <c r="AV111" i="4" s="1"/>
  <c r="AR111" i="4" a="1"/>
  <c r="AR111" i="4" s="1"/>
  <c r="AJ111" i="4" a="1"/>
  <c r="AJ111" i="4" s="1"/>
  <c r="AW111" i="4" a="1"/>
  <c r="AW111" i="4" s="1"/>
  <c r="AK111" i="4" a="1"/>
  <c r="AK111" i="4" s="1"/>
  <c r="Q15" i="4"/>
  <c r="Q115" i="4"/>
  <c r="AQ92" i="4"/>
  <c r="AQ102" i="4"/>
  <c r="Q147" i="8"/>
  <c r="AM146" i="8" a="1"/>
  <c r="AM146" i="8" s="1"/>
  <c r="AQ146" i="8" a="1"/>
  <c r="AQ146" i="8" s="1"/>
  <c r="AJ146" i="8" a="1"/>
  <c r="AJ146" i="8" s="1"/>
  <c r="AL146" i="8" a="1"/>
  <c r="AL146" i="8" s="1"/>
  <c r="AP146" i="8" a="1"/>
  <c r="AP146" i="8" s="1"/>
  <c r="AN146" i="8" a="1"/>
  <c r="AN146" i="8" s="1"/>
  <c r="AK146" i="8" a="1"/>
  <c r="AK146" i="8" s="1"/>
  <c r="AO146" i="8" a="1"/>
  <c r="AO146" i="8" s="1"/>
  <c r="AS146" i="8" a="1"/>
  <c r="AS146" i="8" s="1"/>
  <c r="AU146" i="8" a="1"/>
  <c r="AU146" i="8" s="1"/>
  <c r="AR146" i="8" a="1"/>
  <c r="AR146" i="8" s="1"/>
  <c r="AV146" i="8" a="1"/>
  <c r="AV146" i="8" s="1"/>
  <c r="AW146" i="8" a="1"/>
  <c r="AW146" i="8" s="1"/>
  <c r="AV92" i="4"/>
  <c r="AV102" i="4"/>
  <c r="AP102" i="4"/>
  <c r="AP92" i="4"/>
  <c r="AR19" i="4" a="1"/>
  <c r="AR19" i="4" s="1"/>
  <c r="AW19" i="4" a="1"/>
  <c r="AW19" i="4" s="1"/>
  <c r="AP19" i="4" a="1"/>
  <c r="AP19" i="4" s="1"/>
  <c r="AQ19" i="4" a="1"/>
  <c r="AQ19" i="4" s="1"/>
  <c r="AM19" i="4" a="1"/>
  <c r="AM19" i="4" s="1"/>
  <c r="AN19" i="4" a="1"/>
  <c r="AN19" i="4" s="1"/>
  <c r="AJ19" i="4" a="1"/>
  <c r="AJ19" i="4" s="1"/>
  <c r="AL19" i="4" a="1"/>
  <c r="AL19" i="4" s="1"/>
  <c r="AK19" i="4" a="1"/>
  <c r="AK19" i="4" s="1"/>
  <c r="AS19" i="4" a="1"/>
  <c r="AS19" i="4" s="1"/>
  <c r="AV19" i="4" a="1"/>
  <c r="AV19" i="4" s="1"/>
  <c r="AO19" i="4" a="1"/>
  <c r="AO19" i="4" s="1"/>
  <c r="AU19" i="4" a="1"/>
  <c r="AU19" i="4" s="1"/>
  <c r="Q16" i="1"/>
  <c r="AE166" i="8"/>
  <c r="AR164" i="8" a="1"/>
  <c r="AR164" i="8" s="1"/>
  <c r="AE82" i="11"/>
  <c r="AE21" i="4"/>
  <c r="AE55" i="16" s="1"/>
  <c r="AQ17" i="4" a="1"/>
  <c r="AQ17" i="4" s="1"/>
  <c r="AM17" i="4" a="1"/>
  <c r="AM17" i="4" s="1"/>
  <c r="AS17" i="4" a="1"/>
  <c r="AS17" i="4" s="1"/>
  <c r="AU17" i="4" a="1"/>
  <c r="AU17" i="4" s="1"/>
  <c r="AJ17" i="4" a="1"/>
  <c r="AJ17" i="4" s="1"/>
  <c r="AL17" i="4" a="1"/>
  <c r="AL17" i="4" s="1"/>
  <c r="AW17" i="4" a="1"/>
  <c r="AW17" i="4" s="1"/>
  <c r="AR17" i="4" a="1"/>
  <c r="AR17" i="4" s="1"/>
  <c r="AN17" i="4" a="1"/>
  <c r="AN17" i="4" s="1"/>
  <c r="AK17" i="4" a="1"/>
  <c r="AK17" i="4" s="1"/>
  <c r="AO17" i="4" a="1"/>
  <c r="AO17" i="4" s="1"/>
  <c r="AP17" i="4" a="1"/>
  <c r="AP17" i="4" s="1"/>
  <c r="AV17" i="4" a="1"/>
  <c r="AV17" i="4" s="1"/>
  <c r="Q14" i="1"/>
  <c r="AS92" i="4"/>
  <c r="AS102" i="4"/>
  <c r="AO102" i="4"/>
  <c r="AO92" i="4"/>
  <c r="AR102" i="4"/>
  <c r="AR92" i="4"/>
  <c r="AN102" i="4"/>
  <c r="AN92" i="4"/>
  <c r="AK18" i="4" a="1"/>
  <c r="AK18" i="4" s="1"/>
  <c r="AS18" i="4" a="1"/>
  <c r="AS18" i="4" s="1"/>
  <c r="AJ18" i="4" a="1"/>
  <c r="AJ18" i="4" s="1"/>
  <c r="AN18" i="4" a="1"/>
  <c r="AN18" i="4" s="1"/>
  <c r="AM18" i="4" a="1"/>
  <c r="AM18" i="4" s="1"/>
  <c r="AO18" i="4" a="1"/>
  <c r="AO18" i="4" s="1"/>
  <c r="AU18" i="4" a="1"/>
  <c r="AU18" i="4" s="1"/>
  <c r="AL18" i="4" a="1"/>
  <c r="AL18" i="4" s="1"/>
  <c r="AV18" i="4" a="1"/>
  <c r="AV18" i="4" s="1"/>
  <c r="AR18" i="4" a="1"/>
  <c r="AR18" i="4" s="1"/>
  <c r="AW18" i="4" a="1"/>
  <c r="AW18" i="4" s="1"/>
  <c r="AQ18" i="4" a="1"/>
  <c r="AQ18" i="4" s="1"/>
  <c r="AP18" i="4" a="1"/>
  <c r="AP18" i="4" s="1"/>
  <c r="Q15" i="1"/>
  <c r="AF82" i="11"/>
  <c r="AF21" i="4"/>
  <c r="AF55" i="16" s="1"/>
  <c r="AW102" i="4"/>
  <c r="AW92" i="4"/>
  <c r="AM102" i="4"/>
  <c r="AM92" i="4"/>
  <c r="AU92" i="4"/>
  <c r="AU102" i="4"/>
  <c r="AL92" i="4"/>
  <c r="AL102" i="4"/>
  <c r="AO32" i="8" a="1"/>
  <c r="AO32" i="8" s="1"/>
  <c r="AV32" i="8"/>
  <c r="AP165" i="8"/>
  <c r="AK92" i="4"/>
  <c r="AK102" i="4"/>
  <c r="S32" i="8"/>
  <c r="AN32" i="8" s="1" a="1"/>
  <c r="AN32" i="8" s="1"/>
  <c r="AN166" i="8" a="1"/>
  <c r="AN166" i="8" s="1"/>
  <c r="AN165" i="8" s="1"/>
  <c r="E133" i="10"/>
  <c r="E138" i="10" s="1"/>
  <c r="P78" i="5"/>
  <c r="F78" i="5"/>
  <c r="AD12" i="1"/>
  <c r="AD18" i="1" s="1"/>
  <c r="AF12" i="1"/>
  <c r="AF18" i="1" s="1"/>
  <c r="AC12" i="1"/>
  <c r="AC18" i="1" s="1"/>
  <c r="AE12" i="1"/>
  <c r="AE18" i="1" s="1"/>
  <c r="AJ105" i="4" l="1"/>
  <c r="AJ115" i="4"/>
  <c r="AO145" i="8"/>
  <c r="AO147" i="8"/>
  <c r="AR115" i="4"/>
  <c r="AR105" i="4"/>
  <c r="AM115" i="4"/>
  <c r="AM105" i="4"/>
  <c r="AS145" i="8"/>
  <c r="AS147" i="8"/>
  <c r="AN105" i="4"/>
  <c r="AN115" i="4"/>
  <c r="Q78" i="5"/>
  <c r="AK145" i="8"/>
  <c r="AK147" i="8"/>
  <c r="AV105" i="4"/>
  <c r="AV115" i="4"/>
  <c r="AL105" i="4"/>
  <c r="AL115" i="4"/>
  <c r="AW14" i="1" a="1"/>
  <c r="AW14" i="1" s="1"/>
  <c r="AO14" i="1" a="1"/>
  <c r="AO14" i="1" s="1"/>
  <c r="AS14" i="1" a="1"/>
  <c r="AS14" i="1" s="1"/>
  <c r="AP14" i="1" a="1"/>
  <c r="AP14" i="1" s="1"/>
  <c r="AU14" i="1" a="1"/>
  <c r="AU14" i="1" s="1"/>
  <c r="AR14" i="1" a="1"/>
  <c r="AR14" i="1" s="1"/>
  <c r="AL14" i="1" a="1"/>
  <c r="AL14" i="1" s="1"/>
  <c r="AV14" i="1" a="1"/>
  <c r="AV14" i="1" s="1"/>
  <c r="AQ14" i="1" a="1"/>
  <c r="AQ14" i="1" s="1"/>
  <c r="AN14" i="1" a="1"/>
  <c r="AN14" i="1" s="1"/>
  <c r="AK14" i="1" a="1"/>
  <c r="AK14" i="1" s="1"/>
  <c r="AM14" i="1" a="1"/>
  <c r="AM14" i="1" s="1"/>
  <c r="AJ14" i="1" a="1"/>
  <c r="AJ14" i="1" s="1"/>
  <c r="AN147" i="8"/>
  <c r="AN145" i="8"/>
  <c r="AU115" i="4"/>
  <c r="AU105" i="4"/>
  <c r="AM145" i="8"/>
  <c r="AM147" i="8"/>
  <c r="AK15" i="1" a="1"/>
  <c r="AK15" i="1" s="1"/>
  <c r="AN15" i="1" a="1"/>
  <c r="AN15" i="1" s="1"/>
  <c r="AO15" i="1" a="1"/>
  <c r="AO15" i="1" s="1"/>
  <c r="AU15" i="1" a="1"/>
  <c r="AU15" i="1" s="1"/>
  <c r="AQ15" i="1" a="1"/>
  <c r="AQ15" i="1" s="1"/>
  <c r="AR15" i="1" a="1"/>
  <c r="AR15" i="1" s="1"/>
  <c r="AL15" i="1" a="1"/>
  <c r="AL15" i="1" s="1"/>
  <c r="AJ15" i="1" a="1"/>
  <c r="AJ15" i="1" s="1"/>
  <c r="AP15" i="1" a="1"/>
  <c r="AP15" i="1" s="1"/>
  <c r="AM15" i="1" a="1"/>
  <c r="AM15" i="1" s="1"/>
  <c r="AV15" i="1" a="1"/>
  <c r="AV15" i="1" s="1"/>
  <c r="AS15" i="1" a="1"/>
  <c r="AS15" i="1" s="1"/>
  <c r="AW15" i="1" a="1"/>
  <c r="AW15" i="1" s="1"/>
  <c r="AE32" i="8"/>
  <c r="AR32" i="8" s="1" a="1"/>
  <c r="AR32" i="8" s="1"/>
  <c r="AR166" i="8" a="1"/>
  <c r="AR166" i="8" s="1"/>
  <c r="AR165" i="8" s="1"/>
  <c r="AW147" i="8"/>
  <c r="AW145" i="8"/>
  <c r="AP147" i="8"/>
  <c r="AP145" i="8"/>
  <c r="AS115" i="4"/>
  <c r="AS105" i="4"/>
  <c r="AV147" i="8"/>
  <c r="AV145" i="8"/>
  <c r="AL145" i="8"/>
  <c r="AL147" i="8"/>
  <c r="Q82" i="11"/>
  <c r="Q21" i="4"/>
  <c r="Q55" i="16" s="1"/>
  <c r="AS15" i="4" a="1"/>
  <c r="AS15" i="4" s="1"/>
  <c r="AS21" i="4" s="1"/>
  <c r="AW15" i="4" a="1"/>
  <c r="AW15" i="4" s="1"/>
  <c r="AW21" i="4" s="1"/>
  <c r="AQ15" i="4" a="1"/>
  <c r="AQ15" i="4" s="1"/>
  <c r="AQ21" i="4" s="1"/>
  <c r="AP15" i="4" a="1"/>
  <c r="AP15" i="4" s="1"/>
  <c r="AP21" i="4" s="1"/>
  <c r="AK15" i="4" a="1"/>
  <c r="AK15" i="4" s="1"/>
  <c r="AK21" i="4" s="1"/>
  <c r="AR15" i="4" a="1"/>
  <c r="AR15" i="4" s="1"/>
  <c r="AR21" i="4" s="1"/>
  <c r="AN15" i="4" a="1"/>
  <c r="AN15" i="4" s="1"/>
  <c r="AN21" i="4" s="1"/>
  <c r="AO15" i="4" a="1"/>
  <c r="AO15" i="4" s="1"/>
  <c r="AO21" i="4" s="1"/>
  <c r="AM15" i="4" a="1"/>
  <c r="AM15" i="4" s="1"/>
  <c r="AM21" i="4" s="1"/>
  <c r="AJ15" i="4" a="1"/>
  <c r="AJ15" i="4" s="1"/>
  <c r="AJ21" i="4" s="1"/>
  <c r="AL15" i="4" a="1"/>
  <c r="AL15" i="4" s="1"/>
  <c r="AL21" i="4" s="1"/>
  <c r="AV15" i="4" a="1"/>
  <c r="AV15" i="4" s="1"/>
  <c r="AV21" i="4" s="1"/>
  <c r="AU15" i="4" a="1"/>
  <c r="AU15" i="4" s="1"/>
  <c r="AU21" i="4" s="1"/>
  <c r="Q12" i="1"/>
  <c r="AQ105" i="4"/>
  <c r="AQ115" i="4"/>
  <c r="AR147" i="8"/>
  <c r="AR145" i="8"/>
  <c r="AJ147" i="8"/>
  <c r="AJ145" i="8"/>
  <c r="AK105" i="4"/>
  <c r="AK115" i="4"/>
  <c r="AP115" i="4"/>
  <c r="AP105" i="4"/>
  <c r="AJ16" i="1" a="1"/>
  <c r="AJ16" i="1" s="1"/>
  <c r="AN16" i="1" a="1"/>
  <c r="AN16" i="1" s="1"/>
  <c r="AQ16" i="1" a="1"/>
  <c r="AQ16" i="1" s="1"/>
  <c r="AV16" i="1" a="1"/>
  <c r="AV16" i="1" s="1"/>
  <c r="AU16" i="1" a="1"/>
  <c r="AU16" i="1" s="1"/>
  <c r="AK16" i="1" a="1"/>
  <c r="AK16" i="1" s="1"/>
  <c r="AW16" i="1" a="1"/>
  <c r="AW16" i="1" s="1"/>
  <c r="AR16" i="1" a="1"/>
  <c r="AR16" i="1" s="1"/>
  <c r="AS16" i="1" a="1"/>
  <c r="AS16" i="1" s="1"/>
  <c r="AP16" i="1" a="1"/>
  <c r="AP16" i="1" s="1"/>
  <c r="AO16" i="1" a="1"/>
  <c r="AO16" i="1" s="1"/>
  <c r="AM16" i="1" a="1"/>
  <c r="AM16" i="1" s="1"/>
  <c r="AL16" i="1" a="1"/>
  <c r="AL16" i="1" s="1"/>
  <c r="AU147" i="8"/>
  <c r="AU145" i="8"/>
  <c r="AQ147" i="8"/>
  <c r="AQ145" i="8"/>
  <c r="AW115" i="4"/>
  <c r="AW105" i="4"/>
  <c r="AO115" i="4"/>
  <c r="AO105" i="4"/>
  <c r="D68" i="16"/>
  <c r="I81" i="5"/>
  <c r="I56" i="16" s="1"/>
  <c r="F81" i="5"/>
  <c r="F56" i="16" s="1"/>
  <c r="L81" i="5"/>
  <c r="L56" i="16" s="1"/>
  <c r="N81" i="5"/>
  <c r="N56" i="16" s="1"/>
  <c r="P81" i="5"/>
  <c r="P56" i="16" s="1"/>
  <c r="K81" i="5"/>
  <c r="K56" i="16" s="1"/>
  <c r="AQ82" i="11" l="1" a="1"/>
  <c r="AQ82" i="11" s="1"/>
  <c r="AL82" i="11" a="1"/>
  <c r="AL82" i="11" s="1"/>
  <c r="AW82" i="11" a="1"/>
  <c r="AW82" i="11" s="1"/>
  <c r="AR82" i="11" a="1"/>
  <c r="AR82" i="11" s="1"/>
  <c r="AO82" i="11" a="1"/>
  <c r="AO82" i="11" s="1"/>
  <c r="AV82" i="11" a="1"/>
  <c r="AV82" i="11" s="1"/>
  <c r="AP82" i="11" a="1"/>
  <c r="AP82" i="11" s="1"/>
  <c r="AN82" i="11" a="1"/>
  <c r="AN82" i="11" s="1"/>
  <c r="AS82" i="11" a="1"/>
  <c r="AS82" i="11" s="1"/>
  <c r="AJ82" i="11" a="1"/>
  <c r="AJ82" i="11" s="1"/>
  <c r="AU82" i="11" a="1"/>
  <c r="AU82" i="11" s="1"/>
  <c r="AM82" i="11" a="1"/>
  <c r="AM82" i="11" s="1"/>
  <c r="R78" i="5"/>
  <c r="AK82" i="11" a="1"/>
  <c r="AK82" i="11" s="1"/>
  <c r="AU55" i="16" a="1"/>
  <c r="AU55" i="16" s="1"/>
  <c r="AU88" i="16" s="1"/>
  <c r="AK55" i="16" a="1"/>
  <c r="AK55" i="16" s="1"/>
  <c r="AK88" i="16" s="1"/>
  <c r="AQ55" i="16" a="1"/>
  <c r="AQ55" i="16" s="1"/>
  <c r="AJ55" i="16" a="1"/>
  <c r="AJ55" i="16" s="1"/>
  <c r="AJ88" i="16" s="1"/>
  <c r="AR55" i="16" a="1"/>
  <c r="AR55" i="16" s="1"/>
  <c r="AL55" i="16" a="1"/>
  <c r="AL55" i="16" s="1"/>
  <c r="AL88" i="16" s="1"/>
  <c r="AW55" i="16" a="1"/>
  <c r="AW55" i="16" s="1"/>
  <c r="AS55" i="16" a="1"/>
  <c r="AS55" i="16" s="1"/>
  <c r="AM55" i="16" a="1"/>
  <c r="AM55" i="16" s="1"/>
  <c r="AM88" i="16" s="1"/>
  <c r="AO55" i="16" a="1"/>
  <c r="AO55" i="16" s="1"/>
  <c r="AN55" i="16" a="1"/>
  <c r="AN55" i="16" s="1"/>
  <c r="AV55" i="16" a="1"/>
  <c r="AV55" i="16" s="1"/>
  <c r="AP55" i="16" a="1"/>
  <c r="AP55" i="16" s="1"/>
  <c r="Q18" i="1"/>
  <c r="AO12" i="1" a="1"/>
  <c r="AO12" i="1" s="1"/>
  <c r="AO18" i="1" s="1"/>
  <c r="AQ12" i="1" a="1"/>
  <c r="AQ12" i="1" s="1"/>
  <c r="AQ18" i="1" s="1"/>
  <c r="AN12" i="1" a="1"/>
  <c r="AN12" i="1" s="1"/>
  <c r="AN18" i="1" s="1"/>
  <c r="AR12" i="1" a="1"/>
  <c r="AR12" i="1" s="1"/>
  <c r="AR18" i="1" s="1"/>
  <c r="AM12" i="1" a="1"/>
  <c r="AM12" i="1" s="1"/>
  <c r="AM18" i="1" s="1"/>
  <c r="AU12" i="1" a="1"/>
  <c r="AU12" i="1" s="1"/>
  <c r="AU18" i="1" s="1"/>
  <c r="AL12" i="1" a="1"/>
  <c r="AL12" i="1" s="1"/>
  <c r="AL18" i="1" s="1"/>
  <c r="AW12" i="1" a="1"/>
  <c r="AW12" i="1" s="1"/>
  <c r="AW18" i="1" s="1"/>
  <c r="AS12" i="1" a="1"/>
  <c r="AS12" i="1" s="1"/>
  <c r="AS18" i="1" s="1"/>
  <c r="AJ12" i="1" a="1"/>
  <c r="AJ12" i="1" s="1"/>
  <c r="AJ18" i="1" s="1"/>
  <c r="AV12" i="1" a="1"/>
  <c r="AV12" i="1" s="1"/>
  <c r="AV18" i="1" s="1"/>
  <c r="AK12" i="1" a="1"/>
  <c r="AK12" i="1" s="1"/>
  <c r="AK18" i="1" s="1"/>
  <c r="AP12" i="1" a="1"/>
  <c r="AP12" i="1" s="1"/>
  <c r="AP18" i="1" s="1"/>
  <c r="Q138" i="10"/>
  <c r="E218" i="10"/>
  <c r="E17" i="16"/>
  <c r="P93" i="5"/>
  <c r="P23" i="1" s="1"/>
  <c r="P32" i="1" s="1"/>
  <c r="P92" i="5"/>
  <c r="P22" i="1" s="1"/>
  <c r="P31" i="1" s="1"/>
  <c r="P95" i="5"/>
  <c r="P25" i="1" s="1"/>
  <c r="P34" i="1" s="1"/>
  <c r="P94" i="5"/>
  <c r="P24" i="1" s="1"/>
  <c r="P33" i="1" s="1"/>
  <c r="P91" i="5"/>
  <c r="P96" i="5"/>
  <c r="P26" i="1" s="1"/>
  <c r="P35" i="1" s="1"/>
  <c r="N91" i="5"/>
  <c r="N94" i="5"/>
  <c r="N24" i="1" s="1"/>
  <c r="N33" i="1" s="1"/>
  <c r="N96" i="5"/>
  <c r="N26" i="1" s="1"/>
  <c r="N35" i="1" s="1"/>
  <c r="N93" i="5"/>
  <c r="N23" i="1" s="1"/>
  <c r="N32" i="1" s="1"/>
  <c r="N95" i="5"/>
  <c r="N25" i="1" s="1"/>
  <c r="N34" i="1" s="1"/>
  <c r="N92" i="5"/>
  <c r="N22" i="1" s="1"/>
  <c r="N31" i="1" s="1"/>
  <c r="I95" i="5"/>
  <c r="I92" i="5"/>
  <c r="I22" i="1" s="1"/>
  <c r="I31" i="1" s="1"/>
  <c r="I94" i="5"/>
  <c r="I24" i="1" s="1"/>
  <c r="I33" i="1" s="1"/>
  <c r="I93" i="5"/>
  <c r="I23" i="1" s="1"/>
  <c r="I32" i="1" s="1"/>
  <c r="I91" i="5"/>
  <c r="I96" i="5"/>
  <c r="I26" i="1" s="1"/>
  <c r="I35" i="1" s="1"/>
  <c r="K92" i="5"/>
  <c r="K22" i="1" s="1"/>
  <c r="K31" i="1" s="1"/>
  <c r="K91" i="5"/>
  <c r="K94" i="5"/>
  <c r="K24" i="1" s="1"/>
  <c r="K33" i="1" s="1"/>
  <c r="K96" i="5"/>
  <c r="K26" i="1" s="1"/>
  <c r="K35" i="1" s="1"/>
  <c r="K95" i="5"/>
  <c r="K25" i="1" s="1"/>
  <c r="K34" i="1" s="1"/>
  <c r="K93" i="5"/>
  <c r="K23" i="1" s="1"/>
  <c r="K32" i="1" s="1"/>
  <c r="L96" i="5"/>
  <c r="L26" i="1" s="1"/>
  <c r="L35" i="1" s="1"/>
  <c r="L94" i="5"/>
  <c r="L24" i="1" s="1"/>
  <c r="L33" i="1" s="1"/>
  <c r="L92" i="5"/>
  <c r="L22" i="1" s="1"/>
  <c r="L31" i="1" s="1"/>
  <c r="L91" i="5"/>
  <c r="L93" i="5"/>
  <c r="L23" i="1" s="1"/>
  <c r="L32" i="1" s="1"/>
  <c r="L95" i="5"/>
  <c r="L25" i="1" s="1"/>
  <c r="L34" i="1" s="1"/>
  <c r="F91" i="5"/>
  <c r="F96" i="5"/>
  <c r="F93" i="5"/>
  <c r="F95" i="5"/>
  <c r="F92" i="5"/>
  <c r="F94" i="5"/>
  <c r="I25" i="1"/>
  <c r="I34" i="1" s="1"/>
  <c r="Q74" i="5"/>
  <c r="O47" i="1"/>
  <c r="O81" i="5"/>
  <c r="O56" i="16" s="1"/>
  <c r="H47" i="1"/>
  <c r="H81" i="5"/>
  <c r="H56" i="16" s="1"/>
  <c r="M47" i="1"/>
  <c r="M81" i="5"/>
  <c r="M56" i="16" s="1"/>
  <c r="G81" i="5"/>
  <c r="G56" i="16" s="1"/>
  <c r="J47" i="1"/>
  <c r="J81" i="5"/>
  <c r="J56" i="16" s="1"/>
  <c r="L47" i="1"/>
  <c r="K47" i="1"/>
  <c r="I47" i="1"/>
  <c r="N47" i="1"/>
  <c r="P47" i="1"/>
  <c r="AM15" i="16" l="1"/>
  <c r="AM22" i="16"/>
  <c r="AU15" i="16"/>
  <c r="AU22" i="16"/>
  <c r="AO22" i="16"/>
  <c r="AS22" i="16"/>
  <c r="AK15" i="16"/>
  <c r="AK22" i="16"/>
  <c r="S78" i="5"/>
  <c r="F24" i="1"/>
  <c r="F33" i="1" s="1"/>
  <c r="AW22" i="16"/>
  <c r="F22" i="1"/>
  <c r="AL15" i="16"/>
  <c r="AL22" i="16"/>
  <c r="AP22" i="16"/>
  <c r="AR22" i="16"/>
  <c r="F25" i="1"/>
  <c r="F34" i="1" s="1"/>
  <c r="F23" i="1"/>
  <c r="F32" i="1" s="1"/>
  <c r="AV22" i="16"/>
  <c r="AJ22" i="16"/>
  <c r="AJ15" i="16"/>
  <c r="F26" i="1"/>
  <c r="F35" i="1" s="1"/>
  <c r="AN22" i="16"/>
  <c r="AQ22" i="16"/>
  <c r="Q17" i="16"/>
  <c r="AC138" i="10"/>
  <c r="Q218" i="10"/>
  <c r="F31" i="1"/>
  <c r="Q134" i="10"/>
  <c r="Q16" i="5"/>
  <c r="Q47" i="1"/>
  <c r="H93" i="5"/>
  <c r="H23" i="1" s="1"/>
  <c r="H32" i="1" s="1"/>
  <c r="H95" i="5"/>
  <c r="H25" i="1" s="1"/>
  <c r="H34" i="1" s="1"/>
  <c r="H92" i="5"/>
  <c r="H22" i="1" s="1"/>
  <c r="H31" i="1" s="1"/>
  <c r="H91" i="5"/>
  <c r="H94" i="5"/>
  <c r="H24" i="1" s="1"/>
  <c r="H33" i="1" s="1"/>
  <c r="H96" i="5"/>
  <c r="H26" i="1" s="1"/>
  <c r="H35" i="1" s="1"/>
  <c r="F97" i="5"/>
  <c r="N97" i="5"/>
  <c r="J95" i="5"/>
  <c r="J25" i="1" s="1"/>
  <c r="J34" i="1" s="1"/>
  <c r="J94" i="5"/>
  <c r="J24" i="1" s="1"/>
  <c r="J33" i="1" s="1"/>
  <c r="J92" i="5"/>
  <c r="J22" i="1" s="1"/>
  <c r="J31" i="1" s="1"/>
  <c r="J91" i="5"/>
  <c r="J96" i="5"/>
  <c r="J26" i="1" s="1"/>
  <c r="J35" i="1" s="1"/>
  <c r="J93" i="5"/>
  <c r="J23" i="1" s="1"/>
  <c r="J32" i="1" s="1"/>
  <c r="G96" i="5"/>
  <c r="G26" i="1" s="1"/>
  <c r="G35" i="1" s="1"/>
  <c r="G95" i="5"/>
  <c r="G25" i="1" s="1"/>
  <c r="G34" i="1" s="1"/>
  <c r="G93" i="5"/>
  <c r="G23" i="1" s="1"/>
  <c r="G32" i="1" s="1"/>
  <c r="G92" i="5"/>
  <c r="G22" i="1" s="1"/>
  <c r="G31" i="1" s="1"/>
  <c r="G94" i="5"/>
  <c r="G24" i="1" s="1"/>
  <c r="G33" i="1" s="1"/>
  <c r="G91" i="5"/>
  <c r="L97" i="5"/>
  <c r="K97" i="5"/>
  <c r="O96" i="5"/>
  <c r="O26" i="1" s="1"/>
  <c r="O35" i="1" s="1"/>
  <c r="O95" i="5"/>
  <c r="O25" i="1" s="1"/>
  <c r="O34" i="1" s="1"/>
  <c r="O93" i="5"/>
  <c r="O23" i="1" s="1"/>
  <c r="O32" i="1" s="1"/>
  <c r="O92" i="5"/>
  <c r="O22" i="1" s="1"/>
  <c r="O31" i="1" s="1"/>
  <c r="O91" i="5"/>
  <c r="O94" i="5"/>
  <c r="O24" i="1" s="1"/>
  <c r="O33" i="1" s="1"/>
  <c r="P97" i="5"/>
  <c r="M94" i="5"/>
  <c r="M24" i="1" s="1"/>
  <c r="M33" i="1" s="1"/>
  <c r="M91" i="5"/>
  <c r="M93" i="5"/>
  <c r="M23" i="1" s="1"/>
  <c r="M32" i="1" s="1"/>
  <c r="M96" i="5"/>
  <c r="M26" i="1" s="1"/>
  <c r="M35" i="1" s="1"/>
  <c r="M92" i="5"/>
  <c r="M22" i="1" s="1"/>
  <c r="M31" i="1" s="1"/>
  <c r="M95" i="5"/>
  <c r="M25" i="1" s="1"/>
  <c r="M34" i="1" s="1"/>
  <c r="I97" i="5"/>
  <c r="F21" i="1"/>
  <c r="L21" i="1"/>
  <c r="P21" i="1"/>
  <c r="K21" i="1"/>
  <c r="I21" i="1"/>
  <c r="N21" i="1"/>
  <c r="R74" i="5"/>
  <c r="T78" i="5" l="1"/>
  <c r="AC17" i="16"/>
  <c r="AC218" i="10"/>
  <c r="R134" i="10"/>
  <c r="R16" i="5"/>
  <c r="M97" i="5"/>
  <c r="G97" i="5"/>
  <c r="J97" i="5"/>
  <c r="H97" i="5"/>
  <c r="O97" i="5"/>
  <c r="J21" i="1"/>
  <c r="O21" i="1"/>
  <c r="H21" i="1"/>
  <c r="N78" i="10"/>
  <c r="L78" i="10"/>
  <c r="I78" i="10"/>
  <c r="M21" i="1"/>
  <c r="L27" i="1"/>
  <c r="L30" i="1"/>
  <c r="L36" i="1" s="1"/>
  <c r="L57" i="16" s="1"/>
  <c r="L27" i="16" s="1"/>
  <c r="N27" i="1"/>
  <c r="N30" i="1"/>
  <c r="N36" i="1" s="1"/>
  <c r="N57" i="16" s="1"/>
  <c r="N27" i="16" s="1"/>
  <c r="I27" i="1"/>
  <c r="I30" i="1"/>
  <c r="I36" i="1" s="1"/>
  <c r="I57" i="16" s="1"/>
  <c r="I27" i="16" s="1"/>
  <c r="G21" i="1"/>
  <c r="F27" i="1"/>
  <c r="F30" i="1"/>
  <c r="F36" i="1" s="1"/>
  <c r="F57" i="16" s="1"/>
  <c r="F27" i="16" s="1"/>
  <c r="K78" i="10"/>
  <c r="P78" i="10"/>
  <c r="F78" i="10"/>
  <c r="F81" i="10" s="1"/>
  <c r="K27" i="1"/>
  <c r="K30" i="1"/>
  <c r="K36" i="1" s="1"/>
  <c r="K57" i="16" s="1"/>
  <c r="K27" i="16" s="1"/>
  <c r="P27" i="1"/>
  <c r="P30" i="1"/>
  <c r="P36" i="1" s="1"/>
  <c r="P57" i="16" s="1"/>
  <c r="P27" i="16" s="1"/>
  <c r="T74" i="5"/>
  <c r="S74" i="5"/>
  <c r="U78" i="5" l="1"/>
  <c r="L81" i="10"/>
  <c r="L16" i="16" s="1"/>
  <c r="P81" i="10"/>
  <c r="P16" i="16" s="1"/>
  <c r="I81" i="10"/>
  <c r="U81" i="10" s="1"/>
  <c r="U16" i="16" s="1"/>
  <c r="N81" i="10"/>
  <c r="N16" i="16" s="1"/>
  <c r="K81" i="10"/>
  <c r="W81" i="10" s="1"/>
  <c r="F16" i="16"/>
  <c r="R81" i="10"/>
  <c r="R16" i="16" s="1"/>
  <c r="F217" i="10"/>
  <c r="X81" i="10"/>
  <c r="AB81" i="10"/>
  <c r="T134" i="10"/>
  <c r="T16" i="5"/>
  <c r="S134" i="10"/>
  <c r="S16" i="5"/>
  <c r="K90" i="11"/>
  <c r="L90" i="11"/>
  <c r="I90" i="11"/>
  <c r="F90" i="11"/>
  <c r="N90" i="11"/>
  <c r="P90" i="11"/>
  <c r="L22" i="11"/>
  <c r="L92" i="11" s="1"/>
  <c r="M132" i="10"/>
  <c r="L132" i="10"/>
  <c r="O132" i="10"/>
  <c r="U74" i="5"/>
  <c r="L49" i="1"/>
  <c r="L60" i="16" s="1"/>
  <c r="L58" i="16" s="1"/>
  <c r="L29" i="16" s="1"/>
  <c r="N77" i="10"/>
  <c r="G27" i="1"/>
  <c r="G30" i="1"/>
  <c r="G36" i="1" s="1"/>
  <c r="G57" i="16" s="1"/>
  <c r="G27" i="16" s="1"/>
  <c r="M27" i="1"/>
  <c r="M30" i="1"/>
  <c r="M36" i="1" s="1"/>
  <c r="M57" i="16" s="1"/>
  <c r="M27" i="16" s="1"/>
  <c r="H78" i="10"/>
  <c r="F49" i="1"/>
  <c r="F60" i="16" s="1"/>
  <c r="F58" i="16" s="1"/>
  <c r="F29" i="16" s="1"/>
  <c r="F77" i="10"/>
  <c r="G78" i="10"/>
  <c r="M78" i="10"/>
  <c r="H27" i="1"/>
  <c r="H30" i="1"/>
  <c r="H36" i="1" s="1"/>
  <c r="H57" i="16" s="1"/>
  <c r="H27" i="16" s="1"/>
  <c r="K49" i="1"/>
  <c r="K60" i="16" s="1"/>
  <c r="K58" i="16" s="1"/>
  <c r="K29" i="16" s="1"/>
  <c r="I49" i="1"/>
  <c r="I60" i="16" s="1"/>
  <c r="I58" i="16" s="1"/>
  <c r="I29" i="16" s="1"/>
  <c r="I77" i="10"/>
  <c r="O27" i="1"/>
  <c r="O30" i="1"/>
  <c r="O36" i="1" s="1"/>
  <c r="O57" i="16" s="1"/>
  <c r="O27" i="16" s="1"/>
  <c r="P77" i="10"/>
  <c r="O78" i="10"/>
  <c r="P49" i="1"/>
  <c r="P60" i="16" s="1"/>
  <c r="P58" i="16" s="1"/>
  <c r="P29" i="16" s="1"/>
  <c r="K77" i="10"/>
  <c r="N49" i="1"/>
  <c r="N60" i="16" s="1"/>
  <c r="N58" i="16" s="1"/>
  <c r="N29" i="16" s="1"/>
  <c r="J78" i="10"/>
  <c r="L77" i="10"/>
  <c r="J27" i="1"/>
  <c r="J30" i="1"/>
  <c r="J36" i="1" s="1"/>
  <c r="J57" i="16" s="1"/>
  <c r="J27" i="16" s="1"/>
  <c r="L217" i="10" l="1"/>
  <c r="V78" i="5"/>
  <c r="K16" i="16"/>
  <c r="K217" i="10"/>
  <c r="P217" i="10"/>
  <c r="I217" i="10"/>
  <c r="H81" i="10"/>
  <c r="H16" i="16" s="1"/>
  <c r="N217" i="10"/>
  <c r="I16" i="16"/>
  <c r="J81" i="10"/>
  <c r="V81" i="10" s="1"/>
  <c r="V16" i="16" s="1"/>
  <c r="Z81" i="10"/>
  <c r="Z217" i="10" s="1"/>
  <c r="G81" i="10"/>
  <c r="G16" i="16" s="1"/>
  <c r="O81" i="10"/>
  <c r="O16" i="16" s="1"/>
  <c r="M81" i="10"/>
  <c r="M16" i="16" s="1"/>
  <c r="K62" i="16"/>
  <c r="K28" i="16"/>
  <c r="P28" i="16"/>
  <c r="P62" i="16"/>
  <c r="W217" i="10"/>
  <c r="W16" i="16"/>
  <c r="X217" i="10"/>
  <c r="X16" i="16"/>
  <c r="N62" i="16"/>
  <c r="N28" i="16"/>
  <c r="L28" i="16"/>
  <c r="L62" i="16"/>
  <c r="I28" i="16"/>
  <c r="I62" i="16"/>
  <c r="AB217" i="10"/>
  <c r="AB16" i="16"/>
  <c r="F28" i="16"/>
  <c r="F62" i="16"/>
  <c r="M217" i="10"/>
  <c r="T81" i="10"/>
  <c r="T16" i="16" s="1"/>
  <c r="H217" i="10"/>
  <c r="AD81" i="10"/>
  <c r="R217" i="10"/>
  <c r="AG81" i="10"/>
  <c r="U217" i="10"/>
  <c r="U134" i="10"/>
  <c r="U16" i="5"/>
  <c r="H90" i="11"/>
  <c r="M90" i="11"/>
  <c r="G90" i="11"/>
  <c r="O90" i="11"/>
  <c r="J90" i="11"/>
  <c r="L42" i="8"/>
  <c r="L60" i="1"/>
  <c r="F42" i="8"/>
  <c r="F60" i="1"/>
  <c r="P42" i="8"/>
  <c r="P60" i="1"/>
  <c r="N42" i="8"/>
  <c r="N60" i="1"/>
  <c r="I42" i="8"/>
  <c r="I60" i="1"/>
  <c r="K42" i="8"/>
  <c r="K60" i="1"/>
  <c r="F133" i="10"/>
  <c r="F138" i="10" s="1"/>
  <c r="N133" i="10"/>
  <c r="N138" i="10" s="1"/>
  <c r="L133" i="10"/>
  <c r="L138" i="10" s="1"/>
  <c r="P133" i="10"/>
  <c r="P138" i="10" s="1"/>
  <c r="K133" i="10"/>
  <c r="K138" i="10" s="1"/>
  <c r="I133" i="10"/>
  <c r="I138" i="10" s="1"/>
  <c r="K22" i="11"/>
  <c r="K92" i="11" s="1"/>
  <c r="V74" i="5"/>
  <c r="K132" i="10"/>
  <c r="M77" i="10"/>
  <c r="H77" i="10"/>
  <c r="J49" i="1"/>
  <c r="J60" i="16" s="1"/>
  <c r="J58" i="16" s="1"/>
  <c r="J29" i="16" s="1"/>
  <c r="J77" i="10"/>
  <c r="O49" i="1"/>
  <c r="O60" i="16" s="1"/>
  <c r="O58" i="16" s="1"/>
  <c r="O29" i="16" s="1"/>
  <c r="G77" i="10"/>
  <c r="M49" i="1"/>
  <c r="M60" i="16" s="1"/>
  <c r="M58" i="16" s="1"/>
  <c r="M29" i="16" s="1"/>
  <c r="O77" i="10"/>
  <c r="H49" i="1"/>
  <c r="H60" i="16" s="1"/>
  <c r="H58" i="16" s="1"/>
  <c r="H29" i="16" s="1"/>
  <c r="G49" i="1"/>
  <c r="G60" i="16" s="1"/>
  <c r="G58" i="16" s="1"/>
  <c r="G29" i="16" s="1"/>
  <c r="O217" i="10" l="1"/>
  <c r="AA81" i="10"/>
  <c r="W78" i="5"/>
  <c r="S81" i="10"/>
  <c r="S16" i="16" s="1"/>
  <c r="G217" i="10"/>
  <c r="J217" i="10"/>
  <c r="Z16" i="16"/>
  <c r="J16" i="16"/>
  <c r="Y81" i="10"/>
  <c r="Y217" i="10" s="1"/>
  <c r="J28" i="16"/>
  <c r="J62" i="16"/>
  <c r="AA217" i="10"/>
  <c r="AA16" i="16"/>
  <c r="N17" i="16"/>
  <c r="N18" i="16" s="1"/>
  <c r="M68" i="16"/>
  <c r="E68" i="16"/>
  <c r="M62" i="16"/>
  <c r="M28" i="16"/>
  <c r="AD217" i="10"/>
  <c r="AD16" i="16"/>
  <c r="O62" i="16"/>
  <c r="O28" i="16"/>
  <c r="H68" i="16"/>
  <c r="P17" i="16"/>
  <c r="P18" i="16" s="1"/>
  <c r="O68" i="16"/>
  <c r="AG217" i="10"/>
  <c r="AG16" i="16"/>
  <c r="L17" i="16"/>
  <c r="L18" i="16" s="1"/>
  <c r="K68" i="16"/>
  <c r="H28" i="16"/>
  <c r="H62" i="16"/>
  <c r="K17" i="16"/>
  <c r="K18" i="16" s="1"/>
  <c r="J68" i="16"/>
  <c r="G28" i="16"/>
  <c r="G62" i="16"/>
  <c r="K175" i="10"/>
  <c r="F175" i="10"/>
  <c r="I175" i="10"/>
  <c r="L175" i="10"/>
  <c r="N175" i="10"/>
  <c r="P175" i="10"/>
  <c r="Z138" i="10"/>
  <c r="AF81" i="10"/>
  <c r="T217" i="10"/>
  <c r="AH81" i="10"/>
  <c r="V217" i="10"/>
  <c r="V134" i="10"/>
  <c r="V16" i="5"/>
  <c r="R138" i="10"/>
  <c r="R17" i="16" s="1"/>
  <c r="R18" i="16" s="1"/>
  <c r="H42" i="8"/>
  <c r="H60" i="1"/>
  <c r="O42" i="8"/>
  <c r="O60" i="1"/>
  <c r="G42" i="8"/>
  <c r="G60" i="1"/>
  <c r="M42" i="8"/>
  <c r="M60" i="1"/>
  <c r="J42" i="8"/>
  <c r="J60" i="1"/>
  <c r="K135" i="10"/>
  <c r="J133" i="10"/>
  <c r="J138" i="10" s="1"/>
  <c r="L135" i="10"/>
  <c r="O133" i="10"/>
  <c r="O138" i="10" s="1"/>
  <c r="G133" i="10"/>
  <c r="G138" i="10" s="1"/>
  <c r="H133" i="10"/>
  <c r="H138" i="10" s="1"/>
  <c r="M133" i="10"/>
  <c r="M138" i="10" s="1"/>
  <c r="L26" i="11"/>
  <c r="W74" i="5"/>
  <c r="S217" i="10" l="1"/>
  <c r="AE81" i="10"/>
  <c r="X78" i="5"/>
  <c r="Y16" i="16"/>
  <c r="AB138" i="10"/>
  <c r="AB17" i="16" s="1"/>
  <c r="AB18" i="16" s="1"/>
  <c r="I218" i="10"/>
  <c r="I219" i="10" s="1"/>
  <c r="I17" i="16"/>
  <c r="I18" i="16" s="1"/>
  <c r="O17" i="16"/>
  <c r="O18" i="16" s="1"/>
  <c r="N68" i="16"/>
  <c r="AF217" i="10"/>
  <c r="AF16" i="16"/>
  <c r="F218" i="10"/>
  <c r="F219" i="10" s="1"/>
  <c r="F17" i="16"/>
  <c r="F18" i="16" s="1"/>
  <c r="V138" i="10"/>
  <c r="V17" i="16" s="1"/>
  <c r="V18" i="16" s="1"/>
  <c r="I68" i="16"/>
  <c r="N218" i="10"/>
  <c r="N219" i="10" s="1"/>
  <c r="F68" i="16"/>
  <c r="Z218" i="10"/>
  <c r="Z219" i="10" s="1"/>
  <c r="Z17" i="16"/>
  <c r="Z18" i="16" s="1"/>
  <c r="K218" i="10"/>
  <c r="K219" i="10" s="1"/>
  <c r="L218" i="10"/>
  <c r="L219" i="10" s="1"/>
  <c r="AH217" i="10"/>
  <c r="AH16" i="16"/>
  <c r="AE217" i="10"/>
  <c r="AE16" i="16"/>
  <c r="M17" i="16"/>
  <c r="M18" i="16" s="1"/>
  <c r="L68" i="16"/>
  <c r="W138" i="10"/>
  <c r="X138" i="10"/>
  <c r="T138" i="10"/>
  <c r="T17" i="16" s="1"/>
  <c r="T18" i="16" s="1"/>
  <c r="G68" i="16"/>
  <c r="U138" i="10"/>
  <c r="U17" i="16" s="1"/>
  <c r="U18" i="16" s="1"/>
  <c r="P218" i="10"/>
  <c r="P219" i="10" s="1"/>
  <c r="M175" i="10"/>
  <c r="O175" i="10"/>
  <c r="G175" i="10"/>
  <c r="J175" i="10"/>
  <c r="H175" i="10"/>
  <c r="AD138" i="10"/>
  <c r="R218" i="10"/>
  <c r="R219" i="10" s="1"/>
  <c r="W134" i="10"/>
  <c r="W16" i="5"/>
  <c r="S138" i="10"/>
  <c r="S17" i="16" s="1"/>
  <c r="S18" i="16" s="1"/>
  <c r="O135" i="10"/>
  <c r="M135" i="10"/>
  <c r="L93" i="11"/>
  <c r="L94" i="11" s="1"/>
  <c r="L51" i="11" s="1"/>
  <c r="M26" i="11"/>
  <c r="O26" i="11"/>
  <c r="K26" i="11"/>
  <c r="G26" i="11"/>
  <c r="H26" i="11"/>
  <c r="I26" i="11"/>
  <c r="P26" i="11"/>
  <c r="J26" i="11"/>
  <c r="N26" i="11"/>
  <c r="X74" i="5"/>
  <c r="Y74" i="5"/>
  <c r="Y78" i="5" l="1"/>
  <c r="AB218" i="10"/>
  <c r="AB219" i="10" s="1"/>
  <c r="AG138" i="10"/>
  <c r="AG218" i="10" s="1"/>
  <c r="AG219" i="10" s="1"/>
  <c r="M218" i="10"/>
  <c r="M219" i="10" s="1"/>
  <c r="AA138" i="10"/>
  <c r="AA17" i="16" s="1"/>
  <c r="AA18" i="16" s="1"/>
  <c r="Y138" i="10"/>
  <c r="Y17" i="16" s="1"/>
  <c r="Y18" i="16" s="1"/>
  <c r="O218" i="10"/>
  <c r="O219" i="10" s="1"/>
  <c r="U218" i="10"/>
  <c r="U219" i="10" s="1"/>
  <c r="H218" i="10"/>
  <c r="H219" i="10" s="1"/>
  <c r="H17" i="16"/>
  <c r="H18" i="16" s="1"/>
  <c r="G218" i="10"/>
  <c r="G219" i="10" s="1"/>
  <c r="G17" i="16"/>
  <c r="G18" i="16" s="1"/>
  <c r="X218" i="10"/>
  <c r="X219" i="10" s="1"/>
  <c r="X17" i="16"/>
  <c r="X18" i="16" s="1"/>
  <c r="Y218" i="10"/>
  <c r="Y219" i="10" s="1"/>
  <c r="W218" i="10"/>
  <c r="W219" i="10" s="1"/>
  <c r="W17" i="16"/>
  <c r="W18" i="16" s="1"/>
  <c r="AD218" i="10"/>
  <c r="AD219" i="10" s="1"/>
  <c r="AD17" i="16"/>
  <c r="AD18" i="16" s="1"/>
  <c r="J218" i="10"/>
  <c r="J219" i="10" s="1"/>
  <c r="J17" i="16"/>
  <c r="J18" i="16" s="1"/>
  <c r="AE138" i="10"/>
  <c r="S218" i="10"/>
  <c r="S219" i="10" s="1"/>
  <c r="AH138" i="10"/>
  <c r="V218" i="10"/>
  <c r="V219" i="10" s="1"/>
  <c r="AF138" i="10"/>
  <c r="T218" i="10"/>
  <c r="T219" i="10" s="1"/>
  <c r="X134" i="10"/>
  <c r="X16" i="5"/>
  <c r="Y134" i="10"/>
  <c r="Y16" i="5"/>
  <c r="H93" i="11"/>
  <c r="N93" i="11"/>
  <c r="P93" i="11"/>
  <c r="I93" i="11"/>
  <c r="G93" i="11"/>
  <c r="O93" i="11"/>
  <c r="M93" i="11"/>
  <c r="J93" i="11"/>
  <c r="K93" i="11"/>
  <c r="K94" i="11" s="1"/>
  <c r="K51" i="11" s="1"/>
  <c r="Z74" i="5"/>
  <c r="AA218" i="10" l="1"/>
  <c r="AA219" i="10" s="1"/>
  <c r="Z78" i="5"/>
  <c r="AG17" i="16"/>
  <c r="AG18" i="16" s="1"/>
  <c r="AF218" i="10"/>
  <c r="AF219" i="10" s="1"/>
  <c r="AF17" i="16"/>
  <c r="AF18" i="16" s="1"/>
  <c r="AE218" i="10"/>
  <c r="AE219" i="10" s="1"/>
  <c r="AE17" i="16"/>
  <c r="AE18" i="16" s="1"/>
  <c r="AH218" i="10"/>
  <c r="AH219" i="10" s="1"/>
  <c r="AH17" i="16"/>
  <c r="AH18" i="16" s="1"/>
  <c r="Z134" i="10"/>
  <c r="Z16" i="5"/>
  <c r="AA74" i="5"/>
  <c r="AA78" i="5" l="1"/>
  <c r="AA134" i="10"/>
  <c r="AA16" i="5"/>
  <c r="AD74" i="5"/>
  <c r="AC74" i="5"/>
  <c r="AB74" i="5"/>
  <c r="AB78" i="5" l="1"/>
  <c r="AD134" i="10"/>
  <c r="AD16" i="5"/>
  <c r="AB134" i="10"/>
  <c r="AB16" i="5"/>
  <c r="AC134" i="10"/>
  <c r="AC16" i="5"/>
  <c r="AC78" i="5" l="1"/>
  <c r="AE74" i="5"/>
  <c r="AF74" i="5"/>
  <c r="AG74" i="5"/>
  <c r="AD78" i="5" l="1"/>
  <c r="AG134" i="10"/>
  <c r="AG16" i="5"/>
  <c r="AF134" i="10"/>
  <c r="AF16" i="5"/>
  <c r="AE134" i="10"/>
  <c r="AE16" i="5"/>
  <c r="AH74" i="5"/>
  <c r="AW74" i="5" l="1" a="1"/>
  <c r="AW74" i="5" s="1"/>
  <c r="AN74" i="5" a="1"/>
  <c r="AN74" i="5" s="1"/>
  <c r="AK74" i="5" a="1"/>
  <c r="AK74" i="5" s="1"/>
  <c r="AJ74" i="5" a="1"/>
  <c r="AJ74" i="5" s="1"/>
  <c r="AS74" i="5" a="1"/>
  <c r="AS74" i="5" s="1"/>
  <c r="AO74" i="5" a="1"/>
  <c r="AO74" i="5" s="1"/>
  <c r="AQ74" i="5" a="1"/>
  <c r="AQ74" i="5" s="1"/>
  <c r="AR74" i="5" a="1"/>
  <c r="AR74" i="5" s="1"/>
  <c r="AM74" i="5" a="1"/>
  <c r="AM74" i="5" s="1"/>
  <c r="AU74" i="5" a="1"/>
  <c r="AU74" i="5" s="1"/>
  <c r="AP74" i="5" a="1"/>
  <c r="AP74" i="5" s="1"/>
  <c r="AL74" i="5" a="1"/>
  <c r="AL74" i="5" s="1"/>
  <c r="AV74" i="5" a="1"/>
  <c r="AV74" i="5" s="1"/>
  <c r="AE78" i="5"/>
  <c r="AH134" i="10"/>
  <c r="AH16" i="5"/>
  <c r="AF78" i="5" l="1"/>
  <c r="AN16" i="5" a="1"/>
  <c r="AN16" i="5" s="1"/>
  <c r="AM16" i="5" a="1"/>
  <c r="AM16" i="5" s="1"/>
  <c r="AU16" i="5" a="1"/>
  <c r="AU16" i="5" s="1"/>
  <c r="AK16" i="5" a="1"/>
  <c r="AK16" i="5" s="1"/>
  <c r="AS16" i="5" a="1"/>
  <c r="AS16" i="5" s="1"/>
  <c r="AW16" i="5" a="1"/>
  <c r="AW16" i="5" s="1"/>
  <c r="AQ16" i="5" a="1"/>
  <c r="AQ16" i="5" s="1"/>
  <c r="AV16" i="5" a="1"/>
  <c r="AV16" i="5" s="1"/>
  <c r="AP16" i="5" a="1"/>
  <c r="AP16" i="5" s="1"/>
  <c r="AO16" i="5" a="1"/>
  <c r="AO16" i="5" s="1"/>
  <c r="AL16" i="5" a="1"/>
  <c r="AL16" i="5" s="1"/>
  <c r="AJ16" i="5" a="1"/>
  <c r="AJ16" i="5" s="1"/>
  <c r="AR16" i="5" a="1"/>
  <c r="AR16" i="5" s="1"/>
  <c r="AK134" i="10" a="1"/>
  <c r="AK134" i="10" s="1"/>
  <c r="AL134" i="10" a="1"/>
  <c r="AL134" i="10" s="1"/>
  <c r="AV134" i="10" a="1"/>
  <c r="AV134" i="10" s="1"/>
  <c r="AR134" i="10" a="1"/>
  <c r="AR134" i="10" s="1"/>
  <c r="AS134" i="10" a="1"/>
  <c r="AS134" i="10" s="1"/>
  <c r="AM134" i="10" a="1"/>
  <c r="AM134" i="10" s="1"/>
  <c r="AO134" i="10" a="1"/>
  <c r="AO134" i="10" s="1"/>
  <c r="AQ134" i="10" a="1"/>
  <c r="AQ134" i="10" s="1"/>
  <c r="AN134" i="10" a="1"/>
  <c r="AN134" i="10" s="1"/>
  <c r="AW134" i="10" a="1"/>
  <c r="AW134" i="10" s="1"/>
  <c r="AJ134" i="10" a="1"/>
  <c r="AJ134" i="10" s="1"/>
  <c r="AP134" i="10" a="1"/>
  <c r="AP134" i="10" s="1"/>
  <c r="AU134" i="10" a="1"/>
  <c r="AU134" i="10" s="1"/>
  <c r="R47" i="1"/>
  <c r="AG78" i="5" l="1"/>
  <c r="S47" i="1"/>
  <c r="AH78" i="5" l="1"/>
  <c r="T47" i="1"/>
  <c r="U47" i="1" l="1"/>
  <c r="V47" i="1" l="1"/>
  <c r="W47" i="1" l="1"/>
  <c r="X47" i="1" l="1"/>
  <c r="Y47" i="1" l="1"/>
  <c r="Z47" i="1" l="1"/>
  <c r="AA47" i="1" l="1"/>
  <c r="AB47" i="1" l="1"/>
  <c r="AC47" i="1" l="1"/>
  <c r="AD47" i="1" l="1"/>
  <c r="AE47" i="1" l="1"/>
  <c r="AF47" i="1" l="1"/>
  <c r="AG47" i="1" l="1"/>
  <c r="AH47" i="1" l="1"/>
  <c r="Q84" i="5"/>
  <c r="Q87" i="5"/>
  <c r="AC87" i="5" s="1"/>
  <c r="Q86" i="5"/>
  <c r="Q85" i="5"/>
  <c r="Q89" i="5"/>
  <c r="E21" i="1"/>
  <c r="E30" i="1" l="1"/>
  <c r="E36" i="1" s="1"/>
  <c r="E57" i="16" s="1"/>
  <c r="AC89" i="5"/>
  <c r="AC84" i="5"/>
  <c r="E27" i="1"/>
  <c r="AC86" i="5"/>
  <c r="E16" i="16"/>
  <c r="E18" i="16" s="1"/>
  <c r="AC85" i="5"/>
  <c r="E49" i="1" l="1"/>
  <c r="E60" i="16" s="1"/>
  <c r="E58" i="16" s="1"/>
  <c r="E27" i="16"/>
  <c r="Q81" i="10"/>
  <c r="Q16" i="16" s="1"/>
  <c r="Q18" i="16" s="1"/>
  <c r="E217" i="10"/>
  <c r="E219" i="10" s="1"/>
  <c r="E90" i="11"/>
  <c r="F132" i="10"/>
  <c r="F135" i="10" s="1"/>
  <c r="E22" i="11"/>
  <c r="E92" i="11" s="1"/>
  <c r="E29" i="16" l="1"/>
  <c r="E42" i="8"/>
  <c r="E62" i="16"/>
  <c r="E53" i="1"/>
  <c r="E178" i="5" s="1"/>
  <c r="E180" i="5" s="1"/>
  <c r="E182" i="5" s="1"/>
  <c r="E184" i="5" s="1"/>
  <c r="E182" i="10" s="1"/>
  <c r="E183" i="10" s="1"/>
  <c r="E28" i="16"/>
  <c r="E60" i="1"/>
  <c r="E175" i="10" s="1"/>
  <c r="AC81" i="10"/>
  <c r="Q217" i="10"/>
  <c r="Q219" i="10" s="1"/>
  <c r="E135" i="10"/>
  <c r="E26" i="11"/>
  <c r="F26" i="11"/>
  <c r="P66" i="1" l="1"/>
  <c r="P176" i="10"/>
  <c r="P177" i="10" s="1"/>
  <c r="E29" i="5"/>
  <c r="E30" i="5" s="1"/>
  <c r="E109" i="11"/>
  <c r="E56" i="11" s="1"/>
  <c r="E55" i="1"/>
  <c r="E56" i="1" s="1"/>
  <c r="E66" i="16" s="1"/>
  <c r="AC217" i="10"/>
  <c r="AC219" i="10" s="1"/>
  <c r="AC16" i="16"/>
  <c r="AC18" i="16" s="1"/>
  <c r="F93" i="11"/>
  <c r="E93" i="11"/>
  <c r="E94" i="11" s="1"/>
  <c r="E51" i="11" s="1"/>
  <c r="E15" i="11" l="1"/>
  <c r="E202" i="10"/>
  <c r="E30" i="16"/>
  <c r="E204" i="10" l="1"/>
  <c r="E38" i="10" s="1"/>
  <c r="E84" i="16" s="1"/>
  <c r="E85" i="16" l="1"/>
  <c r="F201" i="10"/>
  <c r="E206" i="10"/>
  <c r="E211" i="10"/>
  <c r="N22" i="11"/>
  <c r="N132" i="10"/>
  <c r="M22" i="11"/>
  <c r="N135" i="10" l="1"/>
  <c r="N92" i="11"/>
  <c r="N94" i="11" s="1"/>
  <c r="N51" i="11" s="1"/>
  <c r="M92" i="11"/>
  <c r="M94" i="11" s="1"/>
  <c r="M51" i="11" s="1"/>
  <c r="P132" i="10" l="1"/>
  <c r="P135" i="10" s="1"/>
  <c r="O22" i="11" l="1"/>
  <c r="O92" i="11" l="1"/>
  <c r="O94" i="11" s="1"/>
  <c r="O51" i="11" s="1"/>
  <c r="P22" i="11" l="1"/>
  <c r="P92" i="11" l="1"/>
  <c r="P94" i="11" s="1"/>
  <c r="P51" i="11" s="1"/>
  <c r="G132" i="10" l="1"/>
  <c r="G135" i="10" s="1"/>
  <c r="F22" i="11"/>
  <c r="F92" i="11" l="1"/>
  <c r="F94" i="11" s="1"/>
  <c r="F51" i="11" s="1"/>
  <c r="H132" i="10" l="1"/>
  <c r="H135" i="10" s="1"/>
  <c r="G22" i="11" l="1"/>
  <c r="G92" i="11" l="1"/>
  <c r="G94" i="11" s="1"/>
  <c r="G51" i="11" s="1"/>
  <c r="H22" i="11" l="1"/>
  <c r="I132" i="10"/>
  <c r="I135" i="10" s="1"/>
  <c r="H92" i="11" l="1"/>
  <c r="H94" i="11" s="1"/>
  <c r="H51" i="11" s="1"/>
  <c r="J132" i="10" l="1"/>
  <c r="I22" i="11"/>
  <c r="J22" i="11"/>
  <c r="J135" i="10" l="1"/>
  <c r="I92" i="11"/>
  <c r="I94" i="11" s="1"/>
  <c r="I51" i="11" s="1"/>
  <c r="J92" i="11"/>
  <c r="J94" i="11" s="1"/>
  <c r="J51" i="11" s="1"/>
  <c r="I162" i="10" l="1"/>
  <c r="H162" i="10"/>
  <c r="P162" i="10"/>
  <c r="O162" i="10"/>
  <c r="J162" i="10"/>
  <c r="G162" i="10"/>
  <c r="K162" i="10"/>
  <c r="M162" i="10"/>
  <c r="F162" i="10"/>
  <c r="L162" i="10"/>
  <c r="N162" i="10"/>
  <c r="T23" i="11" l="1"/>
  <c r="T104" i="11" s="1"/>
  <c r="T105" i="11" s="1"/>
  <c r="T53" i="11" s="1"/>
  <c r="AD23" i="11"/>
  <c r="AD104" i="11" s="1"/>
  <c r="AD105" i="11" s="1"/>
  <c r="AD53" i="11" s="1"/>
  <c r="AG23" i="11"/>
  <c r="AG104" i="11" s="1"/>
  <c r="AG105" i="11" s="1"/>
  <c r="AG53" i="11" s="1"/>
  <c r="U23" i="11"/>
  <c r="U104" i="11" s="1"/>
  <c r="U105" i="11" s="1"/>
  <c r="U53" i="11" s="1"/>
  <c r="Y23" i="11"/>
  <c r="Y104" i="11" s="1"/>
  <c r="Y105" i="11" s="1"/>
  <c r="Y53" i="11" s="1"/>
  <c r="S23" i="11"/>
  <c r="S104" i="11" s="1"/>
  <c r="S105" i="11" s="1"/>
  <c r="S53" i="11" s="1"/>
  <c r="AA23" i="11"/>
  <c r="AA104" i="11" s="1"/>
  <c r="AA105" i="11" s="1"/>
  <c r="AA53" i="11" s="1"/>
  <c r="Z23" i="11"/>
  <c r="Z104" i="11" s="1"/>
  <c r="Z105" i="11" s="1"/>
  <c r="Z53" i="11" s="1"/>
  <c r="AB23" i="11"/>
  <c r="AB104" i="11" s="1"/>
  <c r="AB105" i="11" s="1"/>
  <c r="AB53" i="11" s="1"/>
  <c r="R23" i="11"/>
  <c r="R104" i="11" s="1"/>
  <c r="R105" i="11" s="1"/>
  <c r="R53" i="11" s="1"/>
  <c r="AF23" i="11"/>
  <c r="AF104" i="11" s="1"/>
  <c r="AF105" i="11" s="1"/>
  <c r="AF53" i="11" s="1"/>
  <c r="V23" i="11"/>
  <c r="V104" i="11" s="1"/>
  <c r="V105" i="11" s="1"/>
  <c r="V53" i="11" s="1"/>
  <c r="AH23" i="11"/>
  <c r="AH104" i="11" s="1"/>
  <c r="AH105" i="11" s="1"/>
  <c r="AH53" i="11" s="1"/>
  <c r="AC23" i="11"/>
  <c r="AE23" i="11"/>
  <c r="AE104" i="11" s="1"/>
  <c r="AE105" i="11" s="1"/>
  <c r="AE53" i="11" s="1"/>
  <c r="W23" i="11"/>
  <c r="W104" i="11" s="1"/>
  <c r="W105" i="11" s="1"/>
  <c r="W53" i="11" s="1"/>
  <c r="X23" i="11"/>
  <c r="X104" i="11" s="1"/>
  <c r="X105" i="11" s="1"/>
  <c r="X53" i="11" s="1"/>
  <c r="Q23" i="11"/>
  <c r="Q143" i="10"/>
  <c r="R141" i="10"/>
  <c r="R143" i="10" s="1"/>
  <c r="S141" i="10"/>
  <c r="S143" i="10" s="1"/>
  <c r="T141" i="10"/>
  <c r="T143" i="10" s="1"/>
  <c r="U141" i="10"/>
  <c r="U143" i="10" s="1"/>
  <c r="V141" i="10"/>
  <c r="V143" i="10" s="1"/>
  <c r="W141" i="10"/>
  <c r="W143" i="10" s="1"/>
  <c r="X141" i="10"/>
  <c r="X143" i="10" s="1"/>
  <c r="Y141" i="10"/>
  <c r="Y143" i="10" s="1"/>
  <c r="Z141" i="10"/>
  <c r="Z143" i="10" s="1"/>
  <c r="AA141" i="10"/>
  <c r="AA143" i="10" s="1"/>
  <c r="AB141" i="10"/>
  <c r="AB143" i="10" s="1"/>
  <c r="AC141" i="10"/>
  <c r="AC143" i="10" s="1"/>
  <c r="AD141" i="10"/>
  <c r="AD143" i="10" s="1"/>
  <c r="AE141" i="10"/>
  <c r="AE143" i="10" s="1"/>
  <c r="AF141" i="10"/>
  <c r="AF143" i="10" s="1"/>
  <c r="AG141" i="10"/>
  <c r="AG143" i="10" s="1"/>
  <c r="AH141" i="10"/>
  <c r="AH143" i="10" s="1"/>
  <c r="AJ143" i="10" l="1" a="1"/>
  <c r="AJ143" i="10" s="1"/>
  <c r="AJ141" i="10" s="1"/>
  <c r="AR143" i="10" a="1"/>
  <c r="AR143" i="10" s="1"/>
  <c r="AR141" i="10" s="1"/>
  <c r="AL143" i="10" a="1"/>
  <c r="AL143" i="10" s="1"/>
  <c r="AL141" i="10" s="1"/>
  <c r="AQ143" i="10" a="1"/>
  <c r="AQ143" i="10" s="1"/>
  <c r="AQ141" i="10" s="1"/>
  <c r="AN143" i="10" a="1"/>
  <c r="AN143" i="10" s="1"/>
  <c r="AN141" i="10" s="1"/>
  <c r="AK143" i="10" a="1"/>
  <c r="AK143" i="10" s="1"/>
  <c r="AK141" i="10" s="1"/>
  <c r="AU143" i="10" a="1"/>
  <c r="AU143" i="10" s="1"/>
  <c r="AU141" i="10" s="1"/>
  <c r="AS143" i="10" a="1"/>
  <c r="AS143" i="10" s="1"/>
  <c r="AS141" i="10" s="1"/>
  <c r="AV143" i="10" a="1"/>
  <c r="AV143" i="10" s="1"/>
  <c r="AV141" i="10" s="1"/>
  <c r="AO143" i="10" a="1"/>
  <c r="AO143" i="10" s="1"/>
  <c r="AO141" i="10" s="1"/>
  <c r="AW143" i="10" a="1"/>
  <c r="AW143" i="10" s="1"/>
  <c r="AW141" i="10" s="1"/>
  <c r="AP143" i="10" a="1"/>
  <c r="AP143" i="10" s="1"/>
  <c r="AP141" i="10" s="1"/>
  <c r="AM143" i="10" a="1"/>
  <c r="AM143" i="10" s="1"/>
  <c r="AM141" i="10" s="1"/>
  <c r="AK23" i="11" a="1"/>
  <c r="AK23" i="11" s="1"/>
  <c r="AO23" i="11" a="1"/>
  <c r="AO23" i="11" s="1"/>
  <c r="AQ23" i="11" a="1"/>
  <c r="AQ23" i="11" s="1"/>
  <c r="AS23" i="11" a="1"/>
  <c r="AS23" i="11" s="1"/>
  <c r="AM23" i="11" a="1"/>
  <c r="AM23" i="11" s="1"/>
  <c r="AJ23" i="11" a="1"/>
  <c r="AJ23" i="11" s="1"/>
  <c r="AU23" i="11" a="1"/>
  <c r="AU23" i="11" s="1"/>
  <c r="AN23" i="11" a="1"/>
  <c r="AN23" i="11" s="1"/>
  <c r="AR23" i="11" a="1"/>
  <c r="AR23" i="11" s="1"/>
  <c r="AP23" i="11" a="1"/>
  <c r="AP23" i="11" s="1"/>
  <c r="AL23" i="11" a="1"/>
  <c r="AL23" i="11" s="1"/>
  <c r="AV23" i="11" a="1"/>
  <c r="AV23" i="11" s="1"/>
  <c r="AW23" i="11" a="1"/>
  <c r="AW23" i="11" s="1"/>
  <c r="Q104" i="11"/>
  <c r="AC104" i="11"/>
  <c r="AC105" i="11" s="1"/>
  <c r="AC53" i="11" s="1"/>
  <c r="Q105" i="11" l="1"/>
  <c r="AR104" i="11" a="1"/>
  <c r="AR104" i="11" s="1"/>
  <c r="AR105" i="11" s="1"/>
  <c r="AP104" i="11" a="1"/>
  <c r="AP104" i="11" s="1"/>
  <c r="AP105" i="11" s="1"/>
  <c r="AQ104" i="11" a="1"/>
  <c r="AQ104" i="11" s="1"/>
  <c r="AQ105" i="11" s="1"/>
  <c r="AJ104" i="11" a="1"/>
  <c r="AJ104" i="11" s="1"/>
  <c r="AJ105" i="11" s="1"/>
  <c r="AU104" i="11" a="1"/>
  <c r="AU104" i="11" s="1"/>
  <c r="AU105" i="11" s="1"/>
  <c r="AM104" i="11" a="1"/>
  <c r="AM104" i="11" s="1"/>
  <c r="AM105" i="11" s="1"/>
  <c r="AN104" i="11" a="1"/>
  <c r="AN104" i="11" s="1"/>
  <c r="AN105" i="11" s="1"/>
  <c r="AS104" i="11" a="1"/>
  <c r="AS104" i="11" s="1"/>
  <c r="AS105" i="11" s="1"/>
  <c r="AL104" i="11" a="1"/>
  <c r="AL104" i="11" s="1"/>
  <c r="AL105" i="11" s="1"/>
  <c r="AO104" i="11" a="1"/>
  <c r="AO104" i="11" s="1"/>
  <c r="AO105" i="11" s="1"/>
  <c r="AK104" i="11" a="1"/>
  <c r="AK104" i="11" s="1"/>
  <c r="AK105" i="11" s="1"/>
  <c r="AV104" i="11" a="1"/>
  <c r="AV104" i="11" s="1"/>
  <c r="AV105" i="11" s="1"/>
  <c r="AW104" i="11" a="1"/>
  <c r="AW104" i="11" s="1"/>
  <c r="AW105" i="11" s="1"/>
  <c r="Q95" i="8"/>
  <c r="Q97" i="8" s="1"/>
  <c r="Q22" i="8" s="1"/>
  <c r="Q23" i="8" s="1"/>
  <c r="Q53" i="11" l="1"/>
  <c r="AQ53" i="11" s="1" a="1"/>
  <c r="AQ53" i="11" s="1"/>
  <c r="AS53" i="11" a="1"/>
  <c r="AS53" i="11" s="1"/>
  <c r="AO53" i="11" a="1"/>
  <c r="AO53" i="11" s="1"/>
  <c r="AK53" i="11" a="1"/>
  <c r="AK53" i="11" s="1"/>
  <c r="AV53" i="11" a="1"/>
  <c r="AV53" i="11" s="1"/>
  <c r="Q99" i="8"/>
  <c r="Q155" i="8"/>
  <c r="Q156" i="8" s="1"/>
  <c r="AW53" i="11" l="1" a="1"/>
  <c r="AW53" i="11" s="1"/>
  <c r="AU53" i="11" a="1"/>
  <c r="AU53" i="11" s="1"/>
  <c r="AL53" i="11" a="1"/>
  <c r="AL53" i="11" s="1"/>
  <c r="AM53" i="11" a="1"/>
  <c r="AM53" i="11" s="1"/>
  <c r="AP53" i="11" a="1"/>
  <c r="AP53" i="11" s="1"/>
  <c r="AR53" i="11" a="1"/>
  <c r="AR53" i="11" s="1"/>
  <c r="AN53" i="11" a="1"/>
  <c r="AN53" i="11" s="1"/>
  <c r="AJ53" i="11" a="1"/>
  <c r="AJ53" i="11" s="1"/>
  <c r="Q30" i="8"/>
  <c r="Q180" i="8" s="1"/>
  <c r="Q182" i="8" s="1"/>
  <c r="Q184" i="8" l="1"/>
  <c r="Q176" i="8"/>
  <c r="Q178" i="8" s="1"/>
  <c r="Q185" i="8" s="1"/>
  <c r="Q34" i="8" l="1"/>
  <c r="Q35" i="8" s="1"/>
  <c r="Q37" i="8" s="1"/>
  <c r="Q89" i="16" s="1"/>
  <c r="Q88" i="16" s="1"/>
  <c r="Q187" i="8"/>
  <c r="AB147" i="8"/>
  <c r="AB155" i="8"/>
  <c r="AB156" i="8" s="1"/>
  <c r="U147" i="8"/>
  <c r="U155" i="8"/>
  <c r="U156" i="8" s="1"/>
  <c r="AC147" i="8"/>
  <c r="AC155" i="8"/>
  <c r="AC156" i="8" s="1"/>
  <c r="T147" i="8"/>
  <c r="T155" i="8"/>
  <c r="T156" i="8" s="1"/>
  <c r="V147" i="8"/>
  <c r="V155" i="8"/>
  <c r="V156" i="8" s="1"/>
  <c r="AD147" i="8"/>
  <c r="AD155" i="8"/>
  <c r="AD156" i="8" s="1"/>
  <c r="W147" i="8"/>
  <c r="W155" i="8"/>
  <c r="W156" i="8" s="1"/>
  <c r="AE147" i="8"/>
  <c r="AE155" i="8"/>
  <c r="AE156" i="8" s="1"/>
  <c r="AE30" i="8" s="1"/>
  <c r="S147" i="8"/>
  <c r="S155" i="8"/>
  <c r="S156" i="8" s="1"/>
  <c r="X147" i="8"/>
  <c r="X155" i="8"/>
  <c r="X156" i="8" s="1"/>
  <c r="AF147" i="8"/>
  <c r="AF155" i="8"/>
  <c r="AF156" i="8" s="1"/>
  <c r="Y147" i="8"/>
  <c r="Y155" i="8"/>
  <c r="Y156" i="8" s="1"/>
  <c r="AG147" i="8"/>
  <c r="AG155" i="8"/>
  <c r="AG156" i="8" s="1"/>
  <c r="AA147" i="8"/>
  <c r="AA155" i="8"/>
  <c r="AA156" i="8" s="1"/>
  <c r="R147" i="8"/>
  <c r="R155" i="8"/>
  <c r="R156" i="8" s="1"/>
  <c r="Z147" i="8"/>
  <c r="Z155" i="8"/>
  <c r="Z156" i="8" s="1"/>
  <c r="AH147" i="8"/>
  <c r="AH155" i="8"/>
  <c r="AH156" i="8" s="1"/>
  <c r="X30" i="8" l="1"/>
  <c r="S30" i="8"/>
  <c r="AE176" i="8"/>
  <c r="AE180" i="8"/>
  <c r="AH30" i="8"/>
  <c r="V30" i="8"/>
  <c r="Z30" i="8"/>
  <c r="Y30" i="8"/>
  <c r="T30" i="8"/>
  <c r="AF30" i="8"/>
  <c r="AC30" i="8"/>
  <c r="AA30" i="8"/>
  <c r="AG30" i="8"/>
  <c r="AB30" i="8"/>
  <c r="R30" i="8"/>
  <c r="W30" i="8"/>
  <c r="U30" i="8"/>
  <c r="AD30" i="8"/>
  <c r="AE178" i="8" l="1"/>
  <c r="AR178" i="8" s="1" a="1"/>
  <c r="AR178" i="8" s="1"/>
  <c r="AR176" i="8" a="1"/>
  <c r="AR176" i="8" s="1"/>
  <c r="AE182" i="8"/>
  <c r="AE184" i="8" s="1"/>
  <c r="AR184" i="8" s="1" a="1"/>
  <c r="AR184" i="8" s="1"/>
  <c r="AR180" i="8" a="1"/>
  <c r="AR180" i="8" s="1"/>
  <c r="AH176" i="8"/>
  <c r="AH180" i="8"/>
  <c r="AG176" i="8"/>
  <c r="AG178" i="8" s="1"/>
  <c r="AG180" i="8"/>
  <c r="AG182" i="8" s="1"/>
  <c r="AG184" i="8" s="1"/>
  <c r="T180" i="8"/>
  <c r="T182" i="8" s="1"/>
  <c r="T184" i="8" s="1"/>
  <c r="T176" i="8"/>
  <c r="T178" i="8" s="1"/>
  <c r="W180" i="8"/>
  <c r="W182" i="8" s="1"/>
  <c r="W184" i="8" s="1"/>
  <c r="W176" i="8"/>
  <c r="W178" i="8" s="1"/>
  <c r="AA176" i="8"/>
  <c r="AA178" i="8" s="1"/>
  <c r="AA180" i="8"/>
  <c r="AA182" i="8" s="1"/>
  <c r="AA184" i="8" s="1"/>
  <c r="Y180" i="8"/>
  <c r="Y176" i="8"/>
  <c r="R180" i="8"/>
  <c r="R182" i="8" s="1"/>
  <c r="R176" i="8"/>
  <c r="R178" i="8" s="1"/>
  <c r="AC176" i="8"/>
  <c r="AC178" i="8" s="1"/>
  <c r="AC180" i="8"/>
  <c r="AC182" i="8" s="1"/>
  <c r="AC184" i="8" s="1"/>
  <c r="Z176" i="8"/>
  <c r="Z178" i="8" s="1"/>
  <c r="Z180" i="8"/>
  <c r="Z182" i="8" s="1"/>
  <c r="Z184" i="8" s="1"/>
  <c r="S180" i="8"/>
  <c r="S176" i="8"/>
  <c r="AD176" i="8"/>
  <c r="AD178" i="8" s="1"/>
  <c r="AD180" i="8"/>
  <c r="AD182" i="8" s="1"/>
  <c r="AD184" i="8" s="1"/>
  <c r="AB176" i="8"/>
  <c r="AB180" i="8"/>
  <c r="U176" i="8"/>
  <c r="U178" i="8" s="1"/>
  <c r="U180" i="8"/>
  <c r="U182" i="8" s="1"/>
  <c r="U184" i="8" s="1"/>
  <c r="AF176" i="8"/>
  <c r="AF178" i="8" s="1"/>
  <c r="AF180" i="8"/>
  <c r="AF182" i="8" s="1"/>
  <c r="AF184" i="8" s="1"/>
  <c r="V176" i="8"/>
  <c r="V180" i="8"/>
  <c r="X176" i="8"/>
  <c r="X178" i="8" s="1"/>
  <c r="X180" i="8"/>
  <c r="X182" i="8" s="1"/>
  <c r="X184" i="8" s="1"/>
  <c r="AE185" i="8" l="1"/>
  <c r="S178" i="8"/>
  <c r="AN178" i="8" s="1" a="1"/>
  <c r="AN178" i="8" s="1"/>
  <c r="AN176" i="8" a="1"/>
  <c r="AN176" i="8" s="1"/>
  <c r="AB178" i="8"/>
  <c r="AQ178" i="8" s="1" a="1"/>
  <c r="AQ178" i="8" s="1"/>
  <c r="AQ176" i="8" a="1"/>
  <c r="AQ176" i="8" s="1"/>
  <c r="V178" i="8"/>
  <c r="AO176" i="8" a="1"/>
  <c r="AO176" i="8" s="1"/>
  <c r="AV176" i="8"/>
  <c r="R184" i="8"/>
  <c r="Y178" i="8"/>
  <c r="AP178" i="8" s="1" a="1"/>
  <c r="AP178" i="8" s="1"/>
  <c r="AP176" i="8" a="1"/>
  <c r="AP176" i="8" s="1"/>
  <c r="Y182" i="8"/>
  <c r="Y184" i="8" s="1"/>
  <c r="AP184" i="8" s="1" a="1"/>
  <c r="AP184" i="8" s="1"/>
  <c r="AP180" i="8" a="1"/>
  <c r="AP180" i="8" s="1"/>
  <c r="AH182" i="8"/>
  <c r="AH184" i="8" s="1"/>
  <c r="AS180" i="8" a="1"/>
  <c r="AS180" i="8" s="1"/>
  <c r="AW180" i="8"/>
  <c r="V182" i="8"/>
  <c r="V184" i="8" s="1"/>
  <c r="AO180" i="8" a="1"/>
  <c r="AO180" i="8" s="1"/>
  <c r="AV180" i="8"/>
  <c r="S182" i="8"/>
  <c r="S184" i="8" s="1"/>
  <c r="AN184" i="8" s="1" a="1"/>
  <c r="AN184" i="8" s="1"/>
  <c r="AN180" i="8" a="1"/>
  <c r="AN180" i="8" s="1"/>
  <c r="AB182" i="8"/>
  <c r="AB184" i="8" s="1"/>
  <c r="AQ184" i="8" s="1" a="1"/>
  <c r="AQ184" i="8" s="1"/>
  <c r="AQ180" i="8" a="1"/>
  <c r="AQ180" i="8" s="1"/>
  <c r="AH178" i="8"/>
  <c r="AS176" i="8" a="1"/>
  <c r="AS176" i="8" s="1"/>
  <c r="AW176" i="8"/>
  <c r="AR177" i="8"/>
  <c r="AR185" i="8"/>
  <c r="AR187" i="8" s="1"/>
  <c r="T185" i="8"/>
  <c r="T34" i="8" s="1"/>
  <c r="T35" i="8" s="1"/>
  <c r="T37" i="8" s="1"/>
  <c r="T89" i="16" s="1"/>
  <c r="T88" i="16" s="1"/>
  <c r="W185" i="8"/>
  <c r="W187" i="8" s="1"/>
  <c r="AB185" i="8"/>
  <c r="AB34" i="8" s="1"/>
  <c r="R185" i="8"/>
  <c r="R34" i="8" s="1"/>
  <c r="R35" i="8" s="1"/>
  <c r="R37" i="8" s="1"/>
  <c r="R89" i="16" s="1"/>
  <c r="R88" i="16" s="1"/>
  <c r="AG185" i="8"/>
  <c r="AG187" i="8" s="1"/>
  <c r="AF185" i="8"/>
  <c r="AF34" i="8" s="1"/>
  <c r="AF35" i="8" s="1"/>
  <c r="AF37" i="8" s="1"/>
  <c r="AF89" i="16" s="1"/>
  <c r="AF88" i="16" s="1"/>
  <c r="Z185" i="8"/>
  <c r="Z34" i="8" s="1"/>
  <c r="Z35" i="8" s="1"/>
  <c r="Z37" i="8" s="1"/>
  <c r="Z89" i="16" s="1"/>
  <c r="Z88" i="16" s="1"/>
  <c r="V185" i="8"/>
  <c r="V187" i="8" s="1"/>
  <c r="AH185" i="8"/>
  <c r="AH187" i="8" s="1"/>
  <c r="X185" i="8"/>
  <c r="AC185" i="8"/>
  <c r="U185" i="8"/>
  <c r="AA185" i="8"/>
  <c r="AD185" i="8"/>
  <c r="AE34" i="8"/>
  <c r="AE187" i="8"/>
  <c r="AQ177" i="8" l="1"/>
  <c r="AM182" i="8" a="1"/>
  <c r="AM182" i="8" s="1"/>
  <c r="AM183" i="8" s="1"/>
  <c r="AP177" i="8"/>
  <c r="AP182" i="8" a="1"/>
  <c r="AP182" i="8" s="1"/>
  <c r="AP183" i="8" s="1"/>
  <c r="S185" i="8"/>
  <c r="S34" i="8" s="1"/>
  <c r="AO184" i="8" a="1"/>
  <c r="AO184" i="8" s="1"/>
  <c r="AV184" i="8"/>
  <c r="AJ182" i="8" a="1"/>
  <c r="AJ182" i="8" s="1"/>
  <c r="AJ183" i="8" s="1"/>
  <c r="AR182" i="8" a="1"/>
  <c r="AR182" i="8" s="1"/>
  <c r="AR183" i="8" s="1"/>
  <c r="AO178" i="8" a="1"/>
  <c r="AO178" i="8" s="1"/>
  <c r="AO177" i="8" s="1"/>
  <c r="AV178" i="8"/>
  <c r="AN182" i="8" a="1"/>
  <c r="AN182" i="8" s="1"/>
  <c r="AN183" i="8" s="1"/>
  <c r="AS178" i="8" a="1"/>
  <c r="AS178" i="8" s="1"/>
  <c r="AW178" i="8"/>
  <c r="AL182" i="8" a="1"/>
  <c r="AL182" i="8" s="1"/>
  <c r="AL183" i="8" s="1"/>
  <c r="AS182" i="8" a="1"/>
  <c r="AS182" i="8" s="1"/>
  <c r="AW182" i="8" a="1"/>
  <c r="AW182" i="8" s="1"/>
  <c r="AK182" i="8" a="1"/>
  <c r="AK182" i="8" s="1"/>
  <c r="AK183" i="8" s="1"/>
  <c r="AQ185" i="8"/>
  <c r="AQ187" i="8" s="1"/>
  <c r="AE35" i="8"/>
  <c r="AE37" i="8" s="1"/>
  <c r="AE89" i="16" s="1"/>
  <c r="AR34" i="8" a="1"/>
  <c r="AR34" i="8" s="1"/>
  <c r="AR35" i="8" s="1"/>
  <c r="AR37" i="8" s="1"/>
  <c r="AP185" i="8"/>
  <c r="AP187" i="8" s="1"/>
  <c r="AB35" i="8"/>
  <c r="AB37" i="8" s="1"/>
  <c r="AB89" i="16" s="1"/>
  <c r="AQ34" i="8" a="1"/>
  <c r="AQ34" i="8" s="1"/>
  <c r="AQ35" i="8" s="1"/>
  <c r="AQ37" i="8" s="1"/>
  <c r="Y185" i="8"/>
  <c r="Y34" i="8" s="1"/>
  <c r="AS184" i="8" a="1"/>
  <c r="AS184" i="8" s="1"/>
  <c r="AW184" i="8"/>
  <c r="AV182" i="8" a="1"/>
  <c r="AV182" i="8" s="1"/>
  <c r="AQ182" i="8" a="1"/>
  <c r="AQ182" i="8" s="1"/>
  <c r="AQ183" i="8" s="1"/>
  <c r="AN177" i="8"/>
  <c r="AU182" i="8" a="1"/>
  <c r="AU182" i="8" s="1"/>
  <c r="AU183" i="8" s="1"/>
  <c r="AO182" i="8" a="1"/>
  <c r="AO182" i="8" s="1"/>
  <c r="AN185" i="8"/>
  <c r="AN187" i="8" s="1"/>
  <c r="T187" i="8"/>
  <c r="AF187" i="8"/>
  <c r="AG34" i="8"/>
  <c r="AG35" i="8" s="1"/>
  <c r="AG37" i="8" s="1"/>
  <c r="AG89" i="16" s="1"/>
  <c r="AG88" i="16" s="1"/>
  <c r="W34" i="8"/>
  <c r="W35" i="8" s="1"/>
  <c r="W37" i="8" s="1"/>
  <c r="W89" i="16" s="1"/>
  <c r="W88" i="16" s="1"/>
  <c r="S187" i="8"/>
  <c r="Z187" i="8"/>
  <c r="AB187" i="8"/>
  <c r="R187" i="8"/>
  <c r="V34" i="8"/>
  <c r="AH34" i="8"/>
  <c r="AA34" i="8"/>
  <c r="AA35" i="8" s="1"/>
  <c r="AA37" i="8" s="1"/>
  <c r="AA89" i="16" s="1"/>
  <c r="AA88" i="16" s="1"/>
  <c r="AA187" i="8"/>
  <c r="AD34" i="8"/>
  <c r="AD35" i="8" s="1"/>
  <c r="AD37" i="8" s="1"/>
  <c r="AD89" i="16" s="1"/>
  <c r="AD88" i="16" s="1"/>
  <c r="AD187" i="8"/>
  <c r="Y187" i="8"/>
  <c r="AC34" i="8"/>
  <c r="AC35" i="8" s="1"/>
  <c r="AC37" i="8" s="1"/>
  <c r="AC89" i="16" s="1"/>
  <c r="AC88" i="16" s="1"/>
  <c r="AC187" i="8"/>
  <c r="U34" i="8"/>
  <c r="U35" i="8" s="1"/>
  <c r="U37" i="8" s="1"/>
  <c r="U89" i="16" s="1"/>
  <c r="U88" i="16" s="1"/>
  <c r="U187" i="8"/>
  <c r="X34" i="8"/>
  <c r="X35" i="8" s="1"/>
  <c r="X37" i="8" s="1"/>
  <c r="X89" i="16" s="1"/>
  <c r="X88" i="16" s="1"/>
  <c r="X187" i="8"/>
  <c r="AQ89" i="16" l="1" a="1"/>
  <c r="AQ89" i="16" s="1"/>
  <c r="AQ88" i="16" s="1"/>
  <c r="AB88" i="16"/>
  <c r="AR89" i="16" a="1"/>
  <c r="AR89" i="16" s="1"/>
  <c r="AR88" i="16" s="1"/>
  <c r="AE88" i="16"/>
  <c r="AO183" i="8"/>
  <c r="AV183" i="8"/>
  <c r="AV185" i="8"/>
  <c r="AV187" i="8" s="1"/>
  <c r="AW183" i="8"/>
  <c r="AS183" i="8"/>
  <c r="AW185" i="8"/>
  <c r="AW187" i="8" s="1"/>
  <c r="AS185" i="8"/>
  <c r="AS187" i="8" s="1"/>
  <c r="AV177" i="8"/>
  <c r="Y35" i="8"/>
  <c r="Y37" i="8" s="1"/>
  <c r="Y89" i="16" s="1"/>
  <c r="AP34" i="8" a="1"/>
  <c r="AP34" i="8" s="1"/>
  <c r="AP35" i="8" s="1"/>
  <c r="AP37" i="8" s="1"/>
  <c r="AS177" i="8"/>
  <c r="AH35" i="8"/>
  <c r="AH37" i="8" s="1"/>
  <c r="AH89" i="16" s="1"/>
  <c r="AH88" i="16" s="1"/>
  <c r="AS34" i="8" a="1"/>
  <c r="AS34" i="8" s="1"/>
  <c r="AS35" i="8" s="1"/>
  <c r="AS37" i="8" s="1"/>
  <c r="AW34" i="8"/>
  <c r="AW35" i="8" s="1"/>
  <c r="AW37" i="8" s="1"/>
  <c r="AW177" i="8"/>
  <c r="V35" i="8"/>
  <c r="V37" i="8" s="1"/>
  <c r="V89" i="16" s="1"/>
  <c r="V88" i="16" s="1"/>
  <c r="AO34" i="8" a="1"/>
  <c r="AO34" i="8" s="1"/>
  <c r="AO35" i="8" s="1"/>
  <c r="AO37" i="8" s="1"/>
  <c r="AV34" i="8"/>
  <c r="AV35" i="8" s="1"/>
  <c r="AV37" i="8" s="1"/>
  <c r="AO185" i="8"/>
  <c r="AO187" i="8" s="1"/>
  <c r="S35" i="8"/>
  <c r="S37" i="8" s="1"/>
  <c r="S89" i="16" s="1"/>
  <c r="AN34" i="8" a="1"/>
  <c r="AN34" i="8" s="1"/>
  <c r="AN35" i="8" s="1"/>
  <c r="AN37" i="8" s="1"/>
  <c r="E185" i="10"/>
  <c r="E208" i="10" s="1"/>
  <c r="E27" i="10"/>
  <c r="E30" i="10" s="1"/>
  <c r="E34" i="10" s="1"/>
  <c r="E24" i="11"/>
  <c r="E100" i="11" s="1"/>
  <c r="E101" i="11" s="1"/>
  <c r="E52" i="11" s="1"/>
  <c r="E151" i="10"/>
  <c r="F149" i="10"/>
  <c r="F151" i="10" s="1"/>
  <c r="F27" i="10"/>
  <c r="F30" i="10" s="1"/>
  <c r="F34" i="10" s="1"/>
  <c r="F83" i="16" s="1"/>
  <c r="F185" i="10"/>
  <c r="AP89" i="16" l="1" a="1"/>
  <c r="AP89" i="16" s="1"/>
  <c r="AP88" i="16" s="1"/>
  <c r="Y88" i="16"/>
  <c r="AN89" i="16" a="1"/>
  <c r="AN89" i="16" s="1"/>
  <c r="AN88" i="16" s="1"/>
  <c r="S88" i="16"/>
  <c r="AV89" i="16"/>
  <c r="AV88" i="16" s="1"/>
  <c r="AO89" i="16" a="1"/>
  <c r="AO89" i="16" s="1"/>
  <c r="AO88" i="16" s="1"/>
  <c r="AS89" i="16" a="1"/>
  <c r="AS89" i="16" s="1"/>
  <c r="AS88" i="16" s="1"/>
  <c r="AW89" i="16"/>
  <c r="AW88" i="16" s="1"/>
  <c r="E39" i="10"/>
  <c r="E83" i="16"/>
  <c r="E27" i="11"/>
  <c r="F24" i="11"/>
  <c r="G149" i="10"/>
  <c r="G151" i="10" s="1"/>
  <c r="E71" i="16" l="1"/>
  <c r="E42" i="11"/>
  <c r="E50" i="10" s="1"/>
  <c r="G24" i="11"/>
  <c r="G27" i="10"/>
  <c r="G185" i="10"/>
  <c r="H149" i="10"/>
  <c r="H151" i="10" s="1"/>
  <c r="F100" i="11"/>
  <c r="F101" i="11" s="1"/>
  <c r="F52" i="11" s="1"/>
  <c r="G30" i="10" l="1"/>
  <c r="G34" i="10" s="1"/>
  <c r="G83" i="16" s="1"/>
  <c r="AJ83" i="16" s="1" a="1"/>
  <c r="AJ83" i="16" s="1"/>
  <c r="AJ27" i="10" a="1"/>
  <c r="AJ27" i="10" s="1"/>
  <c r="AJ30" i="10" s="1"/>
  <c r="AJ34" i="10" s="1"/>
  <c r="E53" i="10"/>
  <c r="E45" i="11"/>
  <c r="H24" i="11"/>
  <c r="I149" i="10"/>
  <c r="I151" i="10" s="1"/>
  <c r="H27" i="10"/>
  <c r="H30" i="10" s="1"/>
  <c r="H34" i="10" s="1"/>
  <c r="H83" i="16" s="1"/>
  <c r="H185" i="10"/>
  <c r="G100" i="11"/>
  <c r="G101" i="11" s="1"/>
  <c r="G52" i="11" s="1"/>
  <c r="F49" i="10" l="1"/>
  <c r="F137" i="4" s="1"/>
  <c r="F140" i="4" s="1"/>
  <c r="F44" i="11"/>
  <c r="E15" i="10"/>
  <c r="E18" i="10" s="1"/>
  <c r="E23" i="10" s="1"/>
  <c r="F74" i="11"/>
  <c r="E127" i="10"/>
  <c r="E210" i="10" s="1"/>
  <c r="E222" i="10"/>
  <c r="E228" i="10"/>
  <c r="E230" i="10" s="1"/>
  <c r="I24" i="11"/>
  <c r="I27" i="10"/>
  <c r="I30" i="10" s="1"/>
  <c r="I34" i="10" s="1"/>
  <c r="I83" i="16" s="1"/>
  <c r="I185" i="10"/>
  <c r="J149" i="10"/>
  <c r="J151" i="10" s="1"/>
  <c r="H100" i="11"/>
  <c r="H101" i="11" s="1"/>
  <c r="H52" i="11" s="1"/>
  <c r="E41" i="10" l="1"/>
  <c r="E81" i="16"/>
  <c r="E79" i="16"/>
  <c r="F23" i="4"/>
  <c r="F107" i="11" s="1"/>
  <c r="F54" i="11" s="1"/>
  <c r="E224" i="10"/>
  <c r="E233" i="10"/>
  <c r="E234" i="10"/>
  <c r="J24" i="11"/>
  <c r="J185" i="10"/>
  <c r="K149" i="10"/>
  <c r="K151" i="10" s="1"/>
  <c r="J27" i="10"/>
  <c r="I100" i="11"/>
  <c r="I101" i="11" s="1"/>
  <c r="I52" i="11" s="1"/>
  <c r="F52" i="1" l="1"/>
  <c r="J30" i="10"/>
  <c r="J34" i="10" s="1"/>
  <c r="J83" i="16" s="1"/>
  <c r="AU27" i="10"/>
  <c r="AU30" i="10" s="1"/>
  <c r="AU34" i="10" s="1"/>
  <c r="AK27" i="10" a="1"/>
  <c r="AK27" i="10" s="1"/>
  <c r="AK30" i="10" s="1"/>
  <c r="AK34" i="10" s="1"/>
  <c r="F53" i="1"/>
  <c r="F178" i="5" s="1"/>
  <c r="F180" i="5" s="1"/>
  <c r="F55" i="1" s="1"/>
  <c r="F86" i="11"/>
  <c r="F50" i="11" s="1"/>
  <c r="K27" i="10"/>
  <c r="K30" i="10" s="1"/>
  <c r="K34" i="10" s="1"/>
  <c r="K83" i="16" s="1"/>
  <c r="K24" i="11"/>
  <c r="L149" i="10"/>
  <c r="L151" i="10" s="1"/>
  <c r="K185" i="10"/>
  <c r="J100" i="11"/>
  <c r="J101" i="11" s="1"/>
  <c r="J52" i="11" s="1"/>
  <c r="AK83" i="16" l="1" a="1"/>
  <c r="AK83" i="16" s="1"/>
  <c r="AU83" i="16"/>
  <c r="F109" i="11"/>
  <c r="F56" i="11" s="1"/>
  <c r="F57" i="11" s="1"/>
  <c r="F29" i="5"/>
  <c r="F182" i="5"/>
  <c r="F184" i="5" s="1"/>
  <c r="F182" i="10" s="1"/>
  <c r="F183" i="10" s="1"/>
  <c r="F56" i="1"/>
  <c r="F66" i="16" s="1"/>
  <c r="F30" i="5"/>
  <c r="F110" i="11"/>
  <c r="L24" i="11"/>
  <c r="M149" i="10"/>
  <c r="M151" i="10" s="1"/>
  <c r="L185" i="10"/>
  <c r="L27" i="10"/>
  <c r="L30" i="10" s="1"/>
  <c r="L34" i="10" s="1"/>
  <c r="L83" i="16" s="1"/>
  <c r="K100" i="11"/>
  <c r="K101" i="11" s="1"/>
  <c r="K52" i="11" s="1"/>
  <c r="F72" i="11" l="1"/>
  <c r="F75" i="11" s="1"/>
  <c r="F202" i="10"/>
  <c r="F15" i="11"/>
  <c r="F27" i="11" s="1"/>
  <c r="F30" i="16"/>
  <c r="F204" i="10"/>
  <c r="F211" i="10" s="1"/>
  <c r="G86" i="11"/>
  <c r="G50" i="11" s="1"/>
  <c r="L100" i="11"/>
  <c r="L101" i="11" s="1"/>
  <c r="L52" i="11" s="1"/>
  <c r="M185" i="10"/>
  <c r="M24" i="11"/>
  <c r="N149" i="10"/>
  <c r="N151" i="10" s="1"/>
  <c r="M27" i="10"/>
  <c r="F71" i="16" l="1"/>
  <c r="F77" i="11"/>
  <c r="F73" i="11"/>
  <c r="M30" i="10"/>
  <c r="M34" i="10" s="1"/>
  <c r="M83" i="16" s="1"/>
  <c r="AL83" i="16" s="1" a="1"/>
  <c r="AL83" i="16" s="1"/>
  <c r="AL27" i="10" a="1"/>
  <c r="AL27" i="10" s="1"/>
  <c r="AL30" i="10" s="1"/>
  <c r="AL34" i="10" s="1"/>
  <c r="F42" i="11"/>
  <c r="F50" i="10" s="1"/>
  <c r="F112" i="11"/>
  <c r="F38" i="10"/>
  <c r="F206" i="10"/>
  <c r="F208" i="10" s="1"/>
  <c r="G201" i="10"/>
  <c r="H86" i="11"/>
  <c r="H50" i="11" s="1"/>
  <c r="M100" i="11"/>
  <c r="M101" i="11" s="1"/>
  <c r="M52" i="11" s="1"/>
  <c r="F45" i="11" l="1"/>
  <c r="F39" i="10"/>
  <c r="F84" i="16"/>
  <c r="F53" i="10"/>
  <c r="I86" i="11"/>
  <c r="I50" i="11" s="1"/>
  <c r="F85" i="16" l="1"/>
  <c r="F228" i="10"/>
  <c r="F230" i="10" s="1"/>
  <c r="G49" i="10"/>
  <c r="F127" i="10"/>
  <c r="F210" i="10" s="1"/>
  <c r="G74" i="11"/>
  <c r="G44" i="11"/>
  <c r="F222" i="10"/>
  <c r="F15" i="10"/>
  <c r="F18" i="10" s="1"/>
  <c r="F23" i="10" s="1"/>
  <c r="N185" i="10"/>
  <c r="O149" i="10"/>
  <c r="O151" i="10" s="1"/>
  <c r="N24" i="11"/>
  <c r="N27" i="10"/>
  <c r="N30" i="10" s="1"/>
  <c r="N34" i="10" s="1"/>
  <c r="N83" i="16" s="1"/>
  <c r="F41" i="10" l="1"/>
  <c r="F81" i="16"/>
  <c r="F79" i="16"/>
  <c r="F224" i="10"/>
  <c r="F233" i="10"/>
  <c r="F234" i="10"/>
  <c r="G137" i="4"/>
  <c r="N100" i="11"/>
  <c r="N101" i="11" s="1"/>
  <c r="N52" i="11" s="1"/>
  <c r="O185" i="10"/>
  <c r="O27" i="10"/>
  <c r="O30" i="10" s="1"/>
  <c r="O34" i="10" s="1"/>
  <c r="O83" i="16" s="1"/>
  <c r="P149" i="10"/>
  <c r="P151" i="10" s="1"/>
  <c r="O24" i="11"/>
  <c r="G140" i="4" l="1"/>
  <c r="G23" i="4" s="1"/>
  <c r="AJ137" i="4" a="1"/>
  <c r="AJ137" i="4" s="1"/>
  <c r="J86" i="11"/>
  <c r="J50" i="11" s="1"/>
  <c r="O100" i="11"/>
  <c r="O101" i="11" s="1"/>
  <c r="O52" i="11" s="1"/>
  <c r="P27" i="10"/>
  <c r="P24" i="11"/>
  <c r="P185" i="10"/>
  <c r="Q149" i="10"/>
  <c r="Q152" i="10" s="1"/>
  <c r="P30" i="10" l="1"/>
  <c r="P34" i="10" s="1"/>
  <c r="P83" i="16" s="1"/>
  <c r="AM83" i="16" s="1" a="1"/>
  <c r="AM83" i="16" s="1"/>
  <c r="AM27" i="10" a="1"/>
  <c r="AM27" i="10" s="1"/>
  <c r="AM30" i="10" s="1"/>
  <c r="AM34" i="10" s="1"/>
  <c r="G107" i="11"/>
  <c r="G54" i="11" s="1"/>
  <c r="G52" i="1"/>
  <c r="G53" i="1" s="1"/>
  <c r="G178" i="5" s="1"/>
  <c r="G180" i="5" s="1"/>
  <c r="K86" i="11"/>
  <c r="K50" i="11" s="1"/>
  <c r="L86" i="11"/>
  <c r="L50" i="11" s="1"/>
  <c r="P100" i="11"/>
  <c r="P101" i="11" s="1"/>
  <c r="P52" i="11" s="1"/>
  <c r="Q24" i="11"/>
  <c r="Q27" i="10"/>
  <c r="R149" i="10"/>
  <c r="R152" i="10" s="1"/>
  <c r="G29" i="5" l="1"/>
  <c r="G55" i="1"/>
  <c r="G182" i="5"/>
  <c r="G184" i="5" s="1"/>
  <c r="G182" i="10" s="1"/>
  <c r="G183" i="10" s="1"/>
  <c r="G109" i="11"/>
  <c r="G56" i="1"/>
  <c r="G66" i="16" s="1"/>
  <c r="G30" i="5"/>
  <c r="R24" i="11"/>
  <c r="R27" i="10"/>
  <c r="S149" i="10"/>
  <c r="S152" i="10" s="1"/>
  <c r="AN152" i="10" s="1" a="1"/>
  <c r="AN152" i="10" s="1"/>
  <c r="Q100" i="11"/>
  <c r="G110" i="11" l="1"/>
  <c r="G56" i="11"/>
  <c r="G57" i="11" s="1"/>
  <c r="G72" i="11" s="1"/>
  <c r="G75" i="11" s="1"/>
  <c r="AJ75" i="11" s="1" a="1"/>
  <c r="AJ75" i="11" s="1"/>
  <c r="G15" i="11"/>
  <c r="G27" i="11" s="1"/>
  <c r="G202" i="10"/>
  <c r="G204" i="10" s="1"/>
  <c r="Q101" i="11"/>
  <c r="Q52" i="11" s="1"/>
  <c r="G30" i="16"/>
  <c r="M86" i="11"/>
  <c r="M50" i="11" s="1"/>
  <c r="R100" i="11"/>
  <c r="R101" i="11" s="1"/>
  <c r="R52" i="11" s="1"/>
  <c r="S24" i="11"/>
  <c r="S27" i="10"/>
  <c r="AN27" i="10" s="1" a="1"/>
  <c r="AN27" i="10" s="1"/>
  <c r="T149" i="10"/>
  <c r="T152" i="10" s="1"/>
  <c r="G77" i="11" l="1"/>
  <c r="G73" i="11"/>
  <c r="G211" i="10"/>
  <c r="AJ204" i="10" a="1"/>
  <c r="AJ204" i="10" s="1"/>
  <c r="G42" i="11"/>
  <c r="G50" i="10" s="1"/>
  <c r="G112" i="11"/>
  <c r="G71" i="16"/>
  <c r="G38" i="10"/>
  <c r="G206" i="10"/>
  <c r="G208" i="10" s="1"/>
  <c r="H201" i="10"/>
  <c r="T27" i="10"/>
  <c r="T24" i="11"/>
  <c r="U149" i="10"/>
  <c r="U152" i="10" s="1"/>
  <c r="S100" i="11"/>
  <c r="S101" i="11" s="1"/>
  <c r="S52" i="11" s="1"/>
  <c r="AJ206" i="10" l="1"/>
  <c r="AJ208" i="10" s="1"/>
  <c r="G45" i="11"/>
  <c r="AJ45" i="11" s="1" a="1"/>
  <c r="AJ45" i="11" s="1"/>
  <c r="G39" i="10"/>
  <c r="AJ38" i="10" a="1"/>
  <c r="AJ38" i="10" s="1"/>
  <c r="AJ39" i="10" s="1"/>
  <c r="G84" i="16"/>
  <c r="N86" i="11"/>
  <c r="N50" i="11" s="1"/>
  <c r="U24" i="11"/>
  <c r="U27" i="10"/>
  <c r="V149" i="10"/>
  <c r="V152" i="10" s="1"/>
  <c r="T100" i="11"/>
  <c r="AJ84" i="16" l="1" a="1"/>
  <c r="AJ84" i="16" s="1"/>
  <c r="AJ42" i="16" s="1"/>
  <c r="AO152" i="10" a="1"/>
  <c r="AO152" i="10" s="1"/>
  <c r="AV152" i="10"/>
  <c r="G53" i="10"/>
  <c r="AJ51" i="10" a="1"/>
  <c r="AJ51" i="10" s="1"/>
  <c r="T101" i="11"/>
  <c r="T52" i="11" s="1"/>
  <c r="G85" i="16"/>
  <c r="H44" i="11"/>
  <c r="G222" i="10"/>
  <c r="G127" i="10"/>
  <c r="G210" i="10" s="1"/>
  <c r="G15" i="10"/>
  <c r="G228" i="10"/>
  <c r="G230" i="10" s="1"/>
  <c r="H74" i="11"/>
  <c r="H49" i="10"/>
  <c r="V24" i="11"/>
  <c r="V27" i="10"/>
  <c r="W149" i="10"/>
  <c r="W152" i="10" s="1"/>
  <c r="U100" i="11"/>
  <c r="U101" i="11" s="1"/>
  <c r="U52" i="11" s="1"/>
  <c r="AJ85" i="16" l="1" a="1"/>
  <c r="AJ85" i="16" s="1"/>
  <c r="AJ228" i="10"/>
  <c r="AJ230" i="10" s="1"/>
  <c r="AJ127" i="10"/>
  <c r="AJ210" i="10" s="1"/>
  <c r="AJ222" i="10"/>
  <c r="AO27" i="10" a="1"/>
  <c r="AO27" i="10" s="1"/>
  <c r="G18" i="10"/>
  <c r="G23" i="10" s="1"/>
  <c r="AJ15" i="10" a="1"/>
  <c r="AJ15" i="10" s="1"/>
  <c r="AJ18" i="10" s="1"/>
  <c r="AJ23" i="10" s="1"/>
  <c r="AJ41" i="10" s="1"/>
  <c r="H137" i="4"/>
  <c r="H140" i="4" s="1"/>
  <c r="G233" i="10"/>
  <c r="G224" i="10"/>
  <c r="G234" i="10"/>
  <c r="O86" i="11"/>
  <c r="O50" i="11" s="1"/>
  <c r="W27" i="10"/>
  <c r="X149" i="10"/>
  <c r="X152" i="10" s="1"/>
  <c r="W24" i="11"/>
  <c r="V100" i="11"/>
  <c r="AJ234" i="10" l="1"/>
  <c r="AJ233" i="10"/>
  <c r="AJ224" i="10"/>
  <c r="V101" i="11"/>
  <c r="V52" i="11" s="1"/>
  <c r="H23" i="4"/>
  <c r="H107" i="11" s="1"/>
  <c r="H54" i="11" s="1"/>
  <c r="G41" i="10"/>
  <c r="G79" i="16"/>
  <c r="G81" i="16"/>
  <c r="W100" i="11"/>
  <c r="X27" i="10"/>
  <c r="Y149" i="10"/>
  <c r="Y152" i="10" s="1"/>
  <c r="AP152" i="10" s="1" a="1"/>
  <c r="AP152" i="10" s="1"/>
  <c r="X24" i="11"/>
  <c r="AJ79" i="16" l="1" a="1"/>
  <c r="AJ79" i="16" s="1"/>
  <c r="AJ20" i="16" s="1"/>
  <c r="AJ37" i="16" s="1"/>
  <c r="W101" i="11"/>
  <c r="W52" i="11" s="1"/>
  <c r="H52" i="1"/>
  <c r="H53" i="1" s="1"/>
  <c r="H178" i="5" s="1"/>
  <c r="H180" i="5" s="1"/>
  <c r="H55" i="1" s="1"/>
  <c r="AJ81" i="16" a="1"/>
  <c r="AJ81" i="16" s="1"/>
  <c r="P86" i="11"/>
  <c r="P50" i="11" s="1"/>
  <c r="Y24" i="11"/>
  <c r="Z149" i="10"/>
  <c r="Z151" i="10" s="1"/>
  <c r="Y27" i="10"/>
  <c r="AP27" i="10" s="1" a="1"/>
  <c r="AP27" i="10" s="1"/>
  <c r="X100" i="11"/>
  <c r="X101" i="11" s="1"/>
  <c r="X52" i="11" s="1"/>
  <c r="AJ43" i="16" l="1"/>
  <c r="AJ38" i="16" s="1"/>
  <c r="AJ21" i="16"/>
  <c r="AJ41" i="16"/>
  <c r="AJ151" i="10" a="1"/>
  <c r="AJ151" i="10" s="1"/>
  <c r="AJ149" i="10" s="1"/>
  <c r="AQ151" i="10" a="1"/>
  <c r="AQ151" i="10" s="1"/>
  <c r="AN151" i="10" a="1"/>
  <c r="AN151" i="10" s="1"/>
  <c r="AN149" i="10" s="1"/>
  <c r="AP151" i="10" a="1"/>
  <c r="AP151" i="10" s="1"/>
  <c r="AP149" i="10" s="1"/>
  <c r="AM151" i="10" a="1"/>
  <c r="AM151" i="10" s="1"/>
  <c r="AM149" i="10" s="1"/>
  <c r="AS151" i="10" a="1"/>
  <c r="AS151" i="10" s="1"/>
  <c r="AO151" i="10" a="1"/>
  <c r="AO151" i="10" s="1"/>
  <c r="AO149" i="10" s="1"/>
  <c r="AU151" i="10" a="1"/>
  <c r="AU151" i="10" s="1"/>
  <c r="AU149" i="10" s="1"/>
  <c r="AR151" i="10" a="1"/>
  <c r="AR151" i="10" s="1"/>
  <c r="AK151" i="10" a="1"/>
  <c r="AK151" i="10" s="1"/>
  <c r="AK149" i="10" s="1"/>
  <c r="AW151" i="10" a="1"/>
  <c r="AW151" i="10" s="1"/>
  <c r="AV151" i="10" a="1"/>
  <c r="AV151" i="10" s="1"/>
  <c r="AV149" i="10" s="1"/>
  <c r="AL151" i="10" a="1"/>
  <c r="AL151" i="10" s="1"/>
  <c r="AL149" i="10" s="1"/>
  <c r="H182" i="5"/>
  <c r="H184" i="5" s="1"/>
  <c r="H182" i="10" s="1"/>
  <c r="H183" i="10" s="1"/>
  <c r="H29" i="5"/>
  <c r="H30" i="5" s="1"/>
  <c r="H109" i="11"/>
  <c r="H56" i="1"/>
  <c r="H66" i="16" s="1"/>
  <c r="Y100" i="11"/>
  <c r="Y101" i="11" s="1"/>
  <c r="Y52" i="11" s="1"/>
  <c r="H110" i="11" l="1"/>
  <c r="H56" i="11"/>
  <c r="H57" i="11" s="1"/>
  <c r="H72" i="11" s="1"/>
  <c r="H75" i="11" s="1"/>
  <c r="H202" i="10"/>
  <c r="H15" i="11"/>
  <c r="H27" i="11" s="1"/>
  <c r="H30" i="16"/>
  <c r="Z152" i="10"/>
  <c r="Z24" i="11" s="1"/>
  <c r="H73" i="11" l="1"/>
  <c r="H77" i="11"/>
  <c r="H204" i="10"/>
  <c r="H206" i="10" s="1"/>
  <c r="H208" i="10" s="1"/>
  <c r="H71" i="16"/>
  <c r="H112" i="11"/>
  <c r="H42" i="11"/>
  <c r="H50" i="10" s="1"/>
  <c r="AA149" i="10"/>
  <c r="AA152" i="10" s="1"/>
  <c r="AB149" i="10" s="1"/>
  <c r="AB152" i="10" s="1"/>
  <c r="AQ152" i="10" s="1" a="1"/>
  <c r="AQ152" i="10" s="1"/>
  <c r="AQ149" i="10" s="1"/>
  <c r="Z27" i="10"/>
  <c r="Z100" i="11"/>
  <c r="Z101" i="11" s="1"/>
  <c r="Z52" i="11" s="1"/>
  <c r="I201" i="10" l="1"/>
  <c r="H38" i="10"/>
  <c r="H84" i="16" s="1"/>
  <c r="H211" i="10"/>
  <c r="H45" i="11"/>
  <c r="H53" i="10"/>
  <c r="AA24" i="11"/>
  <c r="AA100" i="11" s="1"/>
  <c r="AA101" i="11" s="1"/>
  <c r="AA52" i="11" s="1"/>
  <c r="AA27" i="10"/>
  <c r="AB24" i="11"/>
  <c r="AB27" i="10"/>
  <c r="AQ27" i="10" s="1" a="1"/>
  <c r="AQ27" i="10" s="1"/>
  <c r="AC149" i="10"/>
  <c r="AC152" i="10" s="1"/>
  <c r="H85" i="16" l="1"/>
  <c r="H39" i="10"/>
  <c r="I49" i="10"/>
  <c r="I74" i="11"/>
  <c r="H222" i="10"/>
  <c r="H127" i="10"/>
  <c r="H210" i="10" s="1"/>
  <c r="I44" i="11"/>
  <c r="H15" i="10"/>
  <c r="H18" i="10" s="1"/>
  <c r="H23" i="10" s="1"/>
  <c r="H228" i="10"/>
  <c r="H230" i="10" s="1"/>
  <c r="AB100" i="11"/>
  <c r="AB101" i="11" s="1"/>
  <c r="AB52" i="11" s="1"/>
  <c r="AC24" i="11"/>
  <c r="AC27" i="10"/>
  <c r="AD149" i="10"/>
  <c r="AD152" i="10" s="1"/>
  <c r="H41" i="10" l="1"/>
  <c r="H79" i="16"/>
  <c r="H81" i="16"/>
  <c r="H224" i="10"/>
  <c r="H233" i="10"/>
  <c r="H234" i="10"/>
  <c r="I137" i="4"/>
  <c r="I140" i="4" s="1"/>
  <c r="AC100" i="11"/>
  <c r="AC101" i="11" s="1"/>
  <c r="AC52" i="11" s="1"/>
  <c r="AD27" i="10"/>
  <c r="AD24" i="11"/>
  <c r="AE149" i="10"/>
  <c r="AE152" i="10" s="1"/>
  <c r="I23" i="4" l="1"/>
  <c r="I107" i="11" s="1"/>
  <c r="I54" i="11" s="1"/>
  <c r="AE27" i="10"/>
  <c r="AR27" i="10" s="1" a="1"/>
  <c r="AR27" i="10" s="1"/>
  <c r="AF149" i="10"/>
  <c r="AF152" i="10" s="1"/>
  <c r="AE24" i="11"/>
  <c r="AD100" i="11"/>
  <c r="AD101" i="11" s="1"/>
  <c r="AD52" i="11" s="1"/>
  <c r="I52" i="1" l="1"/>
  <c r="I53" i="1" s="1"/>
  <c r="I178" i="5" s="1"/>
  <c r="I180" i="5" s="1"/>
  <c r="AE100" i="11"/>
  <c r="AE101" i="11" s="1"/>
  <c r="AE52" i="11" s="1"/>
  <c r="AF24" i="11"/>
  <c r="AF27" i="10"/>
  <c r="AG149" i="10"/>
  <c r="AG152" i="10" s="1"/>
  <c r="I29" i="5" l="1"/>
  <c r="I55" i="1"/>
  <c r="I56" i="1" s="1"/>
  <c r="I66" i="16" s="1"/>
  <c r="I182" i="5"/>
  <c r="I184" i="5" s="1"/>
  <c r="I182" i="10" s="1"/>
  <c r="I183" i="10" s="1"/>
  <c r="I109" i="11"/>
  <c r="I56" i="11" s="1"/>
  <c r="I57" i="11" s="1"/>
  <c r="I30" i="5"/>
  <c r="I110" i="11"/>
  <c r="AF100" i="11"/>
  <c r="AF101" i="11" s="1"/>
  <c r="AF52" i="11" s="1"/>
  <c r="AH149" i="10"/>
  <c r="AH152" i="10" s="1"/>
  <c r="AG24" i="11"/>
  <c r="AG27" i="10"/>
  <c r="I72" i="11" l="1"/>
  <c r="I75" i="11" s="1"/>
  <c r="AR152" i="10" a="1"/>
  <c r="AR152" i="10" s="1"/>
  <c r="AR149" i="10" s="1"/>
  <c r="AS152" i="10" a="1"/>
  <c r="AS152" i="10" s="1"/>
  <c r="AS149" i="10" s="1"/>
  <c r="AW152" i="10"/>
  <c r="AW149" i="10" s="1"/>
  <c r="I15" i="11"/>
  <c r="I27" i="11" s="1"/>
  <c r="I202" i="10"/>
  <c r="I30" i="16"/>
  <c r="AG100" i="11"/>
  <c r="AG101" i="11" s="1"/>
  <c r="AG52" i="11" s="1"/>
  <c r="AH27" i="10"/>
  <c r="AH24" i="11"/>
  <c r="I73" i="11" l="1"/>
  <c r="I77" i="11"/>
  <c r="AV27" i="10"/>
  <c r="AW27" i="10"/>
  <c r="I204" i="10"/>
  <c r="I71" i="16"/>
  <c r="AS27" i="10" a="1"/>
  <c r="AS27" i="10" s="1"/>
  <c r="AO24" i="11" a="1"/>
  <c r="AO24" i="11" s="1"/>
  <c r="AS24" i="11" a="1"/>
  <c r="AS24" i="11" s="1"/>
  <c r="AQ24" i="11" a="1"/>
  <c r="AQ24" i="11" s="1"/>
  <c r="AM24" i="11" a="1"/>
  <c r="AM24" i="11" s="1"/>
  <c r="AR24" i="11" a="1"/>
  <c r="AR24" i="11" s="1"/>
  <c r="AW24" i="11" a="1"/>
  <c r="AW24" i="11" s="1"/>
  <c r="AP24" i="11" a="1"/>
  <c r="AP24" i="11" s="1"/>
  <c r="AL24" i="11" a="1"/>
  <c r="AL24" i="11" s="1"/>
  <c r="AK24" i="11" a="1"/>
  <c r="AK24" i="11" s="1"/>
  <c r="AJ24" i="11" a="1"/>
  <c r="AJ24" i="11" s="1"/>
  <c r="AU24" i="11" a="1"/>
  <c r="AU24" i="11" s="1"/>
  <c r="AN24" i="11" a="1"/>
  <c r="AN24" i="11" s="1"/>
  <c r="AV24" i="11" a="1"/>
  <c r="AV24" i="11" s="1"/>
  <c r="I112" i="11"/>
  <c r="I42" i="11"/>
  <c r="I50" i="10" s="1"/>
  <c r="AH100" i="11"/>
  <c r="I45" i="11" l="1"/>
  <c r="I38" i="10"/>
  <c r="J201" i="10"/>
  <c r="I211" i="10"/>
  <c r="I206" i="10"/>
  <c r="I208" i="10" s="1"/>
  <c r="AH101" i="11"/>
  <c r="AH52" i="11" s="1"/>
  <c r="AV100" i="11" a="1"/>
  <c r="AV100" i="11" s="1"/>
  <c r="AV101" i="11" s="1"/>
  <c r="AN100" i="11" a="1"/>
  <c r="AN100" i="11" s="1"/>
  <c r="AN101" i="11" s="1"/>
  <c r="AO100" i="11" a="1"/>
  <c r="AO100" i="11" s="1"/>
  <c r="AO101" i="11" s="1"/>
  <c r="AK100" i="11" a="1"/>
  <c r="AK100" i="11" s="1"/>
  <c r="AK101" i="11" s="1"/>
  <c r="AU100" i="11" a="1"/>
  <c r="AU100" i="11" s="1"/>
  <c r="AU101" i="11" s="1"/>
  <c r="AP100" i="11" a="1"/>
  <c r="AP100" i="11" s="1"/>
  <c r="AP101" i="11" s="1"/>
  <c r="AQ100" i="11" a="1"/>
  <c r="AQ100" i="11" s="1"/>
  <c r="AQ101" i="11" s="1"/>
  <c r="AM100" i="11" a="1"/>
  <c r="AM100" i="11" s="1"/>
  <c r="AM101" i="11" s="1"/>
  <c r="AR100" i="11" a="1"/>
  <c r="AR100" i="11" s="1"/>
  <c r="AR101" i="11" s="1"/>
  <c r="AW100" i="11" a="1"/>
  <c r="AW100" i="11" s="1"/>
  <c r="AW101" i="11" s="1"/>
  <c r="AJ100" i="11" a="1"/>
  <c r="AJ100" i="11" s="1"/>
  <c r="AJ101" i="11" s="1"/>
  <c r="AL100" i="11" a="1"/>
  <c r="AL100" i="11" s="1"/>
  <c r="AL101" i="11" s="1"/>
  <c r="AS100" i="11" a="1"/>
  <c r="AS100" i="11" s="1"/>
  <c r="AS101" i="11" s="1"/>
  <c r="I53" i="10"/>
  <c r="AS52" i="11" l="1" a="1"/>
  <c r="AS52" i="11" s="1"/>
  <c r="AK52" i="11" a="1"/>
  <c r="AK52" i="11" s="1"/>
  <c r="AO52" i="11" a="1"/>
  <c r="AO52" i="11" s="1"/>
  <c r="AV52" i="11" a="1"/>
  <c r="AV52" i="11" s="1"/>
  <c r="AQ52" i="11" a="1"/>
  <c r="AQ52" i="11" s="1"/>
  <c r="AM52" i="11" a="1"/>
  <c r="AM52" i="11" s="1"/>
  <c r="AU52" i="11" a="1"/>
  <c r="AU52" i="11" s="1"/>
  <c r="AN52" i="11" a="1"/>
  <c r="AN52" i="11" s="1"/>
  <c r="AP52" i="11" a="1"/>
  <c r="AP52" i="11" s="1"/>
  <c r="AJ52" i="11" a="1"/>
  <c r="AJ52" i="11" s="1"/>
  <c r="AW52" i="11" a="1"/>
  <c r="AW52" i="11" s="1"/>
  <c r="AL52" i="11" a="1"/>
  <c r="AL52" i="11" s="1"/>
  <c r="AR52" i="11" a="1"/>
  <c r="AR52" i="11" s="1"/>
  <c r="I39" i="10"/>
  <c r="I84" i="16"/>
  <c r="I127" i="10"/>
  <c r="I210" i="10" s="1"/>
  <c r="I15" i="10"/>
  <c r="I18" i="10" s="1"/>
  <c r="I23" i="10" s="1"/>
  <c r="J74" i="11"/>
  <c r="I228" i="10"/>
  <c r="I230" i="10" s="1"/>
  <c r="I222" i="10"/>
  <c r="J44" i="11"/>
  <c r="J49" i="10"/>
  <c r="I85" i="16" l="1"/>
  <c r="I41" i="10"/>
  <c r="I81" i="16"/>
  <c r="I79" i="16"/>
  <c r="I224" i="10"/>
  <c r="I234" i="10"/>
  <c r="I233" i="10"/>
  <c r="J137" i="4"/>
  <c r="E86" i="11"/>
  <c r="E50" i="11" s="1"/>
  <c r="E57" i="11" s="1"/>
  <c r="E77" i="11" s="1"/>
  <c r="E72" i="11" l="1"/>
  <c r="E75" i="11" s="1"/>
  <c r="J140" i="4"/>
  <c r="J23" i="4" s="1"/>
  <c r="J107" i="11" s="1"/>
  <c r="J54" i="11" s="1"/>
  <c r="AK137" i="4" a="1"/>
  <c r="AK137" i="4" s="1"/>
  <c r="AU137" i="4"/>
  <c r="E110" i="11"/>
  <c r="E112" i="11" l="1"/>
  <c r="J52" i="1"/>
  <c r="J53" i="1" s="1"/>
  <c r="J178" i="5" s="1"/>
  <c r="J180" i="5" s="1"/>
  <c r="E37" i="1"/>
  <c r="E57" i="1"/>
  <c r="E50" i="1"/>
  <c r="F50" i="1"/>
  <c r="F57" i="1"/>
  <c r="P64" i="1"/>
  <c r="P63" i="1"/>
  <c r="F37" i="1"/>
  <c r="H50" i="1"/>
  <c r="H57" i="1"/>
  <c r="H37" i="1"/>
  <c r="I57" i="1"/>
  <c r="I50" i="1"/>
  <c r="I37" i="1"/>
  <c r="J37" i="1"/>
  <c r="J50" i="1"/>
  <c r="L50" i="1"/>
  <c r="L37" i="1"/>
  <c r="M37" i="1"/>
  <c r="M50" i="1"/>
  <c r="O37" i="1"/>
  <c r="O50" i="1"/>
  <c r="G37" i="1"/>
  <c r="G50" i="1"/>
  <c r="G57" i="1"/>
  <c r="K50" i="1"/>
  <c r="K37" i="1"/>
  <c r="N37" i="1"/>
  <c r="N50" i="1"/>
  <c r="P37" i="1"/>
  <c r="P50" i="1"/>
  <c r="J182" i="5" l="1"/>
  <c r="J184" i="5" s="1"/>
  <c r="J182" i="10" s="1"/>
  <c r="J183" i="10" s="1"/>
  <c r="J109" i="11"/>
  <c r="J55" i="1"/>
  <c r="J56" i="1" s="1"/>
  <c r="J66" i="16" s="1"/>
  <c r="J29" i="5"/>
  <c r="J30" i="5" s="1"/>
  <c r="J110" i="11" l="1"/>
  <c r="J56" i="11"/>
  <c r="J57" i="11" s="1"/>
  <c r="J72" i="11" s="1"/>
  <c r="J75" i="11" s="1"/>
  <c r="J15" i="11"/>
  <c r="J27" i="11" s="1"/>
  <c r="J30" i="16"/>
  <c r="J57" i="1"/>
  <c r="J202" i="10"/>
  <c r="J204" i="10" s="1"/>
  <c r="AU75" i="11" l="1"/>
  <c r="AK75" i="11" a="1"/>
  <c r="AK75" i="11" s="1"/>
  <c r="J71" i="16"/>
  <c r="J77" i="11"/>
  <c r="J73" i="11"/>
  <c r="J42" i="11"/>
  <c r="J50" i="10" s="1"/>
  <c r="J112" i="11"/>
  <c r="K201" i="10"/>
  <c r="AK204" i="10" a="1"/>
  <c r="AK204" i="10" s="1"/>
  <c r="AU204" i="10"/>
  <c r="J206" i="10"/>
  <c r="J208" i="10" s="1"/>
  <c r="J38" i="10"/>
  <c r="AU38" i="10" s="1"/>
  <c r="AU39" i="10" s="1"/>
  <c r="J211" i="10"/>
  <c r="AK38" i="10" a="1"/>
  <c r="AK38" i="10" s="1"/>
  <c r="AK39" i="10" s="1"/>
  <c r="J45" i="11" l="1"/>
  <c r="AK206" i="10"/>
  <c r="AK208" i="10" s="1"/>
  <c r="J39" i="10"/>
  <c r="AU206" i="10"/>
  <c r="AU208" i="10" s="1"/>
  <c r="J84" i="16"/>
  <c r="AK84" i="16" a="1"/>
  <c r="AK84" i="16" s="1"/>
  <c r="AK42" i="16" s="1"/>
  <c r="AU45" i="11"/>
  <c r="AK45" i="11" a="1"/>
  <c r="AK45" i="11" s="1"/>
  <c r="AU84" i="16" l="1"/>
  <c r="AU42" i="16" s="1"/>
  <c r="J85" i="16"/>
  <c r="J53" i="10"/>
  <c r="AK51" i="10" a="1"/>
  <c r="AK51" i="10" s="1"/>
  <c r="AU51" i="10"/>
  <c r="AK85" i="16" a="1"/>
  <c r="AK85" i="16" s="1"/>
  <c r="J127" i="10"/>
  <c r="J210" i="10" s="1"/>
  <c r="K44" i="11"/>
  <c r="J228" i="10"/>
  <c r="J230" i="10" s="1"/>
  <c r="J15" i="10"/>
  <c r="AU15" i="10" s="1"/>
  <c r="J222" i="10"/>
  <c r="K49" i="10"/>
  <c r="K74" i="11"/>
  <c r="AU85" i="16" l="1"/>
  <c r="AU222" i="10"/>
  <c r="AU228" i="10"/>
  <c r="AU230" i="10" s="1"/>
  <c r="AU127" i="10"/>
  <c r="AU210" i="10" s="1"/>
  <c r="AK228" i="10"/>
  <c r="AK230" i="10" s="1"/>
  <c r="AK222" i="10"/>
  <c r="AK127" i="10"/>
  <c r="AK210" i="10" s="1"/>
  <c r="J18" i="10"/>
  <c r="J23" i="10" s="1"/>
  <c r="AU18" i="10"/>
  <c r="AU23" i="10" s="1"/>
  <c r="AU41" i="10" s="1"/>
  <c r="AK15" i="10" a="1"/>
  <c r="AK15" i="10" s="1"/>
  <c r="AK18" i="10" s="1"/>
  <c r="AK23" i="10" s="1"/>
  <c r="AK41" i="10" s="1"/>
  <c r="K137" i="4"/>
  <c r="K140" i="4" s="1"/>
  <c r="K23" i="4" s="1"/>
  <c r="J224" i="10"/>
  <c r="J233" i="10"/>
  <c r="J234" i="10"/>
  <c r="AK224" i="10" l="1"/>
  <c r="AK234" i="10"/>
  <c r="AK233" i="10"/>
  <c r="AU233" i="10"/>
  <c r="AU224" i="10"/>
  <c r="AU234" i="10"/>
  <c r="J41" i="10"/>
  <c r="J81" i="16"/>
  <c r="J79" i="16"/>
  <c r="K107" i="11"/>
  <c r="K54" i="11" s="1"/>
  <c r="K52" i="1"/>
  <c r="K53" i="1" s="1"/>
  <c r="K178" i="5" s="1"/>
  <c r="K180" i="5" s="1"/>
  <c r="AU79" i="16" l="1"/>
  <c r="AK79" i="16" a="1"/>
  <c r="AK79" i="16" s="1"/>
  <c r="AU81" i="16"/>
  <c r="AK81" i="16" a="1"/>
  <c r="AK81" i="16" s="1"/>
  <c r="K29" i="5"/>
  <c r="K30" i="5" s="1"/>
  <c r="K55" i="1"/>
  <c r="K56" i="1" s="1"/>
  <c r="K66" i="16" s="1"/>
  <c r="K182" i="5"/>
  <c r="K184" i="5" s="1"/>
  <c r="K182" i="10" s="1"/>
  <c r="K183" i="10" s="1"/>
  <c r="K109" i="11"/>
  <c r="AU21" i="16" l="1"/>
  <c r="K110" i="11"/>
  <c r="K56" i="11"/>
  <c r="K57" i="11" s="1"/>
  <c r="K72" i="11" s="1"/>
  <c r="K75" i="11" s="1"/>
  <c r="AU20" i="16"/>
  <c r="AU37" i="16" s="1"/>
  <c r="AK21" i="16"/>
  <c r="AK20" i="16"/>
  <c r="AK37" i="16" s="1"/>
  <c r="AK43" i="16"/>
  <c r="AK38" i="16" s="1"/>
  <c r="AK41" i="16"/>
  <c r="AU43" i="16"/>
  <c r="AU38" i="16" s="1"/>
  <c r="AU41" i="16"/>
  <c r="K30" i="16"/>
  <c r="K202" i="10"/>
  <c r="K204" i="10" s="1"/>
  <c r="K15" i="11"/>
  <c r="K27" i="11" s="1"/>
  <c r="K57" i="1"/>
  <c r="K71" i="16" l="1"/>
  <c r="K77" i="11"/>
  <c r="K73" i="11"/>
  <c r="K42" i="11"/>
  <c r="K211" i="10"/>
  <c r="K206" i="10"/>
  <c r="K208" i="10" s="1"/>
  <c r="L201" i="10"/>
  <c r="K38" i="10"/>
  <c r="K112" i="11"/>
  <c r="K39" i="10" l="1"/>
  <c r="K84" i="16"/>
  <c r="K50" i="10"/>
  <c r="K45" i="11"/>
  <c r="K85" i="16" l="1"/>
  <c r="K53" i="10"/>
  <c r="L49" i="10" l="1"/>
  <c r="K222" i="10"/>
  <c r="L44" i="11"/>
  <c r="K127" i="10"/>
  <c r="K210" i="10" s="1"/>
  <c r="K228" i="10"/>
  <c r="K230" i="10" s="1"/>
  <c r="K15" i="10"/>
  <c r="K18" i="10" s="1"/>
  <c r="K23" i="10" s="1"/>
  <c r="L74" i="11"/>
  <c r="K41" i="10" l="1"/>
  <c r="K81" i="16"/>
  <c r="K79" i="16"/>
  <c r="K224" i="10"/>
  <c r="K233" i="10"/>
  <c r="K234" i="10"/>
  <c r="L137" i="4"/>
  <c r="L140" i="4" s="1"/>
  <c r="L23" i="4" s="1"/>
  <c r="L107" i="11" l="1"/>
  <c r="L54" i="11" s="1"/>
  <c r="L52" i="1"/>
  <c r="L53" i="1" s="1"/>
  <c r="L178" i="5" s="1"/>
  <c r="L180" i="5" s="1"/>
  <c r="L29" i="5" l="1"/>
  <c r="L30" i="5" s="1"/>
  <c r="L55" i="1"/>
  <c r="L56" i="1" s="1"/>
  <c r="L66" i="16" s="1"/>
  <c r="L109" i="11"/>
  <c r="L56" i="11" s="1"/>
  <c r="L57" i="11" s="1"/>
  <c r="L182" i="5"/>
  <c r="L184" i="5" s="1"/>
  <c r="L182" i="10" s="1"/>
  <c r="L183" i="10" s="1"/>
  <c r="L110" i="11" l="1"/>
  <c r="L72" i="11"/>
  <c r="L75" i="11" s="1"/>
  <c r="L30" i="16"/>
  <c r="L202" i="10"/>
  <c r="L204" i="10" s="1"/>
  <c r="L15" i="11"/>
  <c r="L27" i="11" s="1"/>
  <c r="L57" i="1"/>
  <c r="L73" i="11" l="1"/>
  <c r="L77" i="11"/>
  <c r="L112" i="11"/>
  <c r="L71" i="16"/>
  <c r="L211" i="10"/>
  <c r="L206" i="10"/>
  <c r="L208" i="10" s="1"/>
  <c r="L38" i="10"/>
  <c r="M201" i="10"/>
  <c r="L42" i="11"/>
  <c r="L39" i="10" l="1"/>
  <c r="L84" i="16"/>
  <c r="L50" i="10"/>
  <c r="L45" i="11"/>
  <c r="L85" i="16" l="1"/>
  <c r="L53" i="10"/>
  <c r="L127" i="10" l="1"/>
  <c r="L210" i="10" s="1"/>
  <c r="L222" i="10"/>
  <c r="M44" i="11"/>
  <c r="M49" i="10"/>
  <c r="L15" i="10"/>
  <c r="L18" i="10" s="1"/>
  <c r="L23" i="10" s="1"/>
  <c r="M74" i="11"/>
  <c r="L228" i="10"/>
  <c r="L230" i="10" s="1"/>
  <c r="L41" i="10" l="1"/>
  <c r="L81" i="16"/>
  <c r="L79" i="16"/>
  <c r="L233" i="10"/>
  <c r="L234" i="10"/>
  <c r="L224" i="10"/>
  <c r="M137" i="4"/>
  <c r="M140" i="4" l="1"/>
  <c r="M23" i="4" s="1"/>
  <c r="AL137" i="4" a="1"/>
  <c r="AL137" i="4" s="1"/>
  <c r="M52" i="1"/>
  <c r="M53" i="1" s="1"/>
  <c r="M178" i="5" s="1"/>
  <c r="M180" i="5" s="1"/>
  <c r="M107" i="11" l="1"/>
  <c r="M54" i="11" s="1"/>
  <c r="M29" i="5"/>
  <c r="M30" i="5" s="1"/>
  <c r="M182" i="5"/>
  <c r="M184" i="5" s="1"/>
  <c r="M182" i="10" s="1"/>
  <c r="M183" i="10" s="1"/>
  <c r="M109" i="11"/>
  <c r="M56" i="11" s="1"/>
  <c r="M57" i="11" s="1"/>
  <c r="M55" i="1"/>
  <c r="M56" i="1" s="1"/>
  <c r="M66" i="16" s="1"/>
  <c r="M110" i="11"/>
  <c r="M72" i="11" l="1"/>
  <c r="M75" i="11" s="1"/>
  <c r="AL75" i="11" s="1" a="1"/>
  <c r="AL75" i="11" s="1"/>
  <c r="M30" i="16"/>
  <c r="M202" i="10"/>
  <c r="M204" i="10" s="1"/>
  <c r="AL204" i="10" s="1" a="1"/>
  <c r="AL204" i="10" s="1"/>
  <c r="M15" i="11"/>
  <c r="M27" i="11" s="1"/>
  <c r="M57" i="1"/>
  <c r="M71" i="16" l="1"/>
  <c r="M77" i="11"/>
  <c r="M73" i="11"/>
  <c r="AL206" i="10"/>
  <c r="AL208" i="10" s="1"/>
  <c r="M211" i="10"/>
  <c r="N201" i="10"/>
  <c r="M206" i="10"/>
  <c r="M208" i="10" s="1"/>
  <c r="M38" i="10"/>
  <c r="M42" i="11"/>
  <c r="M112" i="11"/>
  <c r="M39" i="10" l="1"/>
  <c r="AL38" i="10" a="1"/>
  <c r="AL38" i="10" s="1"/>
  <c r="AL39" i="10" s="1"/>
  <c r="M84" i="16"/>
  <c r="M50" i="10"/>
  <c r="M45" i="11"/>
  <c r="AL45" i="11" s="1" a="1"/>
  <c r="AL45" i="11" s="1"/>
  <c r="AL84" i="16" l="1" a="1"/>
  <c r="AL84" i="16" s="1"/>
  <c r="AL42" i="16" s="1"/>
  <c r="M85" i="16"/>
  <c r="AL85" i="16" l="1" a="1"/>
  <c r="AL85" i="16" s="1"/>
  <c r="M53" i="10"/>
  <c r="AL51" i="10" a="1"/>
  <c r="AL51" i="10" s="1"/>
  <c r="N49" i="10"/>
  <c r="M228" i="10"/>
  <c r="M230" i="10" s="1"/>
  <c r="M222" i="10"/>
  <c r="N74" i="11"/>
  <c r="N44" i="11"/>
  <c r="M127" i="10"/>
  <c r="M210" i="10" s="1"/>
  <c r="M15" i="10"/>
  <c r="AL228" i="10" l="1"/>
  <c r="AL230" i="10" s="1"/>
  <c r="AL127" i="10"/>
  <c r="AL210" i="10" s="1"/>
  <c r="AL222" i="10"/>
  <c r="M18" i="10"/>
  <c r="M23" i="10" s="1"/>
  <c r="AL15" i="10" a="1"/>
  <c r="AL15" i="10" s="1"/>
  <c r="AL18" i="10" s="1"/>
  <c r="AL23" i="10" s="1"/>
  <c r="AL41" i="10" s="1"/>
  <c r="M233" i="10"/>
  <c r="M234" i="10"/>
  <c r="M224" i="10"/>
  <c r="N137" i="4"/>
  <c r="N140" i="4" s="1"/>
  <c r="N23" i="4" s="1"/>
  <c r="AL234" i="10" l="1"/>
  <c r="AL224" i="10"/>
  <c r="AL233" i="10"/>
  <c r="M41" i="10"/>
  <c r="M81" i="16"/>
  <c r="M79" i="16"/>
  <c r="N107" i="11"/>
  <c r="N54" i="11" s="1"/>
  <c r="N52" i="1"/>
  <c r="N53" i="1" s="1"/>
  <c r="N178" i="5" s="1"/>
  <c r="N180" i="5" s="1"/>
  <c r="AL79" i="16" l="1" a="1"/>
  <c r="AL79" i="16" s="1"/>
  <c r="AL41" i="16" s="1"/>
  <c r="AL81" i="16" a="1"/>
  <c r="AL81" i="16" s="1"/>
  <c r="N29" i="5"/>
  <c r="N30" i="5" s="1"/>
  <c r="N182" i="5"/>
  <c r="N184" i="5" s="1"/>
  <c r="N182" i="10" s="1"/>
  <c r="N183" i="10" s="1"/>
  <c r="N109" i="11"/>
  <c r="N55" i="1"/>
  <c r="N56" i="1" s="1"/>
  <c r="N66" i="16" s="1"/>
  <c r="AL43" i="16" l="1"/>
  <c r="AL38" i="16" s="1"/>
  <c r="AL20" i="16"/>
  <c r="AL37" i="16" s="1"/>
  <c r="AL21" i="16"/>
  <c r="N110" i="11"/>
  <c r="N56" i="11"/>
  <c r="N57" i="11" s="1"/>
  <c r="N72" i="11" s="1"/>
  <c r="N75" i="11" s="1"/>
  <c r="N30" i="16"/>
  <c r="N15" i="11"/>
  <c r="N27" i="11" s="1"/>
  <c r="N202" i="10"/>
  <c r="N57" i="1"/>
  <c r="N71" i="16" l="1"/>
  <c r="N77" i="11"/>
  <c r="N73" i="11"/>
  <c r="N204" i="10"/>
  <c r="N42" i="11"/>
  <c r="N112" i="11"/>
  <c r="N50" i="10" l="1"/>
  <c r="N45" i="11"/>
  <c r="N38" i="10"/>
  <c r="N206" i="10"/>
  <c r="N208" i="10" s="1"/>
  <c r="O201" i="10"/>
  <c r="N211" i="10"/>
  <c r="N39" i="10" l="1"/>
  <c r="N84" i="16"/>
  <c r="N53" i="10"/>
  <c r="N85" i="16" l="1"/>
  <c r="O49" i="10"/>
  <c r="O44" i="11"/>
  <c r="N127" i="10"/>
  <c r="N210" i="10" s="1"/>
  <c r="N228" i="10"/>
  <c r="N230" i="10" s="1"/>
  <c r="N222" i="10"/>
  <c r="N15" i="10"/>
  <c r="N18" i="10" s="1"/>
  <c r="N23" i="10" s="1"/>
  <c r="O74" i="11"/>
  <c r="N41" i="10" l="1"/>
  <c r="N81" i="16"/>
  <c r="N79" i="16"/>
  <c r="N224" i="10"/>
  <c r="N234" i="10"/>
  <c r="N233" i="10"/>
  <c r="O137" i="4"/>
  <c r="O140" i="4" s="1"/>
  <c r="O23" i="4" s="1"/>
  <c r="O107" i="11" l="1"/>
  <c r="O54" i="11" s="1"/>
  <c r="O52" i="1"/>
  <c r="O53" i="1" s="1"/>
  <c r="O178" i="5" s="1"/>
  <c r="O180" i="5" s="1"/>
  <c r="O29" i="5" l="1"/>
  <c r="O30" i="5" s="1"/>
  <c r="O55" i="1"/>
  <c r="O56" i="1" s="1"/>
  <c r="O66" i="16" s="1"/>
  <c r="O182" i="5"/>
  <c r="O184" i="5" s="1"/>
  <c r="O182" i="10" s="1"/>
  <c r="O183" i="10" s="1"/>
  <c r="O109" i="11"/>
  <c r="O110" i="11" l="1"/>
  <c r="O56" i="11"/>
  <c r="O57" i="11" s="1"/>
  <c r="O72" i="11" s="1"/>
  <c r="O75" i="11" s="1"/>
  <c r="O30" i="16"/>
  <c r="O15" i="11"/>
  <c r="O27" i="11" s="1"/>
  <c r="O202" i="10"/>
  <c r="O204" i="10" s="1"/>
  <c r="O57" i="1"/>
  <c r="O73" i="11" l="1"/>
  <c r="O77" i="11"/>
  <c r="O112" i="11"/>
  <c r="O71" i="16"/>
  <c r="O211" i="10"/>
  <c r="P201" i="10"/>
  <c r="O206" i="10"/>
  <c r="O208" i="10" s="1"/>
  <c r="O38" i="10"/>
  <c r="O42" i="11"/>
  <c r="O39" i="10" l="1"/>
  <c r="O84" i="16"/>
  <c r="O50" i="10"/>
  <c r="O45" i="11"/>
  <c r="O85" i="16" l="1"/>
  <c r="O228" i="10" l="1"/>
  <c r="O230" i="10" s="1"/>
  <c r="O222" i="10"/>
  <c r="O15" i="10"/>
  <c r="O18" i="10" s="1"/>
  <c r="O23" i="10" s="1"/>
  <c r="P74" i="11"/>
  <c r="O127" i="10"/>
  <c r="O210" i="10" s="1"/>
  <c r="P49" i="10"/>
  <c r="P44" i="11"/>
  <c r="O53" i="10"/>
  <c r="O41" i="10" l="1"/>
  <c r="O79" i="16"/>
  <c r="O81" i="16"/>
  <c r="P137" i="4"/>
  <c r="O224" i="10"/>
  <c r="O234" i="10"/>
  <c r="O233" i="10"/>
  <c r="P140" i="4" l="1"/>
  <c r="P23" i="4" s="1"/>
  <c r="P107" i="11" s="1"/>
  <c r="P54" i="11" s="1"/>
  <c r="AM137" i="4" a="1"/>
  <c r="AM137" i="4" s="1"/>
  <c r="P52" i="1" l="1"/>
  <c r="P53" i="1" s="1"/>
  <c r="P178" i="5" s="1"/>
  <c r="P180" i="5" s="1"/>
  <c r="P29" i="5" s="1"/>
  <c r="P30" i="5" s="1"/>
  <c r="P182" i="5" l="1"/>
  <c r="P184" i="5" s="1"/>
  <c r="P182" i="10" s="1"/>
  <c r="P183" i="10" s="1"/>
  <c r="Q183" i="10" s="1"/>
  <c r="P109" i="11"/>
  <c r="P55" i="1"/>
  <c r="P56" i="1" s="1"/>
  <c r="P66" i="16" s="1"/>
  <c r="P30" i="16" s="1"/>
  <c r="P110" i="11"/>
  <c r="P56" i="11"/>
  <c r="P57" i="11" s="1"/>
  <c r="P72" i="11" s="1"/>
  <c r="P75" i="11" s="1"/>
  <c r="AM75" i="11" s="1" a="1"/>
  <c r="AM75" i="11" s="1"/>
  <c r="P65" i="1"/>
  <c r="P57" i="1" l="1"/>
  <c r="P15" i="11"/>
  <c r="P27" i="11" s="1"/>
  <c r="P42" i="11" s="1"/>
  <c r="P202" i="10"/>
  <c r="P204" i="10" s="1"/>
  <c r="AM204" i="10" s="1" a="1"/>
  <c r="AM204" i="10" s="1"/>
  <c r="AM206" i="10" s="1"/>
  <c r="AM208" i="10" s="1"/>
  <c r="P71" i="16"/>
  <c r="P77" i="11"/>
  <c r="P73" i="11"/>
  <c r="R183" i="10"/>
  <c r="S183" i="10" s="1"/>
  <c r="P211" i="10"/>
  <c r="P112" i="11" l="1"/>
  <c r="P38" i="10"/>
  <c r="P206" i="10"/>
  <c r="P208" i="10" s="1"/>
  <c r="Q201" i="10"/>
  <c r="P39" i="10"/>
  <c r="AM38" i="10" a="1"/>
  <c r="AM38" i="10" s="1"/>
  <c r="AM39" i="10" s="1"/>
  <c r="P84" i="16"/>
  <c r="P50" i="10"/>
  <c r="P45" i="11"/>
  <c r="AM45" i="11" s="1" a="1"/>
  <c r="AM45" i="11" s="1"/>
  <c r="T183" i="10"/>
  <c r="U183" i="10" s="1"/>
  <c r="AM84" i="16" l="1" a="1"/>
  <c r="AM84" i="16" s="1"/>
  <c r="AM42" i="16" s="1"/>
  <c r="P85" i="16"/>
  <c r="V183" i="10"/>
  <c r="AM85" i="16" l="1" a="1"/>
  <c r="AM85" i="16" s="1"/>
  <c r="P53" i="10"/>
  <c r="AM51" i="10" a="1"/>
  <c r="AM51" i="10" s="1"/>
  <c r="W183" i="10"/>
  <c r="X183" i="10" s="1"/>
  <c r="P228" i="10"/>
  <c r="P230" i="10" s="1"/>
  <c r="Q74" i="11"/>
  <c r="P222" i="10"/>
  <c r="Q44" i="11"/>
  <c r="P127" i="10"/>
  <c r="P210" i="10" s="1"/>
  <c r="P15" i="10"/>
  <c r="Q49" i="10"/>
  <c r="AM228" i="10" l="1"/>
  <c r="AM230" i="10" s="1"/>
  <c r="AM127" i="10"/>
  <c r="AM210" i="10" s="1"/>
  <c r="AM222" i="10"/>
  <c r="P18" i="10"/>
  <c r="P23" i="10" s="1"/>
  <c r="AM15" i="10" a="1"/>
  <c r="AM15" i="10" s="1"/>
  <c r="AM18" i="10" s="1"/>
  <c r="AM23" i="10" s="1"/>
  <c r="AM41" i="10" s="1"/>
  <c r="P224" i="10"/>
  <c r="P234" i="10"/>
  <c r="P233" i="10"/>
  <c r="Y183" i="10"/>
  <c r="Z183" i="10" s="1"/>
  <c r="Q137" i="4"/>
  <c r="Q140" i="4" s="1"/>
  <c r="Q23" i="4" s="1"/>
  <c r="AM224" i="10" l="1"/>
  <c r="AM233" i="10"/>
  <c r="AM234" i="10"/>
  <c r="P41" i="10"/>
  <c r="P79" i="16"/>
  <c r="P81" i="16"/>
  <c r="AA183" i="10"/>
  <c r="Q107" i="11"/>
  <c r="Q54" i="11" s="1"/>
  <c r="Q52" i="1"/>
  <c r="AM79" i="16" l="1" a="1"/>
  <c r="AM79" i="16" s="1"/>
  <c r="AM43" i="16" s="1"/>
  <c r="AM38" i="16" s="1"/>
  <c r="AM81" i="16" a="1"/>
  <c r="AM81" i="16" s="1"/>
  <c r="AB183" i="10"/>
  <c r="AM20" i="16" l="1"/>
  <c r="AM37" i="16" s="1"/>
  <c r="AM21" i="16"/>
  <c r="AM41" i="16"/>
  <c r="AC183" i="10"/>
  <c r="AD183" i="10" s="1"/>
  <c r="AE183" i="10" s="1"/>
  <c r="AF183" i="10" s="1"/>
  <c r="AG183" i="10" l="1"/>
  <c r="AH183" i="10" l="1"/>
  <c r="E166" i="10"/>
  <c r="E142" i="5"/>
  <c r="E143" i="5" s="1"/>
  <c r="E44" i="8"/>
  <c r="E46" i="8" s="1"/>
  <c r="E55" i="8" s="1"/>
  <c r="E167" i="10" l="1"/>
  <c r="Q167" i="10" s="1"/>
  <c r="AC167" i="10" s="1"/>
  <c r="AE142" i="5"/>
  <c r="AE143" i="5" s="1"/>
  <c r="AF44" i="8"/>
  <c r="AF46" i="8" s="1"/>
  <c r="U142" i="5"/>
  <c r="U143" i="5" s="1"/>
  <c r="H142" i="5"/>
  <c r="H143" i="5" s="1"/>
  <c r="W142" i="5"/>
  <c r="W143" i="5" s="1"/>
  <c r="L44" i="8"/>
  <c r="L46" i="8" s="1"/>
  <c r="L55" i="8" s="1"/>
  <c r="U44" i="8"/>
  <c r="U46" i="8" s="1"/>
  <c r="AB44" i="8"/>
  <c r="AB46" i="8" s="1"/>
  <c r="AH142" i="5"/>
  <c r="AH143" i="5" s="1"/>
  <c r="L166" i="10"/>
  <c r="L167" i="10" s="1"/>
  <c r="X167" i="10" s="1"/>
  <c r="S44" i="8"/>
  <c r="S46" i="8" s="1"/>
  <c r="X142" i="5"/>
  <c r="X143" i="5" s="1"/>
  <c r="M142" i="5"/>
  <c r="M143" i="5" s="1"/>
  <c r="N44" i="8"/>
  <c r="N46" i="8" s="1"/>
  <c r="N55" i="8" s="1"/>
  <c r="R142" i="5"/>
  <c r="R143" i="5" s="1"/>
  <c r="T57" i="10"/>
  <c r="T60" i="10"/>
  <c r="U56" i="10" s="1"/>
  <c r="W44" i="8"/>
  <c r="W46" i="8" s="1"/>
  <c r="W166" i="10"/>
  <c r="T142" i="5"/>
  <c r="T143" i="5" s="1"/>
  <c r="R44" i="8"/>
  <c r="R46" i="8" s="1"/>
  <c r="J142" i="5"/>
  <c r="J143" i="5" s="1"/>
  <c r="U166" i="10"/>
  <c r="H44" i="8"/>
  <c r="H46" i="8" s="1"/>
  <c r="H55" i="8" s="1"/>
  <c r="AF142" i="5"/>
  <c r="AF143" i="5" s="1"/>
  <c r="K166" i="10"/>
  <c r="K167" i="10" s="1"/>
  <c r="W167" i="10" s="1"/>
  <c r="AE44" i="8"/>
  <c r="AE46" i="8" s="1"/>
  <c r="Y44" i="8"/>
  <c r="Y46" i="8" s="1"/>
  <c r="Q142" i="5"/>
  <c r="Q143" i="5" s="1"/>
  <c r="I142" i="5"/>
  <c r="I143" i="5" s="1"/>
  <c r="R166" i="10"/>
  <c r="N142" i="5"/>
  <c r="N143" i="5" s="1"/>
  <c r="N166" i="10"/>
  <c r="N167" i="10" s="1"/>
  <c r="Z167" i="10" s="1"/>
  <c r="F142" i="5"/>
  <c r="F143" i="5" s="1"/>
  <c r="AC142" i="5"/>
  <c r="AC143" i="5" s="1"/>
  <c r="AC44" i="8"/>
  <c r="AC46" i="8" s="1"/>
  <c r="Q44" i="8"/>
  <c r="Q46" i="8" s="1"/>
  <c r="G44" i="8"/>
  <c r="G46" i="8" s="1"/>
  <c r="G55" i="8" s="1"/>
  <c r="Z44" i="8"/>
  <c r="Z46" i="8" s="1"/>
  <c r="Y57" i="10"/>
  <c r="K142" i="5"/>
  <c r="K143" i="5" s="1"/>
  <c r="O44" i="8"/>
  <c r="O46" i="8" s="1"/>
  <c r="O55" i="8" s="1"/>
  <c r="M44" i="8"/>
  <c r="M46" i="8" s="1"/>
  <c r="M55" i="8" s="1"/>
  <c r="AF166" i="10"/>
  <c r="Y166" i="10"/>
  <c r="AD44" i="8"/>
  <c r="AD46" i="8" s="1"/>
  <c r="Y142" i="5"/>
  <c r="Y143" i="5" s="1"/>
  <c r="AB142" i="5"/>
  <c r="AB143" i="5" s="1"/>
  <c r="L142" i="5"/>
  <c r="L143" i="5"/>
  <c r="AB57" i="10"/>
  <c r="AB60" i="10" s="1"/>
  <c r="AQ60" i="10" s="1" a="1"/>
  <c r="AQ60" i="10" s="1"/>
  <c r="S166" i="10"/>
  <c r="T166" i="10"/>
  <c r="I44" i="8"/>
  <c r="I46" i="8" s="1"/>
  <c r="I55" i="8" s="1"/>
  <c r="P44" i="8"/>
  <c r="P46" i="8"/>
  <c r="P55" i="8" s="1"/>
  <c r="S142" i="5"/>
  <c r="S143" i="5" s="1"/>
  <c r="X166" i="10"/>
  <c r="T44" i="8"/>
  <c r="T46" i="8" s="1"/>
  <c r="P166" i="10"/>
  <c r="P167" i="10" s="1"/>
  <c r="AB167" i="10" s="1"/>
  <c r="AH44" i="8"/>
  <c r="AH46" i="8" s="1"/>
  <c r="Q166" i="10"/>
  <c r="Q164" i="10" s="1"/>
  <c r="Q29" i="10" s="1"/>
  <c r="V57" i="10"/>
  <c r="X44" i="8"/>
  <c r="X46" i="8"/>
  <c r="W57" i="10"/>
  <c r="W60" i="10" s="1"/>
  <c r="M166" i="10"/>
  <c r="M167" i="10" s="1"/>
  <c r="Y167" i="10" s="1"/>
  <c r="AC57" i="10"/>
  <c r="AG44" i="8"/>
  <c r="AG46" i="8" s="1"/>
  <c r="AF57" i="10"/>
  <c r="AF60" i="10" s="1"/>
  <c r="AF68" i="10" s="1"/>
  <c r="AG65" i="10" s="1"/>
  <c r="O142" i="5"/>
  <c r="O143" i="5" s="1"/>
  <c r="S57" i="10"/>
  <c r="S60" i="10" s="1"/>
  <c r="AN60" i="10" s="1" a="1"/>
  <c r="AN60" i="10" s="1"/>
  <c r="AD166" i="10"/>
  <c r="P142" i="5"/>
  <c r="P143" i="5" s="1"/>
  <c r="Q57" i="10"/>
  <c r="AD57" i="10"/>
  <c r="AE166" i="10"/>
  <c r="AD142" i="5"/>
  <c r="AD143" i="5" s="1"/>
  <c r="J44" i="8"/>
  <c r="J46" i="8" s="1"/>
  <c r="J55" i="8" s="1"/>
  <c r="AH166" i="10"/>
  <c r="AA166" i="10"/>
  <c r="Z166" i="10"/>
  <c r="S145" i="4"/>
  <c r="S77" i="5"/>
  <c r="S79" i="5" s="1"/>
  <c r="AA44" i="8"/>
  <c r="AA46" i="8" s="1"/>
  <c r="F44" i="8"/>
  <c r="F46" i="8" s="1"/>
  <c r="F55" i="8" s="1"/>
  <c r="AA142" i="5"/>
  <c r="AA143" i="5" s="1"/>
  <c r="H166" i="10"/>
  <c r="H167" i="10" s="1"/>
  <c r="T167" i="10" s="1"/>
  <c r="AG166" i="10"/>
  <c r="Z142" i="5"/>
  <c r="Z143" i="5" s="1"/>
  <c r="X57" i="10"/>
  <c r="X60" i="10" s="1"/>
  <c r="V44" i="8"/>
  <c r="V46" i="8" s="1"/>
  <c r="K44" i="8"/>
  <c r="K46" i="8" s="1"/>
  <c r="K55" i="8" s="1"/>
  <c r="F166" i="10"/>
  <c r="F167" i="10" s="1"/>
  <c r="R167" i="10" s="1"/>
  <c r="V166" i="10"/>
  <c r="AG142" i="5"/>
  <c r="AG143" i="5" s="1"/>
  <c r="AE57" i="10"/>
  <c r="AE60" i="10" s="1"/>
  <c r="AC166" i="10"/>
  <c r="V142" i="5"/>
  <c r="V143" i="5" s="1"/>
  <c r="G142" i="5"/>
  <c r="G143" i="5" s="1"/>
  <c r="T145" i="4"/>
  <c r="T77" i="5" s="1"/>
  <c r="T79" i="5" s="1"/>
  <c r="AA57" i="10"/>
  <c r="R57" i="10"/>
  <c r="R60" i="10" s="1"/>
  <c r="AB145" i="4"/>
  <c r="AB146" i="4" s="1"/>
  <c r="AB163" i="10" s="1"/>
  <c r="U57" i="10"/>
  <c r="U145" i="4"/>
  <c r="U77" i="5" s="1"/>
  <c r="U79" i="5" s="1"/>
  <c r="U81" i="5" s="1"/>
  <c r="U56" i="16" s="1"/>
  <c r="Z57" i="10"/>
  <c r="Z60" i="10" s="1"/>
  <c r="AB166" i="10"/>
  <c r="AC145" i="4"/>
  <c r="AC146" i="4" s="1"/>
  <c r="AC163" i="10" s="1"/>
  <c r="W145" i="4"/>
  <c r="W146" i="4" s="1"/>
  <c r="W163" i="10" s="1"/>
  <c r="R145" i="4"/>
  <c r="I166" i="10"/>
  <c r="I167" i="10" s="1"/>
  <c r="U167" i="10" s="1"/>
  <c r="AG167" i="10" s="1"/>
  <c r="AG57" i="10"/>
  <c r="AG60" i="10" s="1"/>
  <c r="AG68" i="10" s="1"/>
  <c r="AH65" i="10" s="1"/>
  <c r="AH145" i="4"/>
  <c r="AH146" i="4" s="1"/>
  <c r="AH163" i="10" s="1"/>
  <c r="AG145" i="4"/>
  <c r="V145" i="4"/>
  <c r="V77" i="5" s="1"/>
  <c r="V79" i="5" s="1"/>
  <c r="Y145" i="4"/>
  <c r="AF145" i="4"/>
  <c r="AD145" i="4"/>
  <c r="AD77" i="5"/>
  <c r="AD79" i="5" s="1"/>
  <c r="AD81" i="5" s="1"/>
  <c r="AD56" i="16" s="1"/>
  <c r="Q145" i="4"/>
  <c r="AE145" i="4"/>
  <c r="AA145" i="4"/>
  <c r="AA77" i="5" s="1"/>
  <c r="AA79" i="5" s="1"/>
  <c r="O166" i="10"/>
  <c r="O167" i="10"/>
  <c r="AA167" i="10" s="1"/>
  <c r="AA164" i="10" s="1"/>
  <c r="AH57" i="10"/>
  <c r="AH60" i="10" s="1"/>
  <c r="G166" i="10"/>
  <c r="G167" i="10" s="1"/>
  <c r="S167" i="10" s="1"/>
  <c r="X145" i="4"/>
  <c r="X146" i="4" s="1"/>
  <c r="X163" i="10" s="1"/>
  <c r="X77" i="5"/>
  <c r="X79" i="5" s="1"/>
  <c r="X17" i="5" s="1"/>
  <c r="Z145" i="4"/>
  <c r="Z77" i="5" s="1"/>
  <c r="Z79" i="5" s="1"/>
  <c r="J166" i="10"/>
  <c r="J167" i="10" s="1"/>
  <c r="V167" i="10" s="1"/>
  <c r="Y164" i="10" l="1"/>
  <c r="AP164" i="10" s="1" a="1"/>
  <c r="AP164" i="10" s="1"/>
  <c r="AC164" i="10"/>
  <c r="W147" i="4"/>
  <c r="AG164" i="10"/>
  <c r="W77" i="5"/>
  <c r="W79" i="5" s="1"/>
  <c r="Q77" i="5"/>
  <c r="AL145" i="4" a="1"/>
  <c r="AL145" i="4" s="1"/>
  <c r="AM145" i="4" a="1"/>
  <c r="AM145" i="4" s="1"/>
  <c r="AN145" i="4" a="1"/>
  <c r="AN145" i="4" s="1"/>
  <c r="AO145" i="4" a="1"/>
  <c r="AO145" i="4" s="1"/>
  <c r="AP145" i="4" a="1"/>
  <c r="AP145" i="4" s="1"/>
  <c r="AQ145" i="4" a="1"/>
  <c r="AQ145" i="4" s="1"/>
  <c r="AW145" i="4" a="1"/>
  <c r="AW145" i="4" s="1"/>
  <c r="AJ145" i="4" a="1"/>
  <c r="AJ145" i="4" s="1"/>
  <c r="AV145" i="4" a="1"/>
  <c r="AV145" i="4" s="1"/>
  <c r="AR145" i="4" a="1"/>
  <c r="AR145" i="4" s="1"/>
  <c r="AS145" i="4" a="1"/>
  <c r="AS145" i="4" s="1"/>
  <c r="AK145" i="4" a="1"/>
  <c r="AK145" i="4" s="1"/>
  <c r="AU145" i="4" a="1"/>
  <c r="AU145" i="4" s="1"/>
  <c r="AH77" i="5"/>
  <c r="AH79" i="5" s="1"/>
  <c r="AB77" i="5"/>
  <c r="AB79" i="5" s="1"/>
  <c r="W164" i="10"/>
  <c r="AG56" i="10"/>
  <c r="X56" i="10"/>
  <c r="W68" i="10"/>
  <c r="X65" i="10" s="1"/>
  <c r="AH56" i="10"/>
  <c r="AM166" i="10" a="1"/>
  <c r="AM166" i="10" s="1"/>
  <c r="AK166" i="10" a="1"/>
  <c r="AK166" i="10" s="1"/>
  <c r="AL57" i="10" a="1"/>
  <c r="AL57" i="10" s="1"/>
  <c r="AL62" i="10" s="1"/>
  <c r="AL216" i="10" s="1"/>
  <c r="AM57" i="10" a="1"/>
  <c r="AM57" i="10" s="1"/>
  <c r="AM62" i="10" s="1"/>
  <c r="AM216" i="10" s="1"/>
  <c r="AN57" i="10" a="1"/>
  <c r="AN57" i="10" s="1"/>
  <c r="AN62" i="10" s="1"/>
  <c r="AN216" i="10" s="1"/>
  <c r="AO57" i="10" a="1"/>
  <c r="AO57" i="10" s="1"/>
  <c r="AP57" i="10" a="1"/>
  <c r="AP57" i="10" s="1"/>
  <c r="AQ57" i="10" a="1"/>
  <c r="AQ57" i="10" s="1"/>
  <c r="AQ62" i="10" s="1"/>
  <c r="AQ216" i="10" s="1"/>
  <c r="AJ57" i="10" a="1"/>
  <c r="AJ57" i="10" s="1"/>
  <c r="AJ62" i="10" s="1"/>
  <c r="AJ216" i="10" s="1"/>
  <c r="AV57" i="10" a="1"/>
  <c r="AV57" i="10" s="1"/>
  <c r="AR57" i="10" a="1"/>
  <c r="AR57" i="10" s="1"/>
  <c r="AK57" i="10" a="1"/>
  <c r="AK57" i="10" s="1"/>
  <c r="AK62" i="10" s="1"/>
  <c r="AK216" i="10" s="1"/>
  <c r="AU57" i="10" a="1"/>
  <c r="AU57" i="10" s="1"/>
  <c r="AU62" i="10" s="1"/>
  <c r="AU216" i="10" s="1"/>
  <c r="AS57" i="10" a="1"/>
  <c r="AS57" i="10" s="1"/>
  <c r="AW57" i="10" a="1"/>
  <c r="AW57" i="10" s="1"/>
  <c r="AW166" i="10" a="1"/>
  <c r="AW166" i="10" s="1"/>
  <c r="AP166" i="10" a="1"/>
  <c r="AP166" i="10" s="1"/>
  <c r="AV166" i="10" a="1"/>
  <c r="AV166" i="10" s="1"/>
  <c r="AS166" i="10" a="1"/>
  <c r="AS166" i="10" s="1"/>
  <c r="AR166" i="10" a="1"/>
  <c r="AR166" i="10" s="1"/>
  <c r="AN166" i="10" a="1"/>
  <c r="AN166" i="10" s="1"/>
  <c r="AH68" i="10"/>
  <c r="AR60" i="10" a="1"/>
  <c r="AR60" i="10" s="1"/>
  <c r="AS60" i="10" a="1"/>
  <c r="AS60" i="10" s="1"/>
  <c r="AW60" i="10"/>
  <c r="AJ166" i="10" a="1"/>
  <c r="AJ166" i="10" s="1"/>
  <c r="AU166" i="10" a="1"/>
  <c r="AU166" i="10" s="1"/>
  <c r="AQ166" i="10" a="1"/>
  <c r="AQ166" i="10" s="1"/>
  <c r="AL166" i="10" a="1"/>
  <c r="AL166" i="10" s="1"/>
  <c r="AO166" i="10" a="1"/>
  <c r="AO166" i="10" s="1"/>
  <c r="T17" i="5"/>
  <c r="T66" i="10"/>
  <c r="T81" i="5"/>
  <c r="T56" i="16" s="1"/>
  <c r="AD93" i="5"/>
  <c r="AD23" i="1" s="1"/>
  <c r="AD32" i="1" s="1"/>
  <c r="AD94" i="5"/>
  <c r="AD24" i="1" s="1"/>
  <c r="AD33" i="1" s="1"/>
  <c r="AD96" i="5"/>
  <c r="AD26" i="1" s="1"/>
  <c r="AD35" i="1" s="1"/>
  <c r="AD92" i="5"/>
  <c r="AD22" i="1" s="1"/>
  <c r="AD31" i="1" s="1"/>
  <c r="AD95" i="5"/>
  <c r="AD25" i="1" s="1"/>
  <c r="AD34" i="1" s="1"/>
  <c r="AD91" i="5"/>
  <c r="AA29" i="10"/>
  <c r="AB161" i="10"/>
  <c r="AA60" i="10"/>
  <c r="R146" i="4"/>
  <c r="R163" i="10" s="1"/>
  <c r="R77" i="5"/>
  <c r="R79" i="5" s="1"/>
  <c r="AF146" i="4"/>
  <c r="AF163" i="10" s="1"/>
  <c r="AF77" i="5"/>
  <c r="AF79" i="5" s="1"/>
  <c r="U95" i="5"/>
  <c r="U25" i="1" s="1"/>
  <c r="U34" i="1" s="1"/>
  <c r="U92" i="5"/>
  <c r="U22" i="1" s="1"/>
  <c r="U31" i="1" s="1"/>
  <c r="U93" i="5"/>
  <c r="U23" i="1" s="1"/>
  <c r="U32" i="1" s="1"/>
  <c r="U96" i="5"/>
  <c r="U26" i="1" s="1"/>
  <c r="U35" i="1" s="1"/>
  <c r="U94" i="5"/>
  <c r="U24" i="1" s="1"/>
  <c r="U33" i="1" s="1"/>
  <c r="U91" i="5"/>
  <c r="P56" i="8"/>
  <c r="P63" i="8" s="1"/>
  <c r="AM63" i="8" s="1" a="1"/>
  <c r="AM63" i="8" s="1"/>
  <c r="V66" i="10"/>
  <c r="V17" i="5"/>
  <c r="V81" i="5"/>
  <c r="V56" i="16" s="1"/>
  <c r="Z17" i="5"/>
  <c r="Z66" i="10"/>
  <c r="Z81" i="5"/>
  <c r="Z56" i="16" s="1"/>
  <c r="X18" i="5"/>
  <c r="X87" i="11" s="1"/>
  <c r="X66" i="10"/>
  <c r="X81" i="5"/>
  <c r="X56" i="16" s="1"/>
  <c r="AE146" i="4"/>
  <c r="AE163" i="10" s="1"/>
  <c r="AE77" i="5"/>
  <c r="AE79" i="5" s="1"/>
  <c r="Y146" i="4"/>
  <c r="Y163" i="10" s="1"/>
  <c r="Y77" i="5"/>
  <c r="Y79" i="5" s="1"/>
  <c r="W17" i="5"/>
  <c r="W66" i="10"/>
  <c r="W81" i="5"/>
  <c r="W56" i="16" s="1"/>
  <c r="U66" i="10"/>
  <c r="U17" i="5"/>
  <c r="AD161" i="10"/>
  <c r="AC29" i="10"/>
  <c r="AA17" i="5"/>
  <c r="AA66" i="10"/>
  <c r="AA81" i="5"/>
  <c r="AA56" i="16" s="1"/>
  <c r="U164" i="10"/>
  <c r="AE167" i="10"/>
  <c r="AE164" i="10" s="1"/>
  <c r="S164" i="10"/>
  <c r="AN164" i="10" s="1" a="1"/>
  <c r="AN164" i="10" s="1"/>
  <c r="AD17" i="5"/>
  <c r="AD66" i="10"/>
  <c r="AG146" i="4"/>
  <c r="AG163" i="10" s="1"/>
  <c r="AG77" i="5"/>
  <c r="AG79" i="5" s="1"/>
  <c r="AH161" i="10"/>
  <c r="AG29" i="10"/>
  <c r="V164" i="10"/>
  <c r="AH167" i="10"/>
  <c r="AH164" i="10" s="1"/>
  <c r="AH17" i="5"/>
  <c r="AH81" i="5"/>
  <c r="AH56" i="16" s="1"/>
  <c r="AH66" i="10"/>
  <c r="U60" i="10"/>
  <c r="R68" i="10"/>
  <c r="S65" i="10" s="1"/>
  <c r="S56" i="10"/>
  <c r="AB66" i="10"/>
  <c r="AB17" i="5"/>
  <c r="AA56" i="10"/>
  <c r="Z68" i="10"/>
  <c r="AA65" i="10" s="1"/>
  <c r="AB81" i="5"/>
  <c r="AB56" i="16" s="1"/>
  <c r="S66" i="10"/>
  <c r="S17" i="5"/>
  <c r="S81" i="5"/>
  <c r="S56" i="16" s="1"/>
  <c r="R164" i="10"/>
  <c r="AD167" i="10"/>
  <c r="AD164" i="10" s="1"/>
  <c r="AH147" i="4"/>
  <c r="AD146" i="4"/>
  <c r="AD163" i="10" s="1"/>
  <c r="AG73" i="10"/>
  <c r="AC77" i="5"/>
  <c r="AC79" i="5" s="1"/>
  <c r="U146" i="4"/>
  <c r="U163" i="10" s="1"/>
  <c r="AB147" i="4"/>
  <c r="T146" i="4"/>
  <c r="T163" i="10" s="1"/>
  <c r="AF56" i="10"/>
  <c r="AE68" i="10"/>
  <c r="AF65" i="10" s="1"/>
  <c r="T164" i="10"/>
  <c r="AF167" i="10"/>
  <c r="AF164" i="10" s="1"/>
  <c r="AG25" i="11" s="1"/>
  <c r="AG85" i="11" s="1"/>
  <c r="S68" i="10"/>
  <c r="T56" i="10"/>
  <c r="V146" i="4"/>
  <c r="V163" i="10" s="1"/>
  <c r="V147" i="4"/>
  <c r="AC147" i="4"/>
  <c r="AB164" i="10"/>
  <c r="R161" i="10"/>
  <c r="Q25" i="11"/>
  <c r="Z147" i="4"/>
  <c r="Z146" i="4"/>
  <c r="Z163" i="10" s="1"/>
  <c r="Q146" i="4"/>
  <c r="Q147" i="4"/>
  <c r="X147" i="4"/>
  <c r="AC60" i="10"/>
  <c r="Y29" i="10"/>
  <c r="AP29" i="10" s="1" a="1"/>
  <c r="AP29" i="10" s="1"/>
  <c r="Z161" i="10"/>
  <c r="AA146" i="4"/>
  <c r="AA163" i="10" s="1"/>
  <c r="AD60" i="10"/>
  <c r="S146" i="4"/>
  <c r="S163" i="10" s="1"/>
  <c r="Q60" i="10"/>
  <c r="V60" i="10"/>
  <c r="AO60" i="10" s="1" a="1"/>
  <c r="AO60" i="10" s="1"/>
  <c r="AC56" i="10"/>
  <c r="AB68" i="10"/>
  <c r="Z164" i="10"/>
  <c r="AA25" i="11" s="1"/>
  <c r="AA85" i="11" s="1"/>
  <c r="AF73" i="10"/>
  <c r="W73" i="10"/>
  <c r="Y60" i="10"/>
  <c r="AP60" i="10" s="1" a="1"/>
  <c r="AP60" i="10" s="1"/>
  <c r="Y56" i="10"/>
  <c r="X68" i="10"/>
  <c r="Y65" i="10" s="1"/>
  <c r="X161" i="10"/>
  <c r="W29" i="10"/>
  <c r="X164" i="10"/>
  <c r="T68" i="10"/>
  <c r="U65" i="10" s="1"/>
  <c r="X162" i="10" l="1"/>
  <c r="AH67" i="10"/>
  <c r="AH59" i="10" s="1"/>
  <c r="AO62" i="10"/>
  <c r="AO216" i="10" s="1"/>
  <c r="AH58" i="10"/>
  <c r="Y147" i="4"/>
  <c r="Q79" i="5"/>
  <c r="AU77" i="5" a="1"/>
  <c r="AU77" i="5" s="1"/>
  <c r="AS77" i="5" a="1"/>
  <c r="AS77" i="5" s="1"/>
  <c r="AM77" i="5" a="1"/>
  <c r="AM77" i="5" s="1"/>
  <c r="AQ77" i="5" a="1"/>
  <c r="AQ77" i="5" s="1"/>
  <c r="AN77" i="5" a="1"/>
  <c r="AN77" i="5" s="1"/>
  <c r="AV77" i="5" a="1"/>
  <c r="AV77" i="5" s="1"/>
  <c r="AL77" i="5" a="1"/>
  <c r="AL77" i="5" s="1"/>
  <c r="AW77" i="5" a="1"/>
  <c r="AW77" i="5" s="1"/>
  <c r="AK77" i="5" a="1"/>
  <c r="AK77" i="5" s="1"/>
  <c r="AR77" i="5" a="1"/>
  <c r="AR77" i="5" s="1"/>
  <c r="AP77" i="5" a="1"/>
  <c r="AP77" i="5" s="1"/>
  <c r="AJ77" i="5" a="1"/>
  <c r="AJ77" i="5" s="1"/>
  <c r="AO77" i="5" a="1"/>
  <c r="AO77" i="5" s="1"/>
  <c r="Q163" i="10"/>
  <c r="AP163" i="10" s="1" a="1"/>
  <c r="AP163" i="10" s="1"/>
  <c r="AL146" i="4" a="1"/>
  <c r="AL146" i="4" s="1"/>
  <c r="AL147" i="4" s="1"/>
  <c r="AL149" i="4" s="1"/>
  <c r="AM146" i="4" a="1"/>
  <c r="AM146" i="4" s="1"/>
  <c r="AM147" i="4" s="1"/>
  <c r="AM149" i="4" s="1"/>
  <c r="AN146" i="4" a="1"/>
  <c r="AN146" i="4" s="1"/>
  <c r="AN147" i="4" s="1"/>
  <c r="AN149" i="4" s="1"/>
  <c r="AO146" i="4" a="1"/>
  <c r="AO146" i="4" s="1"/>
  <c r="AO147" i="4" s="1"/>
  <c r="AO149" i="4" s="1"/>
  <c r="AP146" i="4" a="1"/>
  <c r="AP146" i="4" s="1"/>
  <c r="AP147" i="4" s="1"/>
  <c r="AP149" i="4" s="1"/>
  <c r="AQ146" i="4" a="1"/>
  <c r="AQ146" i="4" s="1"/>
  <c r="AQ147" i="4" s="1"/>
  <c r="AQ149" i="4" s="1"/>
  <c r="AU146" i="4" a="1"/>
  <c r="AU146" i="4" s="1"/>
  <c r="AU147" i="4" s="1"/>
  <c r="AU149" i="4" s="1"/>
  <c r="AK146" i="4" a="1"/>
  <c r="AK146" i="4" s="1"/>
  <c r="AK147" i="4" s="1"/>
  <c r="AK149" i="4" s="1"/>
  <c r="AS146" i="4" a="1"/>
  <c r="AS146" i="4" s="1"/>
  <c r="AS147" i="4" s="1"/>
  <c r="AS149" i="4" s="1"/>
  <c r="AR146" i="4" a="1"/>
  <c r="AR146" i="4" s="1"/>
  <c r="AR147" i="4" s="1"/>
  <c r="AR149" i="4" s="1"/>
  <c r="AW146" i="4" a="1"/>
  <c r="AW146" i="4" s="1"/>
  <c r="AW147" i="4" s="1"/>
  <c r="AW149" i="4" s="1"/>
  <c r="AV146" i="4" a="1"/>
  <c r="AV146" i="4" s="1"/>
  <c r="AV147" i="4" s="1"/>
  <c r="AV149" i="4" s="1"/>
  <c r="AJ146" i="4" a="1"/>
  <c r="AJ146" i="4" s="1"/>
  <c r="AJ147" i="4" s="1"/>
  <c r="AJ149" i="4" s="1"/>
  <c r="AA147" i="4"/>
  <c r="U147" i="4"/>
  <c r="AF147" i="4"/>
  <c r="AP62" i="10"/>
  <c r="AP216" i="10" s="1"/>
  <c r="AS62" i="10"/>
  <c r="AS216" i="10" s="1"/>
  <c r="AW62" i="10"/>
  <c r="AW216" i="10" s="1"/>
  <c r="AR62" i="10"/>
  <c r="AR216" i="10" s="1"/>
  <c r="AH162" i="10"/>
  <c r="Q85" i="11"/>
  <c r="AB162" i="10"/>
  <c r="AQ164" i="10" a="1"/>
  <c r="AQ164" i="10" s="1"/>
  <c r="T65" i="10"/>
  <c r="AN68" i="10" a="1"/>
  <c r="AN68" i="10" s="1"/>
  <c r="AN70" i="10" s="1"/>
  <c r="AC65" i="10"/>
  <c r="AQ68" i="10" a="1"/>
  <c r="AQ68" i="10" s="1"/>
  <c r="AQ70" i="10" s="1"/>
  <c r="T73" i="10"/>
  <c r="T16" i="10" s="1"/>
  <c r="T75" i="16" s="1"/>
  <c r="Q162" i="10"/>
  <c r="AL163" i="10" a="1"/>
  <c r="AL163" i="10" s="1"/>
  <c r="AM163" i="10" a="1"/>
  <c r="AM163" i="10" s="1"/>
  <c r="AN163" i="10" a="1"/>
  <c r="AN163" i="10" s="1"/>
  <c r="AO163" i="10" a="1"/>
  <c r="AO163" i="10" s="1"/>
  <c r="AQ163" i="10" a="1"/>
  <c r="AQ163" i="10" s="1"/>
  <c r="AR163" i="10" a="1"/>
  <c r="AR163" i="10" s="1"/>
  <c r="AU163" i="10" a="1"/>
  <c r="AU163" i="10" s="1"/>
  <c r="AJ163" i="10" a="1"/>
  <c r="AJ163" i="10" s="1"/>
  <c r="AV163" i="10" a="1"/>
  <c r="AV163" i="10" s="1"/>
  <c r="AW163" i="10" a="1"/>
  <c r="AW163" i="10" s="1"/>
  <c r="AS163" i="10" a="1"/>
  <c r="AS163" i="10" s="1"/>
  <c r="AV60" i="10"/>
  <c r="AV62" i="10" s="1"/>
  <c r="AV216" i="10" s="1"/>
  <c r="AV164" i="10"/>
  <c r="AR164" i="10" a="1"/>
  <c r="AR164" i="10" s="1"/>
  <c r="AW164" i="10"/>
  <c r="AS164" i="10" a="1"/>
  <c r="AS164" i="10" s="1"/>
  <c r="AR68" i="10" a="1"/>
  <c r="AR68" i="10" s="1"/>
  <c r="AR70" i="10" s="1"/>
  <c r="AS68" i="10" a="1"/>
  <c r="AS68" i="10" s="1"/>
  <c r="AS70" i="10" s="1"/>
  <c r="AW68" i="10"/>
  <c r="AW70" i="10" s="1"/>
  <c r="AH73" i="10"/>
  <c r="AK163" i="10" a="1"/>
  <c r="AK163" i="10" s="1"/>
  <c r="W25" i="11"/>
  <c r="W85" i="11" s="1"/>
  <c r="AO164" i="10" a="1"/>
  <c r="AO164" i="10" s="1"/>
  <c r="V68" i="10"/>
  <c r="W56" i="10"/>
  <c r="AD68" i="10"/>
  <c r="AE65" i="10" s="1"/>
  <c r="AD73" i="10"/>
  <c r="AE56" i="10"/>
  <c r="R25" i="11"/>
  <c r="R85" i="11" s="1"/>
  <c r="S161" i="10"/>
  <c r="S162" i="10" s="1"/>
  <c r="R29" i="10"/>
  <c r="AG66" i="10"/>
  <c r="AG67" i="10" s="1"/>
  <c r="AG59" i="10" s="1"/>
  <c r="AG58" i="10" s="1"/>
  <c r="AG17" i="5"/>
  <c r="AG81" i="5"/>
  <c r="AG56" i="16" s="1"/>
  <c r="U25" i="11"/>
  <c r="U85" i="11" s="1"/>
  <c r="V161" i="10"/>
  <c r="V162" i="10" s="1"/>
  <c r="U29" i="10"/>
  <c r="Z18" i="5"/>
  <c r="Z87" i="11" s="1"/>
  <c r="AA68" i="10"/>
  <c r="AB65" i="10" s="1"/>
  <c r="AB67" i="10" s="1"/>
  <c r="AB59" i="10" s="1"/>
  <c r="AB56" i="10"/>
  <c r="X25" i="11"/>
  <c r="X85" i="11" s="1"/>
  <c r="Y161" i="10"/>
  <c r="Y162" i="10" s="1"/>
  <c r="X29" i="10"/>
  <c r="Y25" i="11"/>
  <c r="Y85" i="11" s="1"/>
  <c r="AE73" i="10"/>
  <c r="AF20" i="11" s="1"/>
  <c r="AF84" i="11" s="1"/>
  <c r="AC66" i="10"/>
  <c r="AC17" i="5"/>
  <c r="AC81" i="5"/>
  <c r="AC56" i="16" s="1"/>
  <c r="AB18" i="5"/>
  <c r="AB87" i="11" s="1"/>
  <c r="AH94" i="5"/>
  <c r="AH24" i="1" s="1"/>
  <c r="AH33" i="1" s="1"/>
  <c r="AH92" i="5"/>
  <c r="AH22" i="1" s="1"/>
  <c r="AH31" i="1" s="1"/>
  <c r="AH93" i="5"/>
  <c r="AH23" i="1" s="1"/>
  <c r="AH32" i="1" s="1"/>
  <c r="AH95" i="5"/>
  <c r="AH25" i="1" s="1"/>
  <c r="AH34" i="1" s="1"/>
  <c r="AH91" i="5"/>
  <c r="AH96" i="5"/>
  <c r="AH26" i="1" s="1"/>
  <c r="AH35" i="1" s="1"/>
  <c r="AG147" i="4"/>
  <c r="AA94" i="5"/>
  <c r="AA24" i="1" s="1"/>
  <c r="AA33" i="1" s="1"/>
  <c r="AA96" i="5"/>
  <c r="AA26" i="1" s="1"/>
  <c r="AA35" i="1" s="1"/>
  <c r="AA95" i="5"/>
  <c r="AA25" i="1" s="1"/>
  <c r="AA34" i="1" s="1"/>
  <c r="AA93" i="5"/>
  <c r="AA23" i="1" s="1"/>
  <c r="AA32" i="1" s="1"/>
  <c r="AA92" i="5"/>
  <c r="AA22" i="1" s="1"/>
  <c r="AA31" i="1" s="1"/>
  <c r="AA91" i="5"/>
  <c r="W96" i="5"/>
  <c r="W26" i="1" s="1"/>
  <c r="W35" i="1" s="1"/>
  <c r="W94" i="5"/>
  <c r="W24" i="1" s="1"/>
  <c r="W33" i="1" s="1"/>
  <c r="W91" i="5"/>
  <c r="W95" i="5"/>
  <c r="W25" i="1" s="1"/>
  <c r="W34" i="1" s="1"/>
  <c r="W92" i="5"/>
  <c r="W22" i="1" s="1"/>
  <c r="W31" i="1" s="1"/>
  <c r="W93" i="5"/>
  <c r="W23" i="1" s="1"/>
  <c r="W32" i="1" s="1"/>
  <c r="AE147" i="4"/>
  <c r="V92" i="5"/>
  <c r="V22" i="1" s="1"/>
  <c r="V31" i="1" s="1"/>
  <c r="V94" i="5"/>
  <c r="V24" i="1" s="1"/>
  <c r="V33" i="1" s="1"/>
  <c r="V93" i="5"/>
  <c r="V23" i="1" s="1"/>
  <c r="V32" i="1" s="1"/>
  <c r="V96" i="5"/>
  <c r="V26" i="1" s="1"/>
  <c r="V35" i="1" s="1"/>
  <c r="V95" i="5"/>
  <c r="V25" i="1" s="1"/>
  <c r="V34" i="1" s="1"/>
  <c r="V91" i="5"/>
  <c r="Y68" i="10"/>
  <c r="Y73" i="10" s="1"/>
  <c r="Z56" i="10"/>
  <c r="AG20" i="11"/>
  <c r="AG84" i="11" s="1"/>
  <c r="AG86" i="11" s="1"/>
  <c r="AG50" i="11" s="1"/>
  <c r="AG16" i="10"/>
  <c r="AG75" i="16" s="1"/>
  <c r="X93" i="5"/>
  <c r="X23" i="1" s="1"/>
  <c r="X32" i="1" s="1"/>
  <c r="X96" i="5"/>
  <c r="X26" i="1" s="1"/>
  <c r="X35" i="1" s="1"/>
  <c r="X92" i="5"/>
  <c r="X22" i="1" s="1"/>
  <c r="X31" i="1" s="1"/>
  <c r="X95" i="5"/>
  <c r="X25" i="1" s="1"/>
  <c r="X34" i="1" s="1"/>
  <c r="X94" i="5"/>
  <c r="X24" i="1" s="1"/>
  <c r="X33" i="1" s="1"/>
  <c r="X91" i="5"/>
  <c r="V18" i="5"/>
  <c r="V87" i="11" s="1"/>
  <c r="R66" i="10"/>
  <c r="R17" i="5"/>
  <c r="R81" i="5"/>
  <c r="R56" i="16" s="1"/>
  <c r="Z73" i="10"/>
  <c r="T147" i="4"/>
  <c r="AD147" i="4"/>
  <c r="S95" i="5"/>
  <c r="S25" i="1" s="1"/>
  <c r="S34" i="1" s="1"/>
  <c r="S93" i="5"/>
  <c r="S23" i="1" s="1"/>
  <c r="S32" i="1" s="1"/>
  <c r="S92" i="5"/>
  <c r="S22" i="1" s="1"/>
  <c r="S31" i="1" s="1"/>
  <c r="S96" i="5"/>
  <c r="S26" i="1" s="1"/>
  <c r="S35" i="1" s="1"/>
  <c r="S94" i="5"/>
  <c r="S24" i="1" s="1"/>
  <c r="S33" i="1" s="1"/>
  <c r="S91" i="5"/>
  <c r="AH25" i="11"/>
  <c r="AH85" i="11" s="1"/>
  <c r="AH29" i="10"/>
  <c r="AA18" i="5"/>
  <c r="AA87" i="11" s="1"/>
  <c r="W18" i="5"/>
  <c r="W87" i="11" s="1"/>
  <c r="X67" i="10"/>
  <c r="X59" i="10" s="1"/>
  <c r="X58" i="10" s="1"/>
  <c r="R147" i="4"/>
  <c r="T25" i="11"/>
  <c r="T85" i="11" s="1"/>
  <c r="U161" i="10"/>
  <c r="U162" i="10" s="1"/>
  <c r="T29" i="10"/>
  <c r="X73" i="10"/>
  <c r="AD56" i="10"/>
  <c r="AC68" i="10"/>
  <c r="AD65" i="10" s="1"/>
  <c r="Q68" i="10"/>
  <c r="R65" i="10" s="1"/>
  <c r="R56" i="10"/>
  <c r="AB25" i="11"/>
  <c r="AB85" i="11" s="1"/>
  <c r="AB29" i="10"/>
  <c r="AQ29" i="10" s="1" a="1"/>
  <c r="AQ29" i="10" s="1"/>
  <c r="AC161" i="10"/>
  <c r="AC162" i="10" s="1"/>
  <c r="AD162" i="10"/>
  <c r="S18" i="5"/>
  <c r="S87" i="11" s="1"/>
  <c r="V25" i="11"/>
  <c r="V85" i="11" s="1"/>
  <c r="W161" i="10"/>
  <c r="W162" i="10" s="1"/>
  <c r="V29" i="10"/>
  <c r="AD18" i="5"/>
  <c r="AD87" i="11" s="1"/>
  <c r="AC25" i="11"/>
  <c r="AC85" i="11" s="1"/>
  <c r="R162" i="10"/>
  <c r="W16" i="10"/>
  <c r="W75" i="16" s="1"/>
  <c r="S73" i="10"/>
  <c r="T20" i="11" s="1"/>
  <c r="T84" i="11" s="1"/>
  <c r="S67" i="10"/>
  <c r="S59" i="10" s="1"/>
  <c r="S58" i="10" s="1"/>
  <c r="R73" i="10"/>
  <c r="T161" i="10"/>
  <c r="T162" i="10" s="1"/>
  <c r="S25" i="11"/>
  <c r="S85" i="11" s="1"/>
  <c r="S29" i="10"/>
  <c r="AN29" i="10" s="1" a="1"/>
  <c r="AN29" i="10" s="1"/>
  <c r="Y17" i="5"/>
  <c r="Y66" i="10"/>
  <c r="Y81" i="5"/>
  <c r="Y56" i="16" s="1"/>
  <c r="T95" i="5"/>
  <c r="T25" i="1" s="1"/>
  <c r="T34" i="1" s="1"/>
  <c r="T94" i="5"/>
  <c r="T24" i="1" s="1"/>
  <c r="T33" i="1" s="1"/>
  <c r="T96" i="5"/>
  <c r="T26" i="1" s="1"/>
  <c r="T35" i="1" s="1"/>
  <c r="T92" i="5"/>
  <c r="T22" i="1" s="1"/>
  <c r="T31" i="1" s="1"/>
  <c r="T93" i="5"/>
  <c r="T23" i="1" s="1"/>
  <c r="T32" i="1" s="1"/>
  <c r="T91" i="5"/>
  <c r="AH18" i="5"/>
  <c r="AH87" i="11" s="1"/>
  <c r="AB73" i="10"/>
  <c r="AF16" i="10"/>
  <c r="AF75" i="16" s="1"/>
  <c r="S147" i="4"/>
  <c r="Z162" i="10"/>
  <c r="AF29" i="10"/>
  <c r="AF25" i="11"/>
  <c r="AF85" i="11" s="1"/>
  <c r="AG161" i="10"/>
  <c r="AG162" i="10" s="1"/>
  <c r="AB93" i="5"/>
  <c r="AB23" i="1" s="1"/>
  <c r="AB32" i="1" s="1"/>
  <c r="AB96" i="5"/>
  <c r="AB26" i="1" s="1"/>
  <c r="AB35" i="1" s="1"/>
  <c r="AB95" i="5"/>
  <c r="AB25" i="1" s="1"/>
  <c r="AB34" i="1" s="1"/>
  <c r="AB92" i="5"/>
  <c r="AB22" i="1" s="1"/>
  <c r="AB31" i="1" s="1"/>
  <c r="AB94" i="5"/>
  <c r="AB24" i="1" s="1"/>
  <c r="AB33" i="1" s="1"/>
  <c r="AB91" i="5"/>
  <c r="V56" i="10"/>
  <c r="U68" i="10"/>
  <c r="V65" i="10" s="1"/>
  <c r="AF161" i="10"/>
  <c r="AF162" i="10" s="1"/>
  <c r="AE25" i="11"/>
  <c r="AE85" i="11" s="1"/>
  <c r="AE29" i="10"/>
  <c r="Z92" i="5"/>
  <c r="Z22" i="1" s="1"/>
  <c r="Z31" i="1" s="1"/>
  <c r="Z95" i="5"/>
  <c r="Z25" i="1" s="1"/>
  <c r="Z34" i="1" s="1"/>
  <c r="Z93" i="5"/>
  <c r="Z23" i="1" s="1"/>
  <c r="Z32" i="1" s="1"/>
  <c r="Z96" i="5"/>
  <c r="Z26" i="1" s="1"/>
  <c r="Z35" i="1" s="1"/>
  <c r="Z94" i="5"/>
  <c r="Z24" i="1" s="1"/>
  <c r="Z33" i="1" s="1"/>
  <c r="Z91" i="5"/>
  <c r="U97" i="5"/>
  <c r="U78" i="10" s="1"/>
  <c r="U21" i="1"/>
  <c r="AF17" i="5"/>
  <c r="AF81" i="5"/>
  <c r="AF56" i="16" s="1"/>
  <c r="AF66" i="10"/>
  <c r="AF67" i="10" s="1"/>
  <c r="AF59" i="10" s="1"/>
  <c r="AF58" i="10" s="1"/>
  <c r="AD97" i="5"/>
  <c r="AD78" i="10" s="1"/>
  <c r="AD21" i="1"/>
  <c r="T67" i="10"/>
  <c r="T59" i="10" s="1"/>
  <c r="T58" i="10" s="1"/>
  <c r="AA161" i="10"/>
  <c r="AA162" i="10" s="1"/>
  <c r="Z29" i="10"/>
  <c r="Z25" i="11"/>
  <c r="Z85" i="11" s="1"/>
  <c r="AD25" i="11"/>
  <c r="AD85" i="11" s="1"/>
  <c r="AD29" i="10"/>
  <c r="AE161" i="10"/>
  <c r="AE162" i="10" s="1"/>
  <c r="U18" i="5"/>
  <c r="U87" i="11" s="1"/>
  <c r="AE66" i="10"/>
  <c r="AE67" i="10" s="1"/>
  <c r="AE59" i="10" s="1"/>
  <c r="AE17" i="5"/>
  <c r="AE81" i="5"/>
  <c r="AE56" i="16" s="1"/>
  <c r="T18" i="5"/>
  <c r="T87" i="11" s="1"/>
  <c r="AQ79" i="5" l="1" a="1"/>
  <c r="AQ79" i="5" s="1"/>
  <c r="AQ81" i="5" s="1"/>
  <c r="AS79" i="5" a="1"/>
  <c r="AS79" i="5" s="1"/>
  <c r="AS81" i="5" s="1"/>
  <c r="AP79" i="5" a="1"/>
  <c r="AP79" i="5" s="1"/>
  <c r="AP81" i="5" s="1"/>
  <c r="AO79" i="5" a="1"/>
  <c r="AO79" i="5" s="1"/>
  <c r="AO81" i="5" s="1"/>
  <c r="AL79" i="5" a="1"/>
  <c r="AL79" i="5" s="1"/>
  <c r="AL81" i="5" s="1"/>
  <c r="AR79" i="5" a="1"/>
  <c r="AR79" i="5" s="1"/>
  <c r="AR81" i="5" s="1"/>
  <c r="AU79" i="5" a="1"/>
  <c r="AU79" i="5" s="1"/>
  <c r="AU81" i="5" s="1"/>
  <c r="AM79" i="5" a="1"/>
  <c r="AM79" i="5" s="1"/>
  <c r="AM81" i="5" s="1"/>
  <c r="AJ79" i="5" a="1"/>
  <c r="AJ79" i="5" s="1"/>
  <c r="AJ81" i="5" s="1"/>
  <c r="AK79" i="5" a="1"/>
  <c r="AK79" i="5" s="1"/>
  <c r="AK81" i="5" s="1"/>
  <c r="AN79" i="5" a="1"/>
  <c r="AN79" i="5" s="1"/>
  <c r="AN81" i="5" s="1"/>
  <c r="AV79" i="5" a="1"/>
  <c r="AV79" i="5" s="1"/>
  <c r="AV81" i="5" s="1"/>
  <c r="AW79" i="5" a="1"/>
  <c r="AW79" i="5" s="1"/>
  <c r="AW81" i="5" s="1"/>
  <c r="Q66" i="10"/>
  <c r="AL66" i="10" s="1" a="1"/>
  <c r="AL66" i="10" s="1"/>
  <c r="Q17" i="5"/>
  <c r="Q81" i="5"/>
  <c r="AF86" i="11"/>
  <c r="AF50" i="11" s="1"/>
  <c r="AQ73" i="10"/>
  <c r="AN73" i="10"/>
  <c r="AS73" i="10"/>
  <c r="AR73" i="10"/>
  <c r="AW73" i="10"/>
  <c r="V67" i="10"/>
  <c r="V59" i="10" s="1"/>
  <c r="V58" i="10" s="1"/>
  <c r="AO29" i="10" a="1"/>
  <c r="AO29" i="10" s="1"/>
  <c r="AV29" i="10"/>
  <c r="AD67" i="10"/>
  <c r="AD59" i="10" s="1"/>
  <c r="AA73" i="10"/>
  <c r="AA16" i="10" s="1"/>
  <c r="AA75" i="16" s="1"/>
  <c r="AH16" i="10"/>
  <c r="AH20" i="11"/>
  <c r="AH84" i="11" s="1"/>
  <c r="AH86" i="11" s="1"/>
  <c r="AH50" i="11" s="1"/>
  <c r="AW25" i="11" a="1"/>
  <c r="AW25" i="11" s="1"/>
  <c r="AA67" i="10"/>
  <c r="AA59" i="10" s="1"/>
  <c r="AA58" i="10" s="1"/>
  <c r="AJ25" i="11" a="1"/>
  <c r="AJ25" i="11" s="1"/>
  <c r="AL25" i="11" a="1"/>
  <c r="AL25" i="11" s="1"/>
  <c r="AV25" i="11" a="1"/>
  <c r="AV25" i="11" s="1"/>
  <c r="AO25" i="11" a="1"/>
  <c r="AO25" i="11" s="1"/>
  <c r="AS25" i="11" a="1"/>
  <c r="AS25" i="11" s="1"/>
  <c r="AP25" i="11" a="1"/>
  <c r="AP25" i="11" s="1"/>
  <c r="AK25" i="11" a="1"/>
  <c r="AK25" i="11" s="1"/>
  <c r="AR29" i="10" a="1"/>
  <c r="AR29" i="10" s="1"/>
  <c r="AS29" i="10" a="1"/>
  <c r="AS29" i="10" s="1"/>
  <c r="AW29" i="10"/>
  <c r="Z65" i="10"/>
  <c r="Z67" i="10" s="1"/>
  <c r="Z59" i="10" s="1"/>
  <c r="AP68" i="10" a="1"/>
  <c r="AP68" i="10" s="1"/>
  <c r="AP70" i="10" s="1"/>
  <c r="AQ25" i="11" a="1"/>
  <c r="AQ25" i="11" s="1"/>
  <c r="AU25" i="11" a="1"/>
  <c r="AU25" i="11" s="1"/>
  <c r="T86" i="11"/>
  <c r="T50" i="11" s="1"/>
  <c r="AS162" i="10" a="1"/>
  <c r="AS162" i="10" s="1"/>
  <c r="AS161" i="10" s="1"/>
  <c r="AQ162" i="10" a="1"/>
  <c r="AQ162" i="10" s="1"/>
  <c r="AQ161" i="10" s="1"/>
  <c r="AV162" i="10" a="1"/>
  <c r="AV162" i="10" s="1"/>
  <c r="AV161" i="10" s="1"/>
  <c r="AR162" i="10" a="1"/>
  <c r="AR162" i="10" s="1"/>
  <c r="AR161" i="10" s="1"/>
  <c r="AL162" i="10" a="1"/>
  <c r="AL162" i="10" s="1"/>
  <c r="AL161" i="10" s="1"/>
  <c r="AM162" i="10" a="1"/>
  <c r="AM162" i="10" s="1"/>
  <c r="AM161" i="10" s="1"/>
  <c r="AW162" i="10" a="1"/>
  <c r="AW162" i="10" s="1"/>
  <c r="AW161" i="10" s="1"/>
  <c r="AO162" i="10" a="1"/>
  <c r="AO162" i="10" s="1"/>
  <c r="AO161" i="10" s="1"/>
  <c r="AN162" i="10" a="1"/>
  <c r="AN162" i="10" s="1"/>
  <c r="AN161" i="10" s="1"/>
  <c r="AJ162" i="10" a="1"/>
  <c r="AJ162" i="10" s="1"/>
  <c r="AJ161" i="10" s="1"/>
  <c r="AP162" i="10" a="1"/>
  <c r="AP162" i="10" s="1"/>
  <c r="AP161" i="10" s="1"/>
  <c r="AK162" i="10" a="1"/>
  <c r="AK162" i="10" s="1"/>
  <c r="AK161" i="10" s="1"/>
  <c r="AU162" i="10" a="1"/>
  <c r="AU162" i="10" s="1"/>
  <c r="AU161" i="10" s="1"/>
  <c r="AR25" i="11" a="1"/>
  <c r="AR25" i="11" s="1"/>
  <c r="AN25" i="11" a="1"/>
  <c r="AN25" i="11" s="1"/>
  <c r="W65" i="10"/>
  <c r="W67" i="10" s="1"/>
  <c r="W59" i="10" s="1"/>
  <c r="W58" i="10" s="1"/>
  <c r="AV68" i="10"/>
  <c r="AV70" i="10" s="1"/>
  <c r="AO68" i="10" a="1"/>
  <c r="AO68" i="10" s="1"/>
  <c r="AO70" i="10" s="1"/>
  <c r="AM25" i="11" a="1"/>
  <c r="AM25" i="11" s="1"/>
  <c r="AQ85" i="11" a="1"/>
  <c r="AQ85" i="11" s="1"/>
  <c r="AL85" i="11" a="1"/>
  <c r="AL85" i="11" s="1"/>
  <c r="AJ85" i="11" a="1"/>
  <c r="AJ85" i="11" s="1"/>
  <c r="AR85" i="11" a="1"/>
  <c r="AR85" i="11" s="1"/>
  <c r="AK85" i="11" a="1"/>
  <c r="AK85" i="11" s="1"/>
  <c r="AM85" i="11" a="1"/>
  <c r="AM85" i="11" s="1"/>
  <c r="AN85" i="11" a="1"/>
  <c r="AN85" i="11" s="1"/>
  <c r="AV85" i="11" a="1"/>
  <c r="AV85" i="11" s="1"/>
  <c r="AP85" i="11" a="1"/>
  <c r="AP85" i="11" s="1"/>
  <c r="AW85" i="11" a="1"/>
  <c r="AW85" i="11" s="1"/>
  <c r="AS85" i="11" a="1"/>
  <c r="AS85" i="11" s="1"/>
  <c r="AU85" i="11" a="1"/>
  <c r="AU85" i="11" s="1"/>
  <c r="AO85" i="11" a="1"/>
  <c r="AO85" i="11" s="1"/>
  <c r="AD58" i="10"/>
  <c r="AE58" i="10"/>
  <c r="Y94" i="5"/>
  <c r="Y24" i="1" s="1"/>
  <c r="Y33" i="1" s="1"/>
  <c r="Y95" i="5"/>
  <c r="Y25" i="1" s="1"/>
  <c r="Y34" i="1" s="1"/>
  <c r="Y96" i="5"/>
  <c r="Y26" i="1" s="1"/>
  <c r="Y35" i="1" s="1"/>
  <c r="Y92" i="5"/>
  <c r="Y22" i="1" s="1"/>
  <c r="Y31" i="1" s="1"/>
  <c r="Y93" i="5"/>
  <c r="Y23" i="1" s="1"/>
  <c r="Y32" i="1" s="1"/>
  <c r="Y91" i="5"/>
  <c r="S20" i="11"/>
  <c r="S84" i="11" s="1"/>
  <c r="S86" i="11" s="1"/>
  <c r="S50" i="11" s="1"/>
  <c r="S16" i="10"/>
  <c r="X16" i="10"/>
  <c r="X75" i="16" s="1"/>
  <c r="X20" i="11"/>
  <c r="X84" i="11" s="1"/>
  <c r="X86" i="11" s="1"/>
  <c r="X50" i="11" s="1"/>
  <c r="S97" i="5"/>
  <c r="S78" i="10" s="1"/>
  <c r="S21" i="1"/>
  <c r="X97" i="5"/>
  <c r="X78" i="10" s="1"/>
  <c r="X21" i="1"/>
  <c r="AG92" i="5"/>
  <c r="AG22" i="1" s="1"/>
  <c r="AG31" i="1" s="1"/>
  <c r="AG93" i="5"/>
  <c r="AG23" i="1" s="1"/>
  <c r="AG32" i="1" s="1"/>
  <c r="AG95" i="5"/>
  <c r="AG25" i="1" s="1"/>
  <c r="AG34" i="1" s="1"/>
  <c r="AG91" i="5"/>
  <c r="AG94" i="5"/>
  <c r="AG24" i="1" s="1"/>
  <c r="AG33" i="1" s="1"/>
  <c r="AG96" i="5"/>
  <c r="AG26" i="1" s="1"/>
  <c r="AG35" i="1" s="1"/>
  <c r="AD16" i="10"/>
  <c r="AD75" i="16" s="1"/>
  <c r="Q67" i="10"/>
  <c r="T97" i="5"/>
  <c r="T78" i="10" s="1"/>
  <c r="T21" i="1"/>
  <c r="Y67" i="10"/>
  <c r="Y59" i="10" s="1"/>
  <c r="Y58" i="10" s="1"/>
  <c r="AA21" i="1"/>
  <c r="AA97" i="5"/>
  <c r="AA78" i="10" s="1"/>
  <c r="AG18" i="5"/>
  <c r="AG87" i="11" s="1"/>
  <c r="AD79" i="10"/>
  <c r="U73" i="10"/>
  <c r="Y18" i="5"/>
  <c r="Y87" i="11" s="1"/>
  <c r="Q73" i="10"/>
  <c r="R20" i="11" s="1"/>
  <c r="R84" i="11" s="1"/>
  <c r="R86" i="11" s="1"/>
  <c r="R50" i="11" s="1"/>
  <c r="Z16" i="10"/>
  <c r="Z75" i="16" s="1"/>
  <c r="Z20" i="11"/>
  <c r="Z84" i="11" s="1"/>
  <c r="Z86" i="11" s="1"/>
  <c r="Z50" i="11" s="1"/>
  <c r="V21" i="1"/>
  <c r="V97" i="5"/>
  <c r="V78" i="10" s="1"/>
  <c r="AH97" i="5"/>
  <c r="AH78" i="10" s="1"/>
  <c r="AH21" i="1"/>
  <c r="AC93" i="5"/>
  <c r="AC23" i="1" s="1"/>
  <c r="AC32" i="1" s="1"/>
  <c r="AC96" i="5"/>
  <c r="AC26" i="1" s="1"/>
  <c r="AC35" i="1" s="1"/>
  <c r="AC92" i="5"/>
  <c r="AC22" i="1" s="1"/>
  <c r="AC31" i="1" s="1"/>
  <c r="AC94" i="5"/>
  <c r="AC24" i="1" s="1"/>
  <c r="AC33" i="1" s="1"/>
  <c r="AC95" i="5"/>
  <c r="AC25" i="1" s="1"/>
  <c r="AC34" i="1" s="1"/>
  <c r="AC91" i="5"/>
  <c r="Z97" i="5"/>
  <c r="Z78" i="10" s="1"/>
  <c r="Z21" i="1"/>
  <c r="AE92" i="5"/>
  <c r="AE22" i="1" s="1"/>
  <c r="AE31" i="1" s="1"/>
  <c r="AE94" i="5"/>
  <c r="AE24" i="1" s="1"/>
  <c r="AE33" i="1" s="1"/>
  <c r="AE96" i="5"/>
  <c r="AE26" i="1" s="1"/>
  <c r="AE35" i="1" s="1"/>
  <c r="AE91" i="5"/>
  <c r="AE95" i="5"/>
  <c r="AE25" i="1" s="1"/>
  <c r="AE34" i="1" s="1"/>
  <c r="AE93" i="5"/>
  <c r="AE23" i="1" s="1"/>
  <c r="AE32" i="1" s="1"/>
  <c r="AF96" i="5"/>
  <c r="AF26" i="1" s="1"/>
  <c r="AF35" i="1" s="1"/>
  <c r="AF95" i="5"/>
  <c r="AF25" i="1" s="1"/>
  <c r="AF34" i="1" s="1"/>
  <c r="AF93" i="5"/>
  <c r="AF23" i="1" s="1"/>
  <c r="AF32" i="1" s="1"/>
  <c r="AF94" i="5"/>
  <c r="AF24" i="1" s="1"/>
  <c r="AF33" i="1" s="1"/>
  <c r="AF92" i="5"/>
  <c r="AF22" i="1" s="1"/>
  <c r="AF31" i="1" s="1"/>
  <c r="AF91" i="5"/>
  <c r="R93" i="5"/>
  <c r="R23" i="1" s="1"/>
  <c r="R32" i="1" s="1"/>
  <c r="R94" i="5"/>
  <c r="R24" i="1" s="1"/>
  <c r="R33" i="1" s="1"/>
  <c r="R92" i="5"/>
  <c r="R22" i="1" s="1"/>
  <c r="R31" i="1" s="1"/>
  <c r="R96" i="5"/>
  <c r="R26" i="1" s="1"/>
  <c r="R35" i="1" s="1"/>
  <c r="R91" i="5"/>
  <c r="R95" i="5"/>
  <c r="R25" i="1" s="1"/>
  <c r="R34" i="1" s="1"/>
  <c r="AC18" i="5"/>
  <c r="AC87" i="11" s="1"/>
  <c r="V73" i="10"/>
  <c r="Y16" i="10"/>
  <c r="Y20" i="11"/>
  <c r="Y84" i="11" s="1"/>
  <c r="Y86" i="11" s="1"/>
  <c r="Y50" i="11" s="1"/>
  <c r="AE18" i="5"/>
  <c r="AE87" i="11" s="1"/>
  <c r="AF18" i="5"/>
  <c r="AF87" i="11" s="1"/>
  <c r="R18" i="5"/>
  <c r="R87" i="11" s="1"/>
  <c r="AC67" i="10"/>
  <c r="AC59" i="10" s="1"/>
  <c r="AC58" i="10" s="1"/>
  <c r="U67" i="10"/>
  <c r="U59" i="10" s="1"/>
  <c r="U58" i="10" s="1"/>
  <c r="AD27" i="1"/>
  <c r="AD30" i="1"/>
  <c r="AD36" i="1" s="1"/>
  <c r="AD57" i="16" s="1"/>
  <c r="AD27" i="16" s="1"/>
  <c r="U27" i="1"/>
  <c r="U30" i="1"/>
  <c r="U36" i="1" s="1"/>
  <c r="U57" i="16" s="1"/>
  <c r="U27" i="16" s="1"/>
  <c r="AB97" i="5"/>
  <c r="AB78" i="10" s="1"/>
  <c r="AB21" i="1"/>
  <c r="AB16" i="10"/>
  <c r="AC73" i="10"/>
  <c r="AD20" i="11" s="1"/>
  <c r="AD84" i="11" s="1"/>
  <c r="AD86" i="11" s="1"/>
  <c r="AD50" i="11" s="1"/>
  <c r="R67" i="10"/>
  <c r="R59" i="10" s="1"/>
  <c r="R58" i="10" s="1"/>
  <c r="Z58" i="10"/>
  <c r="AE16" i="10"/>
  <c r="AE75" i="16" s="1"/>
  <c r="AR75" i="16" s="1" a="1"/>
  <c r="AR75" i="16" s="1"/>
  <c r="AR15" i="16" s="1"/>
  <c r="AE20" i="11"/>
  <c r="AE84" i="11" s="1"/>
  <c r="AE86" i="11" s="1"/>
  <c r="AE50" i="11" s="1"/>
  <c r="AB58" i="10"/>
  <c r="U79" i="10"/>
  <c r="R16" i="10"/>
  <c r="R75" i="16" s="1"/>
  <c r="W97" i="5"/>
  <c r="W78" i="10" s="1"/>
  <c r="W21" i="1"/>
  <c r="AS66" i="10" l="1" a="1"/>
  <c r="AS66" i="10" s="1"/>
  <c r="AU66" i="10" a="1"/>
  <c r="AU66" i="10" s="1"/>
  <c r="AM66" i="10" a="1"/>
  <c r="AM66" i="10" s="1"/>
  <c r="AQ66" i="10" a="1"/>
  <c r="AQ66" i="10" s="1"/>
  <c r="AW66" i="10" a="1"/>
  <c r="AW66" i="10" s="1"/>
  <c r="AN66" i="10" a="1"/>
  <c r="AN66" i="10" s="1"/>
  <c r="AJ66" i="10" a="1"/>
  <c r="AJ66" i="10" s="1"/>
  <c r="AO66" i="10" a="1"/>
  <c r="AO66" i="10" s="1"/>
  <c r="AR66" i="10" a="1"/>
  <c r="AR66" i="10" s="1"/>
  <c r="AK66" i="10" a="1"/>
  <c r="AK66" i="10" s="1"/>
  <c r="AP66" i="10" a="1"/>
  <c r="AP66" i="10" s="1"/>
  <c r="AV66" i="10" a="1"/>
  <c r="AV66" i="10" s="1"/>
  <c r="Q56" i="16"/>
  <c r="Q92" i="5"/>
  <c r="Q93" i="5"/>
  <c r="Q94" i="5"/>
  <c r="Q96" i="5"/>
  <c r="Q91" i="5"/>
  <c r="Q95" i="5"/>
  <c r="AR17" i="5" a="1"/>
  <c r="AR17" i="5" s="1"/>
  <c r="AR18" i="5" s="1"/>
  <c r="AP17" i="5" a="1"/>
  <c r="AP17" i="5" s="1"/>
  <c r="AP18" i="5" s="1"/>
  <c r="AL17" i="5" a="1"/>
  <c r="AL17" i="5" s="1"/>
  <c r="AL18" i="5" s="1"/>
  <c r="AQ17" i="5" a="1"/>
  <c r="AQ17" i="5" s="1"/>
  <c r="AQ18" i="5" s="1"/>
  <c r="AU17" i="5" a="1"/>
  <c r="AU17" i="5" s="1"/>
  <c r="AU18" i="5" s="1"/>
  <c r="AM17" i="5" a="1"/>
  <c r="AM17" i="5" s="1"/>
  <c r="AM18" i="5" s="1"/>
  <c r="AS17" i="5" a="1"/>
  <c r="AS17" i="5" s="1"/>
  <c r="AS18" i="5" s="1"/>
  <c r="AK17" i="5" a="1"/>
  <c r="AK17" i="5" s="1"/>
  <c r="AK18" i="5" s="1"/>
  <c r="AJ17" i="5" a="1"/>
  <c r="AJ17" i="5" s="1"/>
  <c r="AJ18" i="5" s="1"/>
  <c r="AN17" i="5" a="1"/>
  <c r="AN17" i="5" s="1"/>
  <c r="AN18" i="5" s="1"/>
  <c r="AO17" i="5" a="1"/>
  <c r="AO17" i="5" s="1"/>
  <c r="AO18" i="5" s="1"/>
  <c r="AV17" i="5" a="1"/>
  <c r="AV17" i="5" s="1"/>
  <c r="AV18" i="5" s="1"/>
  <c r="AW17" i="5" a="1"/>
  <c r="AW17" i="5" s="1"/>
  <c r="AW18" i="5" s="1"/>
  <c r="Q18" i="5"/>
  <c r="Q87" i="11" s="1"/>
  <c r="AN87" i="11" s="1" a="1"/>
  <c r="AN87" i="11" s="1"/>
  <c r="AB20" i="11"/>
  <c r="AB84" i="11" s="1"/>
  <c r="AB86" i="11" s="1"/>
  <c r="AB50" i="11" s="1"/>
  <c r="AA20" i="11"/>
  <c r="AA84" i="11" s="1"/>
  <c r="AA86" i="11" s="1"/>
  <c r="AA50" i="11" s="1"/>
  <c r="AO73" i="10"/>
  <c r="AP73" i="10"/>
  <c r="AV73" i="10"/>
  <c r="AH75" i="16"/>
  <c r="AR16" i="10" a="1"/>
  <c r="AR16" i="10" s="1"/>
  <c r="AS16" i="10" a="1"/>
  <c r="AS16" i="10" s="1"/>
  <c r="AW16" i="10"/>
  <c r="S75" i="16"/>
  <c r="AN75" i="16" s="1" a="1"/>
  <c r="AN75" i="16" s="1"/>
  <c r="AN15" i="16" s="1"/>
  <c r="AN16" i="10" a="1"/>
  <c r="AN16" i="10" s="1"/>
  <c r="Y75" i="16"/>
  <c r="AP75" i="16" s="1" a="1"/>
  <c r="AP75" i="16" s="1"/>
  <c r="AP15" i="16" s="1"/>
  <c r="AP16" i="10" a="1"/>
  <c r="AP16" i="10" s="1"/>
  <c r="Q59" i="10"/>
  <c r="AL67" i="10" a="1"/>
  <c r="AL67" i="10" s="1"/>
  <c r="AL65" i="10" s="1"/>
  <c r="AM67" i="10" a="1"/>
  <c r="AM67" i="10" s="1"/>
  <c r="AM65" i="10" s="1"/>
  <c r="AN67" i="10" a="1"/>
  <c r="AN67" i="10" s="1"/>
  <c r="AO67" i="10" a="1"/>
  <c r="AO67" i="10" s="1"/>
  <c r="AP67" i="10" a="1"/>
  <c r="AP67" i="10" s="1"/>
  <c r="AQ67" i="10" a="1"/>
  <c r="AQ67" i="10" s="1"/>
  <c r="AW67" i="10" a="1"/>
  <c r="AW67" i="10" s="1"/>
  <c r="AR67" i="10" a="1"/>
  <c r="AR67" i="10" s="1"/>
  <c r="AV67" i="10" a="1"/>
  <c r="AV67" i="10" s="1"/>
  <c r="AK67" i="10" a="1"/>
  <c r="AK67" i="10" s="1"/>
  <c r="AS67" i="10" a="1"/>
  <c r="AS67" i="10" s="1"/>
  <c r="AJ67" i="10" a="1"/>
  <c r="AJ67" i="10" s="1"/>
  <c r="AU67" i="10" a="1"/>
  <c r="AU67" i="10" s="1"/>
  <c r="AU65" i="10" s="1"/>
  <c r="AB75" i="16"/>
  <c r="AQ75" i="16" s="1" a="1"/>
  <c r="AQ75" i="16" s="1"/>
  <c r="AQ15" i="16" s="1"/>
  <c r="AQ16" i="10" a="1"/>
  <c r="AQ16" i="10" s="1"/>
  <c r="AU87" i="11" a="1"/>
  <c r="AU87" i="11" s="1"/>
  <c r="AW87" i="11" a="1"/>
  <c r="AW87" i="11" s="1"/>
  <c r="AO87" i="11" a="1"/>
  <c r="AO87" i="11" s="1"/>
  <c r="AK87" i="11" a="1"/>
  <c r="AK87" i="11" s="1"/>
  <c r="AS87" i="11" a="1"/>
  <c r="AS87" i="11" s="1"/>
  <c r="AP87" i="11" a="1"/>
  <c r="AP87" i="11" s="1"/>
  <c r="AL87" i="11" a="1"/>
  <c r="AL87" i="11" s="1"/>
  <c r="AQ87" i="11" a="1"/>
  <c r="AQ87" i="11" s="1"/>
  <c r="AV87" i="11" a="1"/>
  <c r="AV87" i="11" s="1"/>
  <c r="AJ87" i="11" a="1"/>
  <c r="AJ87" i="11" s="1"/>
  <c r="AM87" i="11" a="1"/>
  <c r="AM87" i="11" s="1"/>
  <c r="AH27" i="1"/>
  <c r="AH30" i="1"/>
  <c r="AH36" i="1" s="1"/>
  <c r="AH57" i="16" s="1"/>
  <c r="AH27" i="16" s="1"/>
  <c r="AC97" i="5"/>
  <c r="AC78" i="10" s="1"/>
  <c r="AC21" i="1"/>
  <c r="U20" i="11"/>
  <c r="U84" i="11" s="1"/>
  <c r="U86" i="11" s="1"/>
  <c r="U50" i="11" s="1"/>
  <c r="U16" i="10"/>
  <c r="U75" i="16" s="1"/>
  <c r="Y97" i="5"/>
  <c r="Y78" i="10" s="1"/>
  <c r="Y21" i="1"/>
  <c r="V79" i="10"/>
  <c r="AO79" i="10" s="1" a="1"/>
  <c r="AO79" i="10" s="1"/>
  <c r="X79" i="10"/>
  <c r="AH79" i="10"/>
  <c r="X27" i="1"/>
  <c r="X30" i="1"/>
  <c r="X36" i="1" s="1"/>
  <c r="X57" i="16" s="1"/>
  <c r="X27" i="16" s="1"/>
  <c r="AB27" i="1"/>
  <c r="AB30" i="1"/>
  <c r="AB36" i="1" s="1"/>
  <c r="AB57" i="16" s="1"/>
  <c r="AB27" i="16" s="1"/>
  <c r="V27" i="1"/>
  <c r="V30" i="1"/>
  <c r="V36" i="1" s="1"/>
  <c r="V57" i="16" s="1"/>
  <c r="V27" i="16" s="1"/>
  <c r="S30" i="1"/>
  <c r="S36" i="1" s="1"/>
  <c r="S57" i="16" s="1"/>
  <c r="S27" i="16" s="1"/>
  <c r="S27" i="1"/>
  <c r="W27" i="1"/>
  <c r="W30" i="1"/>
  <c r="W36" i="1" s="1"/>
  <c r="W57" i="16" s="1"/>
  <c r="W27" i="16" s="1"/>
  <c r="W79" i="10"/>
  <c r="AB79" i="10"/>
  <c r="AQ79" i="10" s="1" a="1"/>
  <c r="AQ79" i="10" s="1"/>
  <c r="R97" i="5"/>
  <c r="R78" i="10" s="1"/>
  <c r="R21" i="1"/>
  <c r="Z27" i="1"/>
  <c r="Z30" i="1"/>
  <c r="Z36" i="1" s="1"/>
  <c r="Z57" i="16" s="1"/>
  <c r="Z27" i="16" s="1"/>
  <c r="T30" i="1"/>
  <c r="T36" i="1" s="1"/>
  <c r="T57" i="16" s="1"/>
  <c r="T27" i="16" s="1"/>
  <c r="T27" i="1"/>
  <c r="S79" i="10"/>
  <c r="AN79" i="10" s="1" a="1"/>
  <c r="AN79" i="10" s="1"/>
  <c r="AD37" i="1"/>
  <c r="AD49" i="1"/>
  <c r="AD60" i="16" s="1"/>
  <c r="AD58" i="16" s="1"/>
  <c r="AD29" i="16" s="1"/>
  <c r="Z79" i="10"/>
  <c r="AE76" i="10"/>
  <c r="AD17" i="10"/>
  <c r="AD76" i="16" s="1"/>
  <c r="T79" i="10"/>
  <c r="U21" i="11" s="1"/>
  <c r="U89" i="11" s="1"/>
  <c r="U90" i="11" s="1"/>
  <c r="AG21" i="1"/>
  <c r="AG97" i="5"/>
  <c r="AG78" i="10" s="1"/>
  <c r="AA27" i="1"/>
  <c r="AA30" i="1"/>
  <c r="AA36" i="1" s="1"/>
  <c r="AA57" i="16" s="1"/>
  <c r="AA27" i="16" s="1"/>
  <c r="U37" i="1"/>
  <c r="U49" i="1"/>
  <c r="U60" i="16" s="1"/>
  <c r="U58" i="16" s="1"/>
  <c r="U29" i="16" s="1"/>
  <c r="AF97" i="5"/>
  <c r="AF78" i="10" s="1"/>
  <c r="AF21" i="1"/>
  <c r="Q16" i="10"/>
  <c r="Q75" i="16" s="1"/>
  <c r="Q20" i="11"/>
  <c r="U17" i="10"/>
  <c r="U76" i="16" s="1"/>
  <c r="V76" i="10"/>
  <c r="AC20" i="11"/>
  <c r="AC84" i="11" s="1"/>
  <c r="AC86" i="11" s="1"/>
  <c r="AC50" i="11" s="1"/>
  <c r="AC16" i="10"/>
  <c r="AC75" i="16" s="1"/>
  <c r="V16" i="10"/>
  <c r="V20" i="11"/>
  <c r="V84" i="11" s="1"/>
  <c r="V86" i="11" s="1"/>
  <c r="V50" i="11" s="1"/>
  <c r="W20" i="11"/>
  <c r="W84" i="11" s="1"/>
  <c r="W86" i="11" s="1"/>
  <c r="W50" i="11" s="1"/>
  <c r="AE21" i="1"/>
  <c r="AE97" i="5"/>
  <c r="AE78" i="10" s="1"/>
  <c r="AA79" i="10"/>
  <c r="AW65" i="10" l="1"/>
  <c r="AK65" i="10"/>
  <c r="AQ65" i="10"/>
  <c r="AR65" i="10"/>
  <c r="AS65" i="10"/>
  <c r="AJ65" i="10"/>
  <c r="AR87" i="11" a="1"/>
  <c r="AR87" i="11" s="1"/>
  <c r="AO65" i="10"/>
  <c r="AN65" i="10"/>
  <c r="AV65" i="10"/>
  <c r="AP65" i="10"/>
  <c r="Q25" i="1"/>
  <c r="AM95" i="5" a="1"/>
  <c r="AM95" i="5" s="1"/>
  <c r="AJ95" i="5" a="1"/>
  <c r="AJ95" i="5" s="1"/>
  <c r="AS95" i="5" a="1"/>
  <c r="AS95" i="5" s="1"/>
  <c r="AV95" i="5" a="1"/>
  <c r="AV95" i="5" s="1"/>
  <c r="AU95" i="5" a="1"/>
  <c r="AU95" i="5" s="1"/>
  <c r="AQ95" i="5" a="1"/>
  <c r="AQ95" i="5" s="1"/>
  <c r="AO95" i="5" a="1"/>
  <c r="AO95" i="5" s="1"/>
  <c r="AK95" i="5" a="1"/>
  <c r="AK95" i="5" s="1"/>
  <c r="AP95" i="5" a="1"/>
  <c r="AP95" i="5" s="1"/>
  <c r="AR95" i="5" a="1"/>
  <c r="AR95" i="5" s="1"/>
  <c r="AW95" i="5" a="1"/>
  <c r="AW95" i="5" s="1"/>
  <c r="AL95" i="5" a="1"/>
  <c r="AL95" i="5" s="1"/>
  <c r="AN95" i="5" a="1"/>
  <c r="AN95" i="5" s="1"/>
  <c r="AS91" i="5" a="1"/>
  <c r="AS91" i="5" s="1"/>
  <c r="AQ91" i="5" a="1"/>
  <c r="AQ91" i="5" s="1"/>
  <c r="AL91" i="5" a="1"/>
  <c r="AL91" i="5" s="1"/>
  <c r="AV91" i="5" a="1"/>
  <c r="AV91" i="5" s="1"/>
  <c r="AO91" i="5" a="1"/>
  <c r="AO91" i="5" s="1"/>
  <c r="AR91" i="5" a="1"/>
  <c r="AR91" i="5" s="1"/>
  <c r="AU91" i="5" a="1"/>
  <c r="AU91" i="5" s="1"/>
  <c r="AP91" i="5" a="1"/>
  <c r="AP91" i="5" s="1"/>
  <c r="AN91" i="5" a="1"/>
  <c r="AN91" i="5" s="1"/>
  <c r="AM91" i="5" a="1"/>
  <c r="AM91" i="5" s="1"/>
  <c r="AJ91" i="5" a="1"/>
  <c r="AJ91" i="5" s="1"/>
  <c r="AW91" i="5" a="1"/>
  <c r="AW91" i="5" s="1"/>
  <c r="AK91" i="5" a="1"/>
  <c r="AK91" i="5" s="1"/>
  <c r="Q97" i="5"/>
  <c r="Q78" i="10" s="1"/>
  <c r="Q79" i="10" s="1"/>
  <c r="Q77" i="10" s="1"/>
  <c r="Q21" i="1"/>
  <c r="Q26" i="1"/>
  <c r="AO96" i="5" a="1"/>
  <c r="AO96" i="5" s="1"/>
  <c r="AN96" i="5" a="1"/>
  <c r="AN96" i="5" s="1"/>
  <c r="AM96" i="5" a="1"/>
  <c r="AM96" i="5" s="1"/>
  <c r="AP96" i="5" a="1"/>
  <c r="AP96" i="5" s="1"/>
  <c r="AS96" i="5" a="1"/>
  <c r="AS96" i="5" s="1"/>
  <c r="AV96" i="5" a="1"/>
  <c r="AV96" i="5" s="1"/>
  <c r="AL96" i="5" a="1"/>
  <c r="AL96" i="5" s="1"/>
  <c r="AU96" i="5" a="1"/>
  <c r="AU96" i="5" s="1"/>
  <c r="AR96" i="5" a="1"/>
  <c r="AR96" i="5" s="1"/>
  <c r="AJ96" i="5" a="1"/>
  <c r="AJ96" i="5" s="1"/>
  <c r="AK96" i="5" a="1"/>
  <c r="AK96" i="5" s="1"/>
  <c r="AQ96" i="5" a="1"/>
  <c r="AQ96" i="5" s="1"/>
  <c r="AW96" i="5" a="1"/>
  <c r="AW96" i="5" s="1"/>
  <c r="Q24" i="1"/>
  <c r="AN94" i="5" a="1"/>
  <c r="AN94" i="5" s="1"/>
  <c r="AW94" i="5" a="1"/>
  <c r="AW94" i="5" s="1"/>
  <c r="AJ94" i="5" a="1"/>
  <c r="AJ94" i="5" s="1"/>
  <c r="AQ94" i="5" a="1"/>
  <c r="AQ94" i="5" s="1"/>
  <c r="AP94" i="5" a="1"/>
  <c r="AP94" i="5" s="1"/>
  <c r="AL94" i="5" a="1"/>
  <c r="AL94" i="5" s="1"/>
  <c r="AK94" i="5" a="1"/>
  <c r="AK94" i="5" s="1"/>
  <c r="AM94" i="5" a="1"/>
  <c r="AM94" i="5" s="1"/>
  <c r="AS94" i="5" a="1"/>
  <c r="AS94" i="5" s="1"/>
  <c r="AU94" i="5" a="1"/>
  <c r="AU94" i="5" s="1"/>
  <c r="AV94" i="5" a="1"/>
  <c r="AV94" i="5" s="1"/>
  <c r="AO94" i="5" a="1"/>
  <c r="AO94" i="5" s="1"/>
  <c r="AR94" i="5" a="1"/>
  <c r="AR94" i="5" s="1"/>
  <c r="Q23" i="1"/>
  <c r="AU93" i="5" a="1"/>
  <c r="AU93" i="5" s="1"/>
  <c r="AN93" i="5" a="1"/>
  <c r="AN93" i="5" s="1"/>
  <c r="AS93" i="5" a="1"/>
  <c r="AS93" i="5" s="1"/>
  <c r="AO93" i="5" a="1"/>
  <c r="AO93" i="5" s="1"/>
  <c r="AM93" i="5" a="1"/>
  <c r="AM93" i="5" s="1"/>
  <c r="AQ93" i="5" a="1"/>
  <c r="AQ93" i="5" s="1"/>
  <c r="AR93" i="5" a="1"/>
  <c r="AR93" i="5" s="1"/>
  <c r="AV93" i="5" a="1"/>
  <c r="AV93" i="5" s="1"/>
  <c r="AK93" i="5" a="1"/>
  <c r="AK93" i="5" s="1"/>
  <c r="AP93" i="5" a="1"/>
  <c r="AP93" i="5" s="1"/>
  <c r="AJ93" i="5" a="1"/>
  <c r="AJ93" i="5" s="1"/>
  <c r="AL93" i="5" a="1"/>
  <c r="AL93" i="5" s="1"/>
  <c r="AW93" i="5" a="1"/>
  <c r="AW93" i="5" s="1"/>
  <c r="Q22" i="1"/>
  <c r="AQ92" i="5" a="1"/>
  <c r="AQ92" i="5" s="1"/>
  <c r="AM92" i="5" a="1"/>
  <c r="AM92" i="5" s="1"/>
  <c r="AR92" i="5" a="1"/>
  <c r="AR92" i="5" s="1"/>
  <c r="AV92" i="5" a="1"/>
  <c r="AV92" i="5" s="1"/>
  <c r="AP92" i="5" a="1"/>
  <c r="AP92" i="5" s="1"/>
  <c r="AO92" i="5" a="1"/>
  <c r="AO92" i="5" s="1"/>
  <c r="AJ92" i="5" a="1"/>
  <c r="AJ92" i="5" s="1"/>
  <c r="AS92" i="5" a="1"/>
  <c r="AS92" i="5" s="1"/>
  <c r="AK92" i="5" a="1"/>
  <c r="AK92" i="5" s="1"/>
  <c r="AL92" i="5" a="1"/>
  <c r="AL92" i="5" s="1"/>
  <c r="AN92" i="5" a="1"/>
  <c r="AN92" i="5" s="1"/>
  <c r="AW92" i="5" a="1"/>
  <c r="AW92" i="5" s="1"/>
  <c r="AU92" i="5" a="1"/>
  <c r="AU92" i="5" s="1"/>
  <c r="AJ56" i="16" a="1"/>
  <c r="AJ56" i="16" s="1"/>
  <c r="AJ16" i="16" s="1"/>
  <c r="AQ56" i="16" a="1"/>
  <c r="AQ56" i="16" s="1"/>
  <c r="AV56" i="16" a="1"/>
  <c r="AV56" i="16" s="1"/>
  <c r="AW56" i="16" a="1"/>
  <c r="AW56" i="16" s="1"/>
  <c r="AP56" i="16" a="1"/>
  <c r="AP56" i="16" s="1"/>
  <c r="AR56" i="16" a="1"/>
  <c r="AR56" i="16" s="1"/>
  <c r="AK56" i="16" a="1"/>
  <c r="AK56" i="16" s="1"/>
  <c r="AK16" i="16" s="1"/>
  <c r="AM56" i="16" a="1"/>
  <c r="AM56" i="16" s="1"/>
  <c r="AM16" i="16" s="1"/>
  <c r="AL56" i="16" a="1"/>
  <c r="AL56" i="16" s="1"/>
  <c r="AL16" i="16" s="1"/>
  <c r="AN56" i="16" a="1"/>
  <c r="AN56" i="16" s="1"/>
  <c r="AO56" i="16" a="1"/>
  <c r="AO56" i="16" s="1"/>
  <c r="AS56" i="16" a="1"/>
  <c r="AS56" i="16" s="1"/>
  <c r="AU56" i="16" a="1"/>
  <c r="AU56" i="16" s="1"/>
  <c r="AU16" i="16" s="1"/>
  <c r="AR78" i="10" a="1"/>
  <c r="AR78" i="10" s="1"/>
  <c r="AK78" i="10" a="1"/>
  <c r="AK78" i="10" s="1"/>
  <c r="AK81" i="10" s="1"/>
  <c r="AK217" i="10" s="1"/>
  <c r="AQ78" i="10" a="1"/>
  <c r="AQ78" i="10" s="1"/>
  <c r="AQ81" i="10" s="1"/>
  <c r="AQ217" i="10" s="1"/>
  <c r="Q58" i="10"/>
  <c r="AL59" i="10" a="1"/>
  <c r="AL59" i="10" s="1"/>
  <c r="AM59" i="10" a="1"/>
  <c r="AM59" i="10" s="1"/>
  <c r="AN59" i="10" a="1"/>
  <c r="AN59" i="10" s="1"/>
  <c r="AO59" i="10" a="1"/>
  <c r="AO59" i="10" s="1"/>
  <c r="AP59" i="10" a="1"/>
  <c r="AP59" i="10" s="1"/>
  <c r="AQ59" i="10" a="1"/>
  <c r="AQ59" i="10" s="1"/>
  <c r="AK59" i="10" a="1"/>
  <c r="AK59" i="10" s="1"/>
  <c r="AW59" i="10" a="1"/>
  <c r="AW59" i="10" s="1"/>
  <c r="AV59" i="10" a="1"/>
  <c r="AV59" i="10" s="1"/>
  <c r="AS59" i="10" a="1"/>
  <c r="AS59" i="10" s="1"/>
  <c r="AJ59" i="10" a="1"/>
  <c r="AJ59" i="10" s="1"/>
  <c r="AU59" i="10" a="1"/>
  <c r="AU59" i="10" s="1"/>
  <c r="AR59" i="10" a="1"/>
  <c r="AR59" i="10" s="1"/>
  <c r="AV78" i="10" a="1"/>
  <c r="AV78" i="10" s="1"/>
  <c r="AL78" i="10" a="1"/>
  <c r="AL78" i="10" s="1"/>
  <c r="AL81" i="10" s="1"/>
  <c r="AL217" i="10" s="1"/>
  <c r="AU78" i="10" a="1"/>
  <c r="AU78" i="10" s="1"/>
  <c r="AU81" i="10" s="1"/>
  <c r="AU217" i="10" s="1"/>
  <c r="AJ78" i="10" a="1"/>
  <c r="AJ78" i="10" s="1"/>
  <c r="AJ81" i="10" s="1"/>
  <c r="AJ217" i="10" s="1"/>
  <c r="V75" i="16"/>
  <c r="AO16" i="10" a="1"/>
  <c r="AO16" i="10" s="1"/>
  <c r="AV16" i="10"/>
  <c r="Q133" i="10"/>
  <c r="Q136" i="10" s="1"/>
  <c r="AN78" i="10" a="1"/>
  <c r="AN78" i="10" s="1"/>
  <c r="AN81" i="10" s="1"/>
  <c r="AN217" i="10" s="1"/>
  <c r="AP78" i="10" a="1"/>
  <c r="AP78" i="10" s="1"/>
  <c r="AS75" i="16" a="1"/>
  <c r="AS75" i="16" s="1"/>
  <c r="AS15" i="16" s="1"/>
  <c r="AW75" i="16"/>
  <c r="AW15" i="16" s="1"/>
  <c r="AS78" i="10" a="1"/>
  <c r="AS78" i="10" s="1"/>
  <c r="AO78" i="10" a="1"/>
  <c r="AO78" i="10" s="1"/>
  <c r="AO81" i="10" s="1"/>
  <c r="AO217" i="10" s="1"/>
  <c r="AV79" i="10"/>
  <c r="AW79" i="10"/>
  <c r="AS79" i="10" a="1"/>
  <c r="AS79" i="10" s="1"/>
  <c r="AM78" i="10" a="1"/>
  <c r="AM78" i="10" s="1"/>
  <c r="AM81" i="10" s="1"/>
  <c r="AM217" i="10" s="1"/>
  <c r="AW78" i="10" a="1"/>
  <c r="AW78" i="10" s="1"/>
  <c r="Q84" i="11"/>
  <c r="AL20" i="11" a="1"/>
  <c r="AL20" i="11" s="1"/>
  <c r="AK20" i="11" a="1"/>
  <c r="AK20" i="11" s="1"/>
  <c r="AU20" i="11" a="1"/>
  <c r="AU20" i="11" s="1"/>
  <c r="AR20" i="11" a="1"/>
  <c r="AR20" i="11" s="1"/>
  <c r="AJ20" i="11" a="1"/>
  <c r="AJ20" i="11" s="1"/>
  <c r="AM20" i="11" a="1"/>
  <c r="AM20" i="11" s="1"/>
  <c r="AQ20" i="11" a="1"/>
  <c r="AQ20" i="11" s="1"/>
  <c r="AS20" i="11" a="1"/>
  <c r="AS20" i="11" s="1"/>
  <c r="AO20" i="11" a="1"/>
  <c r="AO20" i="11" s="1"/>
  <c r="AV20" i="11" a="1"/>
  <c r="AV20" i="11" s="1"/>
  <c r="AW20" i="11" a="1"/>
  <c r="AW20" i="11" s="1"/>
  <c r="AN20" i="11" a="1"/>
  <c r="AN20" i="11" s="1"/>
  <c r="AP20" i="11" a="1"/>
  <c r="AP20" i="11" s="1"/>
  <c r="AL21" i="1" a="1"/>
  <c r="AL21" i="1" s="1"/>
  <c r="AL30" i="1" s="1"/>
  <c r="AO21" i="1" a="1"/>
  <c r="AO21" i="1" s="1"/>
  <c r="AO30" i="1" s="1"/>
  <c r="AQ21" i="1" a="1"/>
  <c r="AQ21" i="1" s="1"/>
  <c r="AW21" i="1" a="1"/>
  <c r="AW21" i="1" s="1"/>
  <c r="AS21" i="1" a="1"/>
  <c r="AS21" i="1" s="1"/>
  <c r="AR21" i="1" a="1"/>
  <c r="AR21" i="1" s="1"/>
  <c r="AU21" i="1" a="1"/>
  <c r="AU21" i="1" s="1"/>
  <c r="AN21" i="1" a="1"/>
  <c r="AN21" i="1" s="1"/>
  <c r="AK21" i="1" a="1"/>
  <c r="AK21" i="1" s="1"/>
  <c r="AV21" i="1" a="1"/>
  <c r="AV21" i="1" s="1"/>
  <c r="AM21" i="1" a="1"/>
  <c r="AM21" i="1" s="1"/>
  <c r="U28" i="16"/>
  <c r="U62" i="16"/>
  <c r="AJ21" i="1" a="1"/>
  <c r="AJ21" i="1" s="1"/>
  <c r="AP21" i="1" a="1"/>
  <c r="AP21" i="1" s="1"/>
  <c r="AD28" i="16"/>
  <c r="AD62" i="16"/>
  <c r="U60" i="1"/>
  <c r="U50" i="1"/>
  <c r="U42" i="8"/>
  <c r="U55" i="8" s="1"/>
  <c r="S37" i="1"/>
  <c r="S49" i="1"/>
  <c r="S60" i="16" s="1"/>
  <c r="S58" i="16" s="1"/>
  <c r="S29" i="16" s="1"/>
  <c r="AE79" i="10"/>
  <c r="AE77" i="10" s="1"/>
  <c r="AE133" i="10" s="1"/>
  <c r="AD68" i="16" s="1"/>
  <c r="T37" i="1"/>
  <c r="T49" i="1"/>
  <c r="T60" i="16" s="1"/>
  <c r="T58" i="16" s="1"/>
  <c r="T29" i="16" s="1"/>
  <c r="V17" i="10"/>
  <c r="AV17" i="10" s="1"/>
  <c r="W76" i="10"/>
  <c r="W77" i="10" s="1"/>
  <c r="W133" i="10" s="1"/>
  <c r="V68" i="16" s="1"/>
  <c r="V21" i="11"/>
  <c r="V89" i="11" s="1"/>
  <c r="V90" i="11" s="1"/>
  <c r="AC27" i="1"/>
  <c r="AC30" i="1"/>
  <c r="AC36" i="1" s="1"/>
  <c r="AC57" i="16" s="1"/>
  <c r="AC27" i="16" s="1"/>
  <c r="AE27" i="1"/>
  <c r="AE30" i="1"/>
  <c r="AE36" i="1" s="1"/>
  <c r="AE57" i="16" s="1"/>
  <c r="AE27" i="16" s="1"/>
  <c r="AG79" i="10"/>
  <c r="AH21" i="11" s="1"/>
  <c r="AH89" i="11" s="1"/>
  <c r="AH90" i="11" s="1"/>
  <c r="AA76" i="10"/>
  <c r="AA77" i="10" s="1"/>
  <c r="AA133" i="10" s="1"/>
  <c r="Z68" i="16" s="1"/>
  <c r="Z17" i="10"/>
  <c r="Z76" i="16" s="1"/>
  <c r="AB21" i="11"/>
  <c r="AB89" i="11" s="1"/>
  <c r="AB90" i="11" s="1"/>
  <c r="AB17" i="10"/>
  <c r="AC76" i="10"/>
  <c r="AB49" i="1"/>
  <c r="AB60" i="16" s="1"/>
  <c r="AB58" i="16" s="1"/>
  <c r="AB29" i="16" s="1"/>
  <c r="AB37" i="1"/>
  <c r="AH17" i="10"/>
  <c r="AW17" i="10" s="1"/>
  <c r="V77" i="10"/>
  <c r="V133" i="10" s="1"/>
  <c r="U68" i="16" s="1"/>
  <c r="AC79" i="10"/>
  <c r="T17" i="10"/>
  <c r="T76" i="16" s="1"/>
  <c r="U76" i="10"/>
  <c r="U77" i="10" s="1"/>
  <c r="U133" i="10" s="1"/>
  <c r="T68" i="16" s="1"/>
  <c r="T21" i="11"/>
  <c r="T89" i="11" s="1"/>
  <c r="T90" i="11" s="1"/>
  <c r="R27" i="1"/>
  <c r="R30" i="1"/>
  <c r="R36" i="1" s="1"/>
  <c r="W21" i="11"/>
  <c r="W89" i="11" s="1"/>
  <c r="W90" i="11" s="1"/>
  <c r="X76" i="10"/>
  <c r="X77" i="10" s="1"/>
  <c r="X133" i="10" s="1"/>
  <c r="W68" i="16" s="1"/>
  <c r="W17" i="10"/>
  <c r="W76" i="16" s="1"/>
  <c r="Y27" i="1"/>
  <c r="Y30" i="1"/>
  <c r="Y36" i="1" s="1"/>
  <c r="AA17" i="10"/>
  <c r="AA76" i="16" s="1"/>
  <c r="AB76" i="10"/>
  <c r="AB77" i="10" s="1"/>
  <c r="AB133" i="10" s="1"/>
  <c r="AA68" i="16" s="1"/>
  <c r="AA21" i="11"/>
  <c r="AA89" i="11" s="1"/>
  <c r="AA90" i="11" s="1"/>
  <c r="AA37" i="1"/>
  <c r="AA49" i="1"/>
  <c r="AA60" i="16" s="1"/>
  <c r="AA58" i="16" s="1"/>
  <c r="AA29" i="16" s="1"/>
  <c r="R79" i="10"/>
  <c r="S21" i="11" s="1"/>
  <c r="S89" i="11" s="1"/>
  <c r="S90" i="11" s="1"/>
  <c r="V37" i="1"/>
  <c r="V49" i="1"/>
  <c r="V60" i="16" s="1"/>
  <c r="V58" i="16" s="1"/>
  <c r="V29" i="16" s="1"/>
  <c r="Q17" i="10"/>
  <c r="Q76" i="16" s="1"/>
  <c r="Q21" i="11"/>
  <c r="R76" i="10"/>
  <c r="Y79" i="10"/>
  <c r="AP79" i="10" s="1" a="1"/>
  <c r="AP79" i="10" s="1"/>
  <c r="AG27" i="1"/>
  <c r="AG30" i="1"/>
  <c r="AG36" i="1" s="1"/>
  <c r="AG57" i="16" s="1"/>
  <c r="AG27" i="16" s="1"/>
  <c r="Z37" i="1"/>
  <c r="Z49" i="1"/>
  <c r="Z60" i="16" s="1"/>
  <c r="Z58" i="16" s="1"/>
  <c r="Z29" i="16" s="1"/>
  <c r="AH37" i="1"/>
  <c r="AH49" i="1"/>
  <c r="AH60" i="16" s="1"/>
  <c r="AH58" i="16" s="1"/>
  <c r="AH29" i="16" s="1"/>
  <c r="AD50" i="1"/>
  <c r="AD60" i="1"/>
  <c r="AD175" i="10" s="1"/>
  <c r="AD42" i="8"/>
  <c r="AD55" i="8" s="1"/>
  <c r="AF27" i="1"/>
  <c r="AF30" i="1"/>
  <c r="AF36" i="1" s="1"/>
  <c r="AF57" i="16" s="1"/>
  <c r="AF27" i="16" s="1"/>
  <c r="T76" i="10"/>
  <c r="T77" i="10" s="1"/>
  <c r="T133" i="10" s="1"/>
  <c r="S68" i="16" s="1"/>
  <c r="S17" i="10"/>
  <c r="X37" i="1"/>
  <c r="X49" i="1"/>
  <c r="X60" i="16" s="1"/>
  <c r="X58" i="16" s="1"/>
  <c r="X29" i="16" s="1"/>
  <c r="Y76" i="10"/>
  <c r="X17" i="10"/>
  <c r="X76" i="16" s="1"/>
  <c r="X21" i="11"/>
  <c r="X89" i="11" s="1"/>
  <c r="X90" i="11" s="1"/>
  <c r="AF79" i="10"/>
  <c r="W37" i="1"/>
  <c r="W49" i="1"/>
  <c r="W60" i="16" s="1"/>
  <c r="W58" i="16" s="1"/>
  <c r="W29" i="16" s="1"/>
  <c r="AP81" i="10" l="1"/>
  <c r="AP217" i="10" s="1"/>
  <c r="Q31" i="1"/>
  <c r="AO22" i="1" a="1"/>
  <c r="AO22" i="1" s="1"/>
  <c r="AO31" i="1" s="1"/>
  <c r="AW22" i="1" a="1"/>
  <c r="AW22" i="1" s="1"/>
  <c r="AW31" i="1" s="1"/>
  <c r="AQ22" i="1" a="1"/>
  <c r="AQ22" i="1" s="1"/>
  <c r="AQ31" i="1" s="1"/>
  <c r="AV22" i="1" a="1"/>
  <c r="AV22" i="1" s="1"/>
  <c r="AV31" i="1" s="1"/>
  <c r="AM22" i="1" a="1"/>
  <c r="AM22" i="1" s="1"/>
  <c r="AM31" i="1" s="1"/>
  <c r="AN22" i="1" a="1"/>
  <c r="AN22" i="1" s="1"/>
  <c r="AN31" i="1" s="1"/>
  <c r="AL22" i="1" a="1"/>
  <c r="AL22" i="1" s="1"/>
  <c r="AL31" i="1" s="1"/>
  <c r="AR22" i="1" a="1"/>
  <c r="AR22" i="1" s="1"/>
  <c r="AR31" i="1" s="1"/>
  <c r="AJ22" i="1" a="1"/>
  <c r="AJ22" i="1" s="1"/>
  <c r="AJ31" i="1" s="1"/>
  <c r="AU22" i="1" a="1"/>
  <c r="AU22" i="1" s="1"/>
  <c r="AU31" i="1" s="1"/>
  <c r="AP22" i="1" a="1"/>
  <c r="AP22" i="1" s="1"/>
  <c r="AP31" i="1" s="1"/>
  <c r="AS22" i="1" a="1"/>
  <c r="AS22" i="1" s="1"/>
  <c r="AS31" i="1" s="1"/>
  <c r="AK22" i="1" a="1"/>
  <c r="AK22" i="1" s="1"/>
  <c r="AK31" i="1" s="1"/>
  <c r="AM97" i="5"/>
  <c r="AM85" i="5" s="1"/>
  <c r="AQ97" i="5"/>
  <c r="AQ85" i="5" s="1"/>
  <c r="AN97" i="5"/>
  <c r="AN89" i="5" s="1"/>
  <c r="AS97" i="5"/>
  <c r="AS87" i="5" s="1"/>
  <c r="Q35" i="1"/>
  <c r="AU26" i="1" a="1"/>
  <c r="AU26" i="1" s="1"/>
  <c r="AU35" i="1" s="1"/>
  <c r="AK26" i="1" a="1"/>
  <c r="AK26" i="1" s="1"/>
  <c r="AK35" i="1" s="1"/>
  <c r="AL26" i="1" a="1"/>
  <c r="AL26" i="1" s="1"/>
  <c r="AL35" i="1" s="1"/>
  <c r="AW26" i="1" a="1"/>
  <c r="AW26" i="1" s="1"/>
  <c r="AW35" i="1" s="1"/>
  <c r="AJ26" i="1" a="1"/>
  <c r="AJ26" i="1" s="1"/>
  <c r="AJ35" i="1" s="1"/>
  <c r="AM26" i="1" a="1"/>
  <c r="AM26" i="1" s="1"/>
  <c r="AM35" i="1" s="1"/>
  <c r="AR26" i="1" a="1"/>
  <c r="AR26" i="1" s="1"/>
  <c r="AR35" i="1" s="1"/>
  <c r="AP26" i="1" a="1"/>
  <c r="AP26" i="1" s="1"/>
  <c r="AP35" i="1" s="1"/>
  <c r="AN26" i="1" a="1"/>
  <c r="AN26" i="1" s="1"/>
  <c r="AN35" i="1" s="1"/>
  <c r="AQ26" i="1" a="1"/>
  <c r="AQ26" i="1" s="1"/>
  <c r="AQ35" i="1" s="1"/>
  <c r="AO26" i="1" a="1"/>
  <c r="AO26" i="1" s="1"/>
  <c r="AO35" i="1" s="1"/>
  <c r="AS26" i="1" a="1"/>
  <c r="AS26" i="1" s="1"/>
  <c r="AS35" i="1" s="1"/>
  <c r="AV26" i="1" a="1"/>
  <c r="AV26" i="1" s="1"/>
  <c r="AV35" i="1" s="1"/>
  <c r="AP97" i="5"/>
  <c r="AP88" i="5" s="1"/>
  <c r="Q27" i="1"/>
  <c r="Q30" i="1"/>
  <c r="AU97" i="5"/>
  <c r="AU86" i="5" s="1"/>
  <c r="Q33" i="1"/>
  <c r="AO24" i="1" a="1"/>
  <c r="AO24" i="1" s="1"/>
  <c r="AO33" i="1" s="1"/>
  <c r="AS24" i="1" a="1"/>
  <c r="AS24" i="1" s="1"/>
  <c r="AS33" i="1" s="1"/>
  <c r="AJ24" i="1" a="1"/>
  <c r="AJ24" i="1" s="1"/>
  <c r="AJ33" i="1" s="1"/>
  <c r="AM24" i="1" a="1"/>
  <c r="AM24" i="1" s="1"/>
  <c r="AM33" i="1" s="1"/>
  <c r="AN24" i="1" a="1"/>
  <c r="AN24" i="1" s="1"/>
  <c r="AN33" i="1" s="1"/>
  <c r="AV24" i="1" a="1"/>
  <c r="AV24" i="1" s="1"/>
  <c r="AV33" i="1" s="1"/>
  <c r="AL24" i="1" a="1"/>
  <c r="AL24" i="1" s="1"/>
  <c r="AL33" i="1" s="1"/>
  <c r="AK24" i="1" a="1"/>
  <c r="AK24" i="1" s="1"/>
  <c r="AK33" i="1" s="1"/>
  <c r="AW24" i="1" a="1"/>
  <c r="AW24" i="1" s="1"/>
  <c r="AW33" i="1" s="1"/>
  <c r="AQ24" i="1" a="1"/>
  <c r="AQ24" i="1" s="1"/>
  <c r="AQ33" i="1" s="1"/>
  <c r="AP24" i="1" a="1"/>
  <c r="AP24" i="1" s="1"/>
  <c r="AP33" i="1" s="1"/>
  <c r="AR24" i="1" a="1"/>
  <c r="AR24" i="1" s="1"/>
  <c r="AR33" i="1" s="1"/>
  <c r="AU24" i="1" a="1"/>
  <c r="AU24" i="1" s="1"/>
  <c r="AU33" i="1" s="1"/>
  <c r="AR97" i="5"/>
  <c r="AR86" i="5" s="1"/>
  <c r="AK97" i="5"/>
  <c r="AK85" i="5" s="1"/>
  <c r="AO97" i="5"/>
  <c r="AO88" i="5" s="1"/>
  <c r="Q32" i="1"/>
  <c r="AN23" i="1" a="1"/>
  <c r="AN23" i="1" s="1"/>
  <c r="AN32" i="1" s="1"/>
  <c r="AQ23" i="1" a="1"/>
  <c r="AQ23" i="1" s="1"/>
  <c r="AQ32" i="1" s="1"/>
  <c r="AR23" i="1" a="1"/>
  <c r="AR23" i="1" s="1"/>
  <c r="AR32" i="1" s="1"/>
  <c r="AK23" i="1" a="1"/>
  <c r="AK23" i="1" s="1"/>
  <c r="AK32" i="1" s="1"/>
  <c r="AP23" i="1" a="1"/>
  <c r="AP23" i="1" s="1"/>
  <c r="AP32" i="1" s="1"/>
  <c r="AO23" i="1" a="1"/>
  <c r="AO23" i="1" s="1"/>
  <c r="AO32" i="1" s="1"/>
  <c r="AM23" i="1" a="1"/>
  <c r="AM23" i="1" s="1"/>
  <c r="AM32" i="1" s="1"/>
  <c r="AU23" i="1" a="1"/>
  <c r="AU23" i="1" s="1"/>
  <c r="AU32" i="1" s="1"/>
  <c r="AW23" i="1" a="1"/>
  <c r="AW23" i="1" s="1"/>
  <c r="AW32" i="1" s="1"/>
  <c r="AJ23" i="1" a="1"/>
  <c r="AJ23" i="1" s="1"/>
  <c r="AJ32" i="1" s="1"/>
  <c r="AV23" i="1" a="1"/>
  <c r="AV23" i="1" s="1"/>
  <c r="AV32" i="1" s="1"/>
  <c r="AL23" i="1" a="1"/>
  <c r="AL23" i="1" s="1"/>
  <c r="AL32" i="1" s="1"/>
  <c r="AS23" i="1" a="1"/>
  <c r="AS23" i="1" s="1"/>
  <c r="AS32" i="1" s="1"/>
  <c r="AW97" i="5"/>
  <c r="AW84" i="5" s="1"/>
  <c r="AV97" i="5"/>
  <c r="AV86" i="5" s="1"/>
  <c r="AJ97" i="5"/>
  <c r="AJ84" i="5" s="1"/>
  <c r="AL97" i="5"/>
  <c r="AL86" i="5" s="1"/>
  <c r="Q34" i="1"/>
  <c r="AP25" i="1" a="1"/>
  <c r="AP25" i="1" s="1"/>
  <c r="AP34" i="1" s="1"/>
  <c r="AL25" i="1" a="1"/>
  <c r="AL25" i="1" s="1"/>
  <c r="AL34" i="1" s="1"/>
  <c r="AV25" i="1" a="1"/>
  <c r="AV25" i="1" s="1"/>
  <c r="AV34" i="1" s="1"/>
  <c r="AR25" i="1" a="1"/>
  <c r="AR25" i="1" s="1"/>
  <c r="AR34" i="1" s="1"/>
  <c r="AU25" i="1" a="1"/>
  <c r="AU25" i="1" s="1"/>
  <c r="AU34" i="1" s="1"/>
  <c r="AS25" i="1" a="1"/>
  <c r="AS25" i="1" s="1"/>
  <c r="AS34" i="1" s="1"/>
  <c r="AN25" i="1" a="1"/>
  <c r="AN25" i="1" s="1"/>
  <c r="AN34" i="1" s="1"/>
  <c r="AK25" i="1" a="1"/>
  <c r="AK25" i="1" s="1"/>
  <c r="AK34" i="1" s="1"/>
  <c r="AM25" i="1" a="1"/>
  <c r="AM25" i="1" s="1"/>
  <c r="AM34" i="1" s="1"/>
  <c r="AW25" i="1" a="1"/>
  <c r="AW25" i="1" s="1"/>
  <c r="AW34" i="1" s="1"/>
  <c r="AJ25" i="1" a="1"/>
  <c r="AJ25" i="1" s="1"/>
  <c r="AJ34" i="1" s="1"/>
  <c r="AO25" i="1" a="1"/>
  <c r="AO25" i="1" s="1"/>
  <c r="AO34" i="1" s="1"/>
  <c r="AQ25" i="1" a="1"/>
  <c r="AQ25" i="1" s="1"/>
  <c r="AQ34" i="1" s="1"/>
  <c r="AS81" i="10"/>
  <c r="AS217" i="10" s="1"/>
  <c r="AW81" i="10"/>
  <c r="AW217" i="10" s="1"/>
  <c r="AV81" i="10"/>
  <c r="AV217" i="10" s="1"/>
  <c r="AC77" i="10"/>
  <c r="AC133" i="10" s="1"/>
  <c r="AB68" i="16" s="1"/>
  <c r="P68" i="16"/>
  <c r="AR79" i="10" a="1"/>
  <c r="AR79" i="10" s="1"/>
  <c r="AR81" i="10" s="1"/>
  <c r="AR217" i="10" s="1"/>
  <c r="AO75" i="16" a="1"/>
  <c r="AO75" i="16" s="1"/>
  <c r="AO15" i="16" s="1"/>
  <c r="AV75" i="16"/>
  <c r="AV15" i="16" s="1"/>
  <c r="AM58" i="10" a="1"/>
  <c r="AM58" i="10" s="1"/>
  <c r="AM56" i="10" s="1"/>
  <c r="AJ58" i="10" a="1"/>
  <c r="AJ58" i="10" s="1"/>
  <c r="AJ56" i="10" s="1"/>
  <c r="AN58" i="10" a="1"/>
  <c r="AN58" i="10" s="1"/>
  <c r="AN56" i="10" s="1"/>
  <c r="AK58" i="10" a="1"/>
  <c r="AK58" i="10" s="1"/>
  <c r="AK56" i="10" s="1"/>
  <c r="AW58" i="10" a="1"/>
  <c r="AW58" i="10" s="1"/>
  <c r="AW56" i="10" s="1"/>
  <c r="AP58" i="10" a="1"/>
  <c r="AP58" i="10" s="1"/>
  <c r="AP56" i="10" s="1"/>
  <c r="AQ58" i="10" a="1"/>
  <c r="AQ58" i="10" s="1"/>
  <c r="AQ56" i="10" s="1"/>
  <c r="AU58" i="10" a="1"/>
  <c r="AU58" i="10" s="1"/>
  <c r="AU56" i="10" s="1"/>
  <c r="AL58" i="10" a="1"/>
  <c r="AL58" i="10" s="1"/>
  <c r="AL56" i="10" s="1"/>
  <c r="AS58" i="10" a="1"/>
  <c r="AS58" i="10" s="1"/>
  <c r="AS56" i="10" s="1"/>
  <c r="AV58" i="10" a="1"/>
  <c r="AV58" i="10" s="1"/>
  <c r="AV56" i="10" s="1"/>
  <c r="AO58" i="10" a="1"/>
  <c r="AO58" i="10" s="1"/>
  <c r="AO56" i="10" s="1"/>
  <c r="AR58" i="10" a="1"/>
  <c r="AR58" i="10" s="1"/>
  <c r="AR56" i="10" s="1"/>
  <c r="Q86" i="11"/>
  <c r="Q50" i="11" s="1"/>
  <c r="AU84" i="11" a="1"/>
  <c r="AU84" i="11" s="1"/>
  <c r="AU86" i="11" s="1"/>
  <c r="AM84" i="11" a="1"/>
  <c r="AM84" i="11" s="1"/>
  <c r="AM86" i="11" s="1"/>
  <c r="AJ84" i="11" a="1"/>
  <c r="AJ84" i="11" s="1"/>
  <c r="AJ86" i="11" s="1"/>
  <c r="AV84" i="11" a="1"/>
  <c r="AV84" i="11" s="1"/>
  <c r="AV86" i="11" s="1"/>
  <c r="AO84" i="11" a="1"/>
  <c r="AO84" i="11" s="1"/>
  <c r="AO86" i="11" s="1"/>
  <c r="AW84" i="11" a="1"/>
  <c r="AW84" i="11" s="1"/>
  <c r="AW86" i="11" s="1"/>
  <c r="AR84" i="11" a="1"/>
  <c r="AR84" i="11" s="1"/>
  <c r="AR86" i="11" s="1"/>
  <c r="AN84" i="11" a="1"/>
  <c r="AN84" i="11" s="1"/>
  <c r="AN86" i="11" s="1"/>
  <c r="AP84" i="11" a="1"/>
  <c r="AP84" i="11" s="1"/>
  <c r="AP86" i="11" s="1"/>
  <c r="AL84" i="11" a="1"/>
  <c r="AL84" i="11" s="1"/>
  <c r="AL86" i="11" s="1"/>
  <c r="AQ84" i="11" a="1"/>
  <c r="AQ84" i="11" s="1"/>
  <c r="AQ86" i="11" s="1"/>
  <c r="AS84" i="11" a="1"/>
  <c r="AS84" i="11" s="1"/>
  <c r="AS86" i="11" s="1"/>
  <c r="AK84" i="11" a="1"/>
  <c r="AK84" i="11" s="1"/>
  <c r="AK86" i="11" s="1"/>
  <c r="AJ30" i="1"/>
  <c r="AV30" i="1"/>
  <c r="AU30" i="1"/>
  <c r="AS30" i="1"/>
  <c r="AN30" i="1"/>
  <c r="Y77" i="10"/>
  <c r="Y133" i="10" s="1"/>
  <c r="X68" i="16" s="1"/>
  <c r="AR30" i="1"/>
  <c r="AW30" i="1"/>
  <c r="AQ30" i="1"/>
  <c r="AP30" i="1"/>
  <c r="AC63" i="1"/>
  <c r="R57" i="16"/>
  <c r="V76" i="16"/>
  <c r="AO17" i="10" a="1"/>
  <c r="AO17" i="10" s="1"/>
  <c r="AM30" i="1"/>
  <c r="AB76" i="16"/>
  <c r="AQ76" i="16" s="1" a="1"/>
  <c r="AQ76" i="16" s="1"/>
  <c r="AQ16" i="16" s="1"/>
  <c r="AQ17" i="10" a="1"/>
  <c r="AQ17" i="10" s="1"/>
  <c r="S28" i="16"/>
  <c r="S62" i="16"/>
  <c r="AA28" i="16"/>
  <c r="AA62" i="16"/>
  <c r="AH28" i="16"/>
  <c r="AH62" i="16"/>
  <c r="Z28" i="16"/>
  <c r="Z62" i="16"/>
  <c r="V62" i="16"/>
  <c r="V28" i="16"/>
  <c r="AH76" i="16"/>
  <c r="AS17" i="10" a="1"/>
  <c r="AS17" i="10" s="1"/>
  <c r="T28" i="16"/>
  <c r="T62" i="16"/>
  <c r="X62" i="16"/>
  <c r="X28" i="16"/>
  <c r="W62" i="16"/>
  <c r="W28" i="16"/>
  <c r="S76" i="16"/>
  <c r="AN76" i="16" s="1" a="1"/>
  <c r="AN76" i="16" s="1"/>
  <c r="AN16" i="16" s="1"/>
  <c r="AN17" i="10" a="1"/>
  <c r="AN17" i="10" s="1"/>
  <c r="Q89" i="11"/>
  <c r="AH63" i="1"/>
  <c r="Y57" i="16"/>
  <c r="Y27" i="16" s="1"/>
  <c r="AB28" i="16"/>
  <c r="AB62" i="16"/>
  <c r="AK30" i="1"/>
  <c r="AG63" i="1"/>
  <c r="U175" i="10"/>
  <c r="AE63" i="1"/>
  <c r="AF63" i="1"/>
  <c r="AD63" i="1"/>
  <c r="AA136" i="10"/>
  <c r="S76" i="10"/>
  <c r="S77" i="10" s="1"/>
  <c r="S133" i="10" s="1"/>
  <c r="R68" i="16" s="1"/>
  <c r="R17" i="10"/>
  <c r="R76" i="16" s="1"/>
  <c r="R21" i="11"/>
  <c r="R89" i="11" s="1"/>
  <c r="R90" i="11" s="1"/>
  <c r="AB42" i="8"/>
  <c r="AB55" i="8" s="1"/>
  <c r="AB60" i="1"/>
  <c r="AB175" i="10" s="1"/>
  <c r="AB50" i="1"/>
  <c r="T42" i="8"/>
  <c r="T55" i="8" s="1"/>
  <c r="T60" i="1"/>
  <c r="T50" i="1"/>
  <c r="AF21" i="11"/>
  <c r="AF89" i="11" s="1"/>
  <c r="AF90" i="11" s="1"/>
  <c r="AF17" i="10"/>
  <c r="AF76" i="16" s="1"/>
  <c r="AG76" i="10"/>
  <c r="AG77" i="10" s="1"/>
  <c r="AG133" i="10" s="1"/>
  <c r="AF68" i="16" s="1"/>
  <c r="AA42" i="8"/>
  <c r="AA55" i="8" s="1"/>
  <c r="AA50" i="1"/>
  <c r="AA60" i="1"/>
  <c r="AA175" i="10" s="1"/>
  <c r="X136" i="10"/>
  <c r="AE37" i="1"/>
  <c r="AE49" i="1"/>
  <c r="Y17" i="10"/>
  <c r="Y21" i="11"/>
  <c r="Y89" i="11" s="1"/>
  <c r="Y90" i="11" s="1"/>
  <c r="Z76" i="10"/>
  <c r="Z77" i="10" s="1"/>
  <c r="Z133" i="10" s="1"/>
  <c r="Y68" i="16" s="1"/>
  <c r="T136" i="10"/>
  <c r="R49" i="1"/>
  <c r="R37" i="1"/>
  <c r="AE136" i="10"/>
  <c r="AB136" i="10"/>
  <c r="AQ136" i="10" s="1" a="1"/>
  <c r="AQ136" i="10" s="1"/>
  <c r="V136" i="10"/>
  <c r="AO136" i="10" s="1" a="1"/>
  <c r="AO136" i="10" s="1"/>
  <c r="Z21" i="11"/>
  <c r="Z89" i="11" s="1"/>
  <c r="Z90" i="11" s="1"/>
  <c r="AF76" i="10"/>
  <c r="AF77" i="10" s="1"/>
  <c r="AF133" i="10" s="1"/>
  <c r="AE68" i="16" s="1"/>
  <c r="AE17" i="10"/>
  <c r="AE21" i="11"/>
  <c r="AE89" i="11" s="1"/>
  <c r="AE90" i="11" s="1"/>
  <c r="AC136" i="10"/>
  <c r="AC21" i="11"/>
  <c r="AC89" i="11" s="1"/>
  <c r="AC90" i="11" s="1"/>
  <c r="AC17" i="10"/>
  <c r="AC76" i="16" s="1"/>
  <c r="AD76" i="10"/>
  <c r="AD77" i="10" s="1"/>
  <c r="AD133" i="10" s="1"/>
  <c r="AC68" i="16" s="1"/>
  <c r="AD21" i="11"/>
  <c r="AD89" i="11" s="1"/>
  <c r="AD90" i="11" s="1"/>
  <c r="AC37" i="1"/>
  <c r="AC49" i="1"/>
  <c r="AC60" i="16" s="1"/>
  <c r="AC58" i="16" s="1"/>
  <c r="AC29" i="16" s="1"/>
  <c r="AF37" i="1"/>
  <c r="AF49" i="1"/>
  <c r="AF60" i="16" s="1"/>
  <c r="AF58" i="16" s="1"/>
  <c r="AF29" i="16" s="1"/>
  <c r="Z42" i="8"/>
  <c r="Z55" i="8" s="1"/>
  <c r="Z50" i="1"/>
  <c r="Z60" i="1"/>
  <c r="Z175" i="10" s="1"/>
  <c r="W42" i="8"/>
  <c r="W55" i="8" s="1"/>
  <c r="W50" i="1"/>
  <c r="W60" i="1"/>
  <c r="S60" i="1"/>
  <c r="S50" i="1"/>
  <c r="S42" i="8"/>
  <c r="S55" i="8" s="1"/>
  <c r="AG37" i="1"/>
  <c r="AG49" i="1"/>
  <c r="AG60" i="16" s="1"/>
  <c r="AG58" i="16" s="1"/>
  <c r="AG29" i="16" s="1"/>
  <c r="V60" i="1"/>
  <c r="V50" i="1"/>
  <c r="V42" i="8"/>
  <c r="V55" i="8" s="1"/>
  <c r="Y37" i="1"/>
  <c r="Y49" i="1"/>
  <c r="U136" i="10"/>
  <c r="W136" i="10"/>
  <c r="Q22" i="11"/>
  <c r="Q25" i="10"/>
  <c r="Q223" i="10"/>
  <c r="R132" i="10"/>
  <c r="AH50" i="1"/>
  <c r="AH60" i="1"/>
  <c r="AH175" i="10" s="1"/>
  <c r="AH42" i="8"/>
  <c r="AH55" i="8" s="1"/>
  <c r="X42" i="8"/>
  <c r="X55" i="8" s="1"/>
  <c r="X60" i="1"/>
  <c r="X175" i="10" s="1"/>
  <c r="X50" i="1"/>
  <c r="R77" i="10"/>
  <c r="AG17" i="10"/>
  <c r="AG76" i="16" s="1"/>
  <c r="AH76" i="10"/>
  <c r="AH77" i="10" s="1"/>
  <c r="AG21" i="11"/>
  <c r="AG89" i="11" s="1"/>
  <c r="AG90" i="11" s="1"/>
  <c r="Q135" i="10"/>
  <c r="AN85" i="5" l="1"/>
  <c r="AP89" i="5"/>
  <c r="AM87" i="5"/>
  <c r="AN86" i="5"/>
  <c r="AN87" i="5"/>
  <c r="AN88" i="5"/>
  <c r="AP87" i="5"/>
  <c r="AN27" i="1"/>
  <c r="AU36" i="1"/>
  <c r="AU49" i="1" s="1"/>
  <c r="AU27" i="1"/>
  <c r="AS27" i="1"/>
  <c r="AM89" i="5"/>
  <c r="AK36" i="1"/>
  <c r="AK49" i="1" s="1"/>
  <c r="AM88" i="5"/>
  <c r="AK27" i="1"/>
  <c r="AN36" i="1"/>
  <c r="AN49" i="1" s="1"/>
  <c r="AK89" i="5"/>
  <c r="AS89" i="5"/>
  <c r="AS88" i="5"/>
  <c r="AW36" i="1"/>
  <c r="AW49" i="1" s="1"/>
  <c r="AS36" i="1"/>
  <c r="AS37" i="1" s="1"/>
  <c r="AR36" i="1"/>
  <c r="AR49" i="1" s="1"/>
  <c r="AL27" i="1"/>
  <c r="AP36" i="1"/>
  <c r="AP49" i="1" s="1"/>
  <c r="AM27" i="1"/>
  <c r="AQ36" i="1"/>
  <c r="AQ63" i="1" s="1"/>
  <c r="AM36" i="1"/>
  <c r="AM49" i="1" s="1"/>
  <c r="AQ27" i="1"/>
  <c r="AQ89" i="5"/>
  <c r="AV27" i="1"/>
  <c r="AL87" i="5"/>
  <c r="AV36" i="1"/>
  <c r="AV49" i="1" s="1"/>
  <c r="AS86" i="5"/>
  <c r="AJ36" i="1"/>
  <c r="AJ37" i="1" s="1"/>
  <c r="AP27" i="1"/>
  <c r="AJ27" i="1"/>
  <c r="AR84" i="5"/>
  <c r="AU84" i="5"/>
  <c r="AK88" i="5"/>
  <c r="AP86" i="5"/>
  <c r="AP85" i="5"/>
  <c r="AO36" i="1"/>
  <c r="AO49" i="1" s="1"/>
  <c r="AK84" i="5"/>
  <c r="AV88" i="5"/>
  <c r="AU87" i="5"/>
  <c r="AQ86" i="5"/>
  <c r="AL36" i="1"/>
  <c r="AL63" i="1" s="1"/>
  <c r="AN84" i="5"/>
  <c r="AM86" i="5"/>
  <c r="AM84" i="5"/>
  <c r="AJ85" i="5"/>
  <c r="AW88" i="5"/>
  <c r="AL88" i="5"/>
  <c r="AJ86" i="5"/>
  <c r="AO86" i="5"/>
  <c r="AQ84" i="5"/>
  <c r="AO27" i="1"/>
  <c r="AL85" i="5"/>
  <c r="AO85" i="5"/>
  <c r="AO89" i="5"/>
  <c r="AW89" i="5"/>
  <c r="AU85" i="5"/>
  <c r="AR89" i="5"/>
  <c r="AW27" i="1"/>
  <c r="AR87" i="5"/>
  <c r="AJ88" i="5"/>
  <c r="AK87" i="5"/>
  <c r="AV89" i="5"/>
  <c r="Q36" i="1"/>
  <c r="AU88" i="5"/>
  <c r="AJ87" i="5"/>
  <c r="AR88" i="5"/>
  <c r="AK86" i="5"/>
  <c r="AQ88" i="5"/>
  <c r="AV87" i="5"/>
  <c r="AJ89" i="5"/>
  <c r="AR27" i="1"/>
  <c r="AL84" i="5"/>
  <c r="AV84" i="5"/>
  <c r="AO84" i="5"/>
  <c r="AR85" i="5"/>
  <c r="AV85" i="5"/>
  <c r="AL89" i="5"/>
  <c r="AP84" i="5"/>
  <c r="AU89" i="5"/>
  <c r="AS84" i="5"/>
  <c r="AQ87" i="5"/>
  <c r="AW85" i="5"/>
  <c r="AW87" i="5"/>
  <c r="AW86" i="5"/>
  <c r="AO87" i="5"/>
  <c r="AS85" i="5"/>
  <c r="Y136" i="10"/>
  <c r="AP136" i="10" s="1" a="1"/>
  <c r="AP136" i="10" s="1"/>
  <c r="AO223" i="10"/>
  <c r="AQ223" i="10"/>
  <c r="AH133" i="10"/>
  <c r="AH136" i="10" s="1"/>
  <c r="AJ77" i="10" a="1"/>
  <c r="AJ77" i="10" s="1"/>
  <c r="AJ76" i="10" s="1"/>
  <c r="AP77" i="10" a="1"/>
  <c r="AP77" i="10" s="1"/>
  <c r="AP76" i="10" s="1"/>
  <c r="AL50" i="11" a="1"/>
  <c r="AL50" i="11" s="1"/>
  <c r="AW50" i="11" a="1"/>
  <c r="AW50" i="11" s="1"/>
  <c r="AV50" i="11" a="1"/>
  <c r="AV50" i="11" s="1"/>
  <c r="AU50" i="11" a="1"/>
  <c r="AU50" i="11" s="1"/>
  <c r="AK50" i="11" a="1"/>
  <c r="AK50" i="11" s="1"/>
  <c r="AP50" i="11" a="1"/>
  <c r="AP50" i="11" s="1"/>
  <c r="AS50" i="11" a="1"/>
  <c r="AS50" i="11" s="1"/>
  <c r="AO50" i="11" a="1"/>
  <c r="AO50" i="11" s="1"/>
  <c r="AR50" i="11" a="1"/>
  <c r="AR50" i="11" s="1"/>
  <c r="AM50" i="11" a="1"/>
  <c r="AM50" i="11" s="1"/>
  <c r="AQ50" i="11" a="1"/>
  <c r="AQ50" i="11" s="1"/>
  <c r="AJ50" i="11" a="1"/>
  <c r="AJ50" i="11" s="1"/>
  <c r="AN50" i="11" a="1"/>
  <c r="AN50" i="11" s="1"/>
  <c r="R133" i="10"/>
  <c r="AW77" i="10" a="1"/>
  <c r="AW77" i="10" s="1"/>
  <c r="AW76" i="10" s="1"/>
  <c r="AL77" i="10" a="1"/>
  <c r="AL77" i="10" s="1"/>
  <c r="AL76" i="10" s="1"/>
  <c r="AN77" i="10" a="1"/>
  <c r="AN77" i="10" s="1"/>
  <c r="AN76" i="10" s="1"/>
  <c r="AM77" i="10" a="1"/>
  <c r="AM77" i="10" s="1"/>
  <c r="AM76" i="10" s="1"/>
  <c r="AO77" i="10" a="1"/>
  <c r="AO77" i="10" s="1"/>
  <c r="AO76" i="10" s="1"/>
  <c r="AK77" i="10" a="1"/>
  <c r="AK77" i="10" s="1"/>
  <c r="AK76" i="10" s="1"/>
  <c r="AR77" i="10" a="1"/>
  <c r="AR77" i="10" s="1"/>
  <c r="AR76" i="10" s="1"/>
  <c r="AU77" i="10" a="1"/>
  <c r="AU77" i="10" s="1"/>
  <c r="AU76" i="10" s="1"/>
  <c r="AV77" i="10" a="1"/>
  <c r="AV77" i="10" s="1"/>
  <c r="AV76" i="10" s="1"/>
  <c r="AS77" i="10" a="1"/>
  <c r="AS77" i="10" s="1"/>
  <c r="AS76" i="10" s="1"/>
  <c r="AQ77" i="10" a="1"/>
  <c r="AQ77" i="10" s="1"/>
  <c r="AQ76" i="10" s="1"/>
  <c r="AJ21" i="11" a="1"/>
  <c r="AJ21" i="11" s="1"/>
  <c r="AS21" i="11" a="1"/>
  <c r="AS21" i="11" s="1"/>
  <c r="AR21" i="11" a="1"/>
  <c r="AR21" i="11" s="1"/>
  <c r="AV76" i="16"/>
  <c r="AV16" i="16" s="1"/>
  <c r="AO76" i="16" a="1"/>
  <c r="AO76" i="16" s="1"/>
  <c r="AO16" i="16" s="1"/>
  <c r="Q30" i="10"/>
  <c r="Q77" i="16"/>
  <c r="AG62" i="16"/>
  <c r="AG28" i="16"/>
  <c r="AK21" i="11" a="1"/>
  <c r="AK21" i="11" s="1"/>
  <c r="AE64" i="1"/>
  <c r="AE60" i="16"/>
  <c r="AE58" i="16" s="1"/>
  <c r="AE29" i="16" s="1"/>
  <c r="AP21" i="11" a="1"/>
  <c r="AP21" i="11" s="1"/>
  <c r="Q90" i="11"/>
  <c r="AQ89" i="11" a="1"/>
  <c r="AQ89" i="11" s="1"/>
  <c r="AQ90" i="11" s="1"/>
  <c r="AP89" i="11" a="1"/>
  <c r="AP89" i="11" s="1"/>
  <c r="AP90" i="11" s="1"/>
  <c r="AR89" i="11" a="1"/>
  <c r="AR89" i="11" s="1"/>
  <c r="AR90" i="11" s="1"/>
  <c r="AO89" i="11" a="1"/>
  <c r="AO89" i="11" s="1"/>
  <c r="AO90" i="11" s="1"/>
  <c r="AK89" i="11" a="1"/>
  <c r="AK89" i="11" s="1"/>
  <c r="AK90" i="11" s="1"/>
  <c r="AN89" i="11" a="1"/>
  <c r="AN89" i="11" s="1"/>
  <c r="AN90" i="11" s="1"/>
  <c r="AM89" i="11" a="1"/>
  <c r="AM89" i="11" s="1"/>
  <c r="AM90" i="11" s="1"/>
  <c r="AJ89" i="11" a="1"/>
  <c r="AJ89" i="11" s="1"/>
  <c r="AJ90" i="11" s="1"/>
  <c r="AS89" i="11" a="1"/>
  <c r="AS89" i="11" s="1"/>
  <c r="AS90" i="11" s="1"/>
  <c r="AL89" i="11" a="1"/>
  <c r="AL89" i="11" s="1"/>
  <c r="AL90" i="11" s="1"/>
  <c r="AU89" i="11" a="1"/>
  <c r="AU89" i="11" s="1"/>
  <c r="AU90" i="11" s="1"/>
  <c r="AV89" i="11" a="1"/>
  <c r="AV89" i="11" s="1"/>
  <c r="AV90" i="11" s="1"/>
  <c r="AW89" i="11" a="1"/>
  <c r="AW89" i="11" s="1"/>
  <c r="AW90" i="11" s="1"/>
  <c r="R27" i="16"/>
  <c r="Y76" i="16"/>
  <c r="AP76" i="16" s="1" a="1"/>
  <c r="AP76" i="16" s="1"/>
  <c r="AP16" i="16" s="1"/>
  <c r="AP17" i="10" a="1"/>
  <c r="AP17" i="10" s="1"/>
  <c r="AO21" i="11" a="1"/>
  <c r="AO21" i="11" s="1"/>
  <c r="AU21" i="11" a="1"/>
  <c r="AU21" i="11" s="1"/>
  <c r="AL21" i="11" a="1"/>
  <c r="AL21" i="11" s="1"/>
  <c r="AW76" i="16"/>
  <c r="AW16" i="16" s="1"/>
  <c r="AS76" i="16" a="1"/>
  <c r="AS76" i="16" s="1"/>
  <c r="AS16" i="16" s="1"/>
  <c r="AF64" i="1"/>
  <c r="Y60" i="16"/>
  <c r="Y58" i="16" s="1"/>
  <c r="Y29" i="16" s="1"/>
  <c r="R60" i="16"/>
  <c r="R58" i="16" s="1"/>
  <c r="R29" i="16" s="1"/>
  <c r="AW21" i="11" a="1"/>
  <c r="AW21" i="11" s="1"/>
  <c r="AN21" i="11" a="1"/>
  <c r="AN21" i="11" s="1"/>
  <c r="AQ21" i="11" a="1"/>
  <c r="AQ21" i="11" s="1"/>
  <c r="Q92" i="11"/>
  <c r="AF62" i="16"/>
  <c r="AF28" i="16"/>
  <c r="AC28" i="16"/>
  <c r="AC62" i="16"/>
  <c r="AE76" i="16"/>
  <c r="AR76" i="16" s="1" a="1"/>
  <c r="AR76" i="16" s="1"/>
  <c r="AR16" i="16" s="1"/>
  <c r="AR17" i="10" a="1"/>
  <c r="AR17" i="10" s="1"/>
  <c r="AV21" i="11" a="1"/>
  <c r="AV21" i="11" s="1"/>
  <c r="AM21" i="11" a="1"/>
  <c r="AM21" i="11" s="1"/>
  <c r="AG64" i="1"/>
  <c r="AD64" i="1"/>
  <c r="AH64" i="1"/>
  <c r="AC64" i="1"/>
  <c r="W175" i="10"/>
  <c r="T175" i="10"/>
  <c r="S175" i="10"/>
  <c r="V175" i="10"/>
  <c r="AF132" i="10"/>
  <c r="AE25" i="10"/>
  <c r="AE223" i="10"/>
  <c r="V22" i="11"/>
  <c r="V92" i="11" s="1"/>
  <c r="V223" i="10"/>
  <c r="W132" i="10"/>
  <c r="W135" i="10" s="1"/>
  <c r="V25" i="10"/>
  <c r="AV25" i="10" s="1"/>
  <c r="R136" i="10"/>
  <c r="R135" i="10" s="1"/>
  <c r="Y60" i="1"/>
  <c r="Y175" i="10" s="1"/>
  <c r="Y50" i="1"/>
  <c r="Y42" i="8"/>
  <c r="Y55" i="8" s="1"/>
  <c r="AG60" i="1"/>
  <c r="AG175" i="10" s="1"/>
  <c r="AG50" i="1"/>
  <c r="AG42" i="8"/>
  <c r="AG55" i="8" s="1"/>
  <c r="R42" i="8"/>
  <c r="R55" i="8" s="1"/>
  <c r="R60" i="1"/>
  <c r="R50" i="1"/>
  <c r="AE60" i="1"/>
  <c r="AE175" i="10" s="1"/>
  <c r="AE50" i="1"/>
  <c r="AE42" i="8"/>
  <c r="AE55" i="8" s="1"/>
  <c r="AG136" i="10"/>
  <c r="Y25" i="10"/>
  <c r="Y22" i="11"/>
  <c r="Y92" i="11" s="1"/>
  <c r="Y223" i="10"/>
  <c r="Z132" i="10"/>
  <c r="AC50" i="1"/>
  <c r="AC42" i="8"/>
  <c r="AC55" i="8" s="1"/>
  <c r="AC60" i="1"/>
  <c r="AC175" i="10" s="1"/>
  <c r="AC22" i="11"/>
  <c r="AC92" i="11" s="1"/>
  <c r="AC223" i="10"/>
  <c r="AC25" i="10"/>
  <c r="AD132" i="10"/>
  <c r="AB25" i="10"/>
  <c r="AB22" i="11"/>
  <c r="AB92" i="11" s="1"/>
  <c r="AC132" i="10"/>
  <c r="AC135" i="10" s="1"/>
  <c r="AB223" i="10"/>
  <c r="S136" i="10"/>
  <c r="T25" i="10"/>
  <c r="U132" i="10"/>
  <c r="U135" i="10" s="1"/>
  <c r="T223" i="10"/>
  <c r="X25" i="10"/>
  <c r="X22" i="11"/>
  <c r="X92" i="11" s="1"/>
  <c r="Y132" i="10"/>
  <c r="Y135" i="10" s="1"/>
  <c r="X223" i="10"/>
  <c r="W22" i="11"/>
  <c r="W92" i="11" s="1"/>
  <c r="W223" i="10"/>
  <c r="X132" i="10"/>
  <c r="X135" i="10" s="1"/>
  <c r="W25" i="10"/>
  <c r="AA25" i="10"/>
  <c r="AA223" i="10"/>
  <c r="AB132" i="10"/>
  <c r="AB135" i="10" s="1"/>
  <c r="AF42" i="8"/>
  <c r="AF55" i="8" s="1"/>
  <c r="AF60" i="1"/>
  <c r="AF175" i="10" s="1"/>
  <c r="AF50" i="1"/>
  <c r="U25" i="10"/>
  <c r="U223" i="10"/>
  <c r="V132" i="10"/>
  <c r="V135" i="10" s="1"/>
  <c r="U22" i="11"/>
  <c r="U92" i="11" s="1"/>
  <c r="AD136" i="10"/>
  <c r="AE22" i="11" s="1"/>
  <c r="AE92" i="11" s="1"/>
  <c r="AF136" i="10"/>
  <c r="Z136" i="10"/>
  <c r="AA22" i="11" s="1"/>
  <c r="AA92" i="11" s="1"/>
  <c r="AM63" i="1" l="1"/>
  <c r="AM37" i="1"/>
  <c r="AP37" i="1"/>
  <c r="AW63" i="1"/>
  <c r="AW37" i="1"/>
  <c r="AP63" i="1"/>
  <c r="AV63" i="1"/>
  <c r="AV37" i="1"/>
  <c r="AN37" i="1"/>
  <c r="AN63" i="1"/>
  <c r="AU37" i="1"/>
  <c r="AU63" i="1"/>
  <c r="AR37" i="1"/>
  <c r="AR63" i="1"/>
  <c r="AK37" i="1"/>
  <c r="AK63" i="1"/>
  <c r="AS49" i="1"/>
  <c r="AS50" i="1" s="1"/>
  <c r="AS63" i="1"/>
  <c r="AQ49" i="1"/>
  <c r="AQ60" i="1" s="1"/>
  <c r="AQ66" i="1" s="1"/>
  <c r="AJ63" i="1"/>
  <c r="AQ37" i="1"/>
  <c r="AJ49" i="1"/>
  <c r="AJ60" i="1" s="1"/>
  <c r="AJ66" i="1" s="1"/>
  <c r="AO37" i="1"/>
  <c r="AO63" i="1"/>
  <c r="AO64" i="1"/>
  <c r="AO50" i="1"/>
  <c r="AO60" i="1"/>
  <c r="AO66" i="1" s="1"/>
  <c r="AL49" i="1"/>
  <c r="AL37" i="1"/>
  <c r="Q57" i="16"/>
  <c r="Q37" i="1"/>
  <c r="Q49" i="1"/>
  <c r="Q63" i="1"/>
  <c r="AB63" i="1"/>
  <c r="W63" i="1"/>
  <c r="V63" i="1"/>
  <c r="Y63" i="1"/>
  <c r="U63" i="1"/>
  <c r="T63" i="1"/>
  <c r="Z63" i="1"/>
  <c r="X63" i="1"/>
  <c r="S63" i="1"/>
  <c r="R63" i="1"/>
  <c r="AA63" i="1"/>
  <c r="AP223" i="10"/>
  <c r="AD135" i="10"/>
  <c r="AV136" i="10"/>
  <c r="AR136" i="10" a="1"/>
  <c r="AR136" i="10" s="1"/>
  <c r="AS136" i="10" a="1"/>
  <c r="AS136" i="10" s="1"/>
  <c r="AW136" i="10"/>
  <c r="Q68" i="16"/>
  <c r="AW133" i="10" a="1"/>
  <c r="AW133" i="10" s="1"/>
  <c r="AP133" i="10" a="1"/>
  <c r="AP133" i="10" s="1"/>
  <c r="AP138" i="10" s="1"/>
  <c r="AP218" i="10" s="1"/>
  <c r="AP219" i="10" s="1"/>
  <c r="AN133" i="10" a="1"/>
  <c r="AN133" i="10" s="1"/>
  <c r="AL133" i="10" a="1"/>
  <c r="AL133" i="10" s="1"/>
  <c r="AL138" i="10" s="1"/>
  <c r="AL218" i="10" s="1"/>
  <c r="AL219" i="10" s="1"/>
  <c r="AM133" i="10" a="1"/>
  <c r="AM133" i="10" s="1"/>
  <c r="AM138" i="10" s="1"/>
  <c r="AM218" i="10" s="1"/>
  <c r="AM219" i="10" s="1"/>
  <c r="AS133" i="10" a="1"/>
  <c r="AS133" i="10" s="1"/>
  <c r="AQ133" i="10" a="1"/>
  <c r="AQ133" i="10" s="1"/>
  <c r="AQ138" i="10" s="1"/>
  <c r="AQ218" i="10" s="1"/>
  <c r="AQ219" i="10" s="1"/>
  <c r="AO133" i="10" a="1"/>
  <c r="AO133" i="10" s="1"/>
  <c r="AO138" i="10" s="1"/>
  <c r="AO218" i="10" s="1"/>
  <c r="AO219" i="10" s="1"/>
  <c r="AK133" i="10" a="1"/>
  <c r="AK133" i="10" s="1"/>
  <c r="AK138" i="10" s="1"/>
  <c r="AK218" i="10" s="1"/>
  <c r="AK219" i="10" s="1"/>
  <c r="AR133" i="10" a="1"/>
  <c r="AR133" i="10" s="1"/>
  <c r="AJ133" i="10" a="1"/>
  <c r="AJ133" i="10" s="1"/>
  <c r="AJ138" i="10" s="1"/>
  <c r="AJ218" i="10" s="1"/>
  <c r="AJ219" i="10" s="1"/>
  <c r="AG68" i="16"/>
  <c r="AV133" i="10" a="1"/>
  <c r="AV133" i="10" s="1"/>
  <c r="AU133" i="10" a="1"/>
  <c r="AU133" i="10" s="1"/>
  <c r="AU138" i="10" s="1"/>
  <c r="AU218" i="10" s="1"/>
  <c r="AU219" i="10" s="1"/>
  <c r="T22" i="11"/>
  <c r="T92" i="11" s="1"/>
  <c r="AN136" i="10" a="1"/>
  <c r="AN136" i="10" s="1"/>
  <c r="AV64" i="1"/>
  <c r="AV60" i="1"/>
  <c r="AV66" i="1" s="1"/>
  <c r="AV50" i="1"/>
  <c r="AR64" i="1"/>
  <c r="AR60" i="1"/>
  <c r="AR66" i="1" s="1"/>
  <c r="AR50" i="1"/>
  <c r="T30" i="10"/>
  <c r="T77" i="16"/>
  <c r="AF135" i="10"/>
  <c r="W30" i="10"/>
  <c r="W77" i="16"/>
  <c r="X30" i="10"/>
  <c r="X77" i="16"/>
  <c r="AB30" i="10"/>
  <c r="AB77" i="16"/>
  <c r="AQ77" i="16" s="1" a="1"/>
  <c r="AQ77" i="16" s="1"/>
  <c r="AQ25" i="10" a="1"/>
  <c r="AQ25" i="10" s="1"/>
  <c r="AQ30" i="10" s="1"/>
  <c r="AM64" i="1"/>
  <c r="AM50" i="1"/>
  <c r="AM60" i="1"/>
  <c r="AM66" i="1" s="1"/>
  <c r="R28" i="16"/>
  <c r="R62" i="16"/>
  <c r="AP64" i="1"/>
  <c r="AP60" i="1"/>
  <c r="AP66" i="1" s="1"/>
  <c r="AP50" i="1"/>
  <c r="AN64" i="1"/>
  <c r="AN50" i="1"/>
  <c r="AN60" i="1"/>
  <c r="AN66" i="1" s="1"/>
  <c r="AC30" i="10"/>
  <c r="AC77" i="16"/>
  <c r="U30" i="10"/>
  <c r="U77" i="16"/>
  <c r="V30" i="10"/>
  <c r="V77" i="16"/>
  <c r="AO25" i="10" a="1"/>
  <c r="AO25" i="10" s="1"/>
  <c r="AO30" i="10" s="1"/>
  <c r="AV30" i="10"/>
  <c r="AK64" i="1"/>
  <c r="AK50" i="1"/>
  <c r="AK60" i="1"/>
  <c r="AK66" i="1" s="1"/>
  <c r="AW64" i="1"/>
  <c r="AW50" i="1"/>
  <c r="AW60" i="1"/>
  <c r="AW66" i="1" s="1"/>
  <c r="AE30" i="10"/>
  <c r="AE77" i="16"/>
  <c r="AR77" i="16" s="1" a="1"/>
  <c r="AR77" i="16" s="1"/>
  <c r="AR25" i="10" a="1"/>
  <c r="AR25" i="10" s="1"/>
  <c r="AR30" i="10" s="1"/>
  <c r="Y30" i="10"/>
  <c r="Y77" i="16"/>
  <c r="AP77" i="16" s="1" a="1"/>
  <c r="AP77" i="16" s="1"/>
  <c r="AP25" i="10" a="1"/>
  <c r="AP25" i="10" s="1"/>
  <c r="AP30" i="10" s="1"/>
  <c r="Y62" i="16"/>
  <c r="Y28" i="16"/>
  <c r="AU64" i="1"/>
  <c r="AU60" i="1"/>
  <c r="AU66" i="1" s="1"/>
  <c r="AU50" i="1"/>
  <c r="AA30" i="10"/>
  <c r="AA77" i="16"/>
  <c r="AE62" i="16"/>
  <c r="AE28" i="16"/>
  <c r="AH66" i="1"/>
  <c r="AE66" i="1"/>
  <c r="AE176" i="10"/>
  <c r="AE177" i="10" s="1"/>
  <c r="R175" i="10"/>
  <c r="AC66" i="1"/>
  <c r="AG66" i="1"/>
  <c r="AD66" i="1"/>
  <c r="AF66" i="1"/>
  <c r="AF56" i="8"/>
  <c r="AF63" i="8" s="1"/>
  <c r="AD176" i="10"/>
  <c r="AD177" i="10" s="1"/>
  <c r="AF176" i="10"/>
  <c r="AF177" i="10" s="1"/>
  <c r="AG176" i="10"/>
  <c r="AG177" i="10" s="1"/>
  <c r="AE56" i="8"/>
  <c r="AE63" i="8" s="1"/>
  <c r="AR63" i="8" s="1" a="1"/>
  <c r="AR63" i="8" s="1"/>
  <c r="AG223" i="10"/>
  <c r="AG22" i="11"/>
  <c r="AG92" i="11" s="1"/>
  <c r="AG25" i="10"/>
  <c r="AH132" i="10"/>
  <c r="AD22" i="11"/>
  <c r="AD92" i="11" s="1"/>
  <c r="AD25" i="10"/>
  <c r="AD223" i="10"/>
  <c r="AE132" i="10"/>
  <c r="AE135" i="10" s="1"/>
  <c r="AH176" i="10"/>
  <c r="AH177" i="10" s="1"/>
  <c r="Z22" i="11"/>
  <c r="Z92" i="11" s="1"/>
  <c r="AA132" i="10"/>
  <c r="AA135" i="10" s="1"/>
  <c r="Z25" i="10"/>
  <c r="Z223" i="10"/>
  <c r="AC56" i="8"/>
  <c r="AC63" i="8" s="1"/>
  <c r="AG56" i="8"/>
  <c r="AG63" i="8" s="1"/>
  <c r="AH22" i="11"/>
  <c r="AH92" i="11" s="1"/>
  <c r="AH223" i="10"/>
  <c r="AH25" i="10"/>
  <c r="AW25" i="10" s="1"/>
  <c r="Z135" i="10"/>
  <c r="AH135" i="10"/>
  <c r="AH56" i="8"/>
  <c r="AH63" i="8" s="1"/>
  <c r="AD56" i="8"/>
  <c r="AD63" i="8" s="1"/>
  <c r="AF22" i="11"/>
  <c r="AF92" i="11" s="1"/>
  <c r="AG132" i="10"/>
  <c r="AG135" i="10" s="1"/>
  <c r="AF25" i="10"/>
  <c r="AF223" i="10"/>
  <c r="S25" i="10"/>
  <c r="T132" i="10"/>
  <c r="T135" i="10" s="1"/>
  <c r="S22" i="11"/>
  <c r="S92" i="11" s="1"/>
  <c r="S223" i="10"/>
  <c r="R25" i="10"/>
  <c r="R22" i="11"/>
  <c r="S132" i="10"/>
  <c r="S135" i="10" s="1"/>
  <c r="R223" i="10"/>
  <c r="AQ50" i="1" l="1"/>
  <c r="AQ64" i="1"/>
  <c r="AS60" i="1"/>
  <c r="AS66" i="1" s="1"/>
  <c r="AS64" i="1"/>
  <c r="AJ50" i="1"/>
  <c r="AJ64" i="1"/>
  <c r="AL50" i="1"/>
  <c r="AL64" i="1"/>
  <c r="AL60" i="1"/>
  <c r="AL66" i="1" s="1"/>
  <c r="Q60" i="16"/>
  <c r="Q58" i="16" s="1"/>
  <c r="Q42" i="8"/>
  <c r="Q55" i="8" s="1"/>
  <c r="Q50" i="1"/>
  <c r="Q53" i="1"/>
  <c r="Q178" i="5" s="1"/>
  <c r="Q180" i="5" s="1"/>
  <c r="Q60" i="1"/>
  <c r="Q64" i="1"/>
  <c r="T64" i="1"/>
  <c r="S64" i="1"/>
  <c r="AB64" i="1"/>
  <c r="Z64" i="1"/>
  <c r="V64" i="1"/>
  <c r="U64" i="1"/>
  <c r="Y64" i="1"/>
  <c r="R64" i="1"/>
  <c r="X64" i="1"/>
  <c r="W64" i="1"/>
  <c r="AA64" i="1"/>
  <c r="Q27" i="16"/>
  <c r="AU57" i="16" a="1"/>
  <c r="AU57" i="16" s="1"/>
  <c r="AU27" i="16" s="1"/>
  <c r="AS57" i="16" a="1"/>
  <c r="AS57" i="16" s="1"/>
  <c r="AS27" i="16" s="1"/>
  <c r="AO57" i="16" a="1"/>
  <c r="AO57" i="16" s="1"/>
  <c r="AO27" i="16" s="1"/>
  <c r="AP57" i="16" a="1"/>
  <c r="AP57" i="16" s="1"/>
  <c r="AP27" i="16" s="1"/>
  <c r="AQ57" i="16" a="1"/>
  <c r="AQ57" i="16" s="1"/>
  <c r="AQ27" i="16" s="1"/>
  <c r="AL57" i="16" a="1"/>
  <c r="AL57" i="16" s="1"/>
  <c r="AL27" i="16" s="1"/>
  <c r="AM57" i="16" a="1"/>
  <c r="AM57" i="16" s="1"/>
  <c r="AM27" i="16" s="1"/>
  <c r="AV57" i="16" a="1"/>
  <c r="AV57" i="16" s="1"/>
  <c r="AV27" i="16" s="1"/>
  <c r="AR57" i="16" a="1"/>
  <c r="AR57" i="16" s="1"/>
  <c r="AR27" i="16" s="1"/>
  <c r="AJ57" i="16" a="1"/>
  <c r="AJ57" i="16" s="1"/>
  <c r="AJ27" i="16" s="1"/>
  <c r="AW57" i="16" a="1"/>
  <c r="AW57" i="16" s="1"/>
  <c r="AW27" i="16" s="1"/>
  <c r="AK57" i="16" a="1"/>
  <c r="AK57" i="16" s="1"/>
  <c r="AK27" i="16" s="1"/>
  <c r="AN57" i="16" a="1"/>
  <c r="AN57" i="16" s="1"/>
  <c r="AN27" i="16" s="1"/>
  <c r="AN138" i="10"/>
  <c r="AN218" i="10" s="1"/>
  <c r="AN219" i="10" s="1"/>
  <c r="AW138" i="10"/>
  <c r="AW218" i="10" s="1"/>
  <c r="AW219" i="10" s="1"/>
  <c r="AS138" i="10"/>
  <c r="AS218" i="10" s="1"/>
  <c r="AS219" i="10" s="1"/>
  <c r="AR138" i="10"/>
  <c r="AR218" i="10" s="1"/>
  <c r="AR219" i="10" s="1"/>
  <c r="AV138" i="10"/>
  <c r="AV218" i="10" s="1"/>
  <c r="AV219" i="10" s="1"/>
  <c r="AN223" i="10"/>
  <c r="AN68" i="16" a="1"/>
  <c r="AN68" i="16" s="1"/>
  <c r="AU68" i="16" a="1"/>
  <c r="AU68" i="16" s="1"/>
  <c r="AU17" i="16" s="1"/>
  <c r="AU18" i="16" s="1"/>
  <c r="AR68" i="16" a="1"/>
  <c r="AR68" i="16" s="1"/>
  <c r="AR17" i="16" s="1"/>
  <c r="AR18" i="16" s="1"/>
  <c r="AL68" i="16" a="1"/>
  <c r="AL68" i="16" s="1"/>
  <c r="AL17" i="16" s="1"/>
  <c r="AL18" i="16" s="1"/>
  <c r="AW68" i="16" a="1"/>
  <c r="AW68" i="16" s="1"/>
  <c r="AK68" i="16" a="1"/>
  <c r="AK68" i="16" s="1"/>
  <c r="AK17" i="16" s="1"/>
  <c r="AK18" i="16" s="1"/>
  <c r="AS68" i="16" a="1"/>
  <c r="AS68" i="16" s="1"/>
  <c r="AP68" i="16" a="1"/>
  <c r="AP68" i="16" s="1"/>
  <c r="AP17" i="16" s="1"/>
  <c r="AP18" i="16" s="1"/>
  <c r="AJ68" i="16" a="1"/>
  <c r="AJ68" i="16" s="1"/>
  <c r="AJ17" i="16" s="1"/>
  <c r="AJ18" i="16" s="1"/>
  <c r="AM68" i="16" a="1"/>
  <c r="AM68" i="16" s="1"/>
  <c r="AM17" i="16" s="1"/>
  <c r="AM18" i="16" s="1"/>
  <c r="AO68" i="16" a="1"/>
  <c r="AO68" i="16" s="1"/>
  <c r="AV68" i="16" a="1"/>
  <c r="AV68" i="16" s="1"/>
  <c r="AQ68" i="16" a="1"/>
  <c r="AQ68" i="16" s="1"/>
  <c r="AQ17" i="16" s="1"/>
  <c r="AQ18" i="16" s="1"/>
  <c r="AW223" i="10"/>
  <c r="AS223" i="10"/>
  <c r="AS63" i="8" a="1"/>
  <c r="AS63" i="8" s="1"/>
  <c r="AW63" i="8"/>
  <c r="AR223" i="10"/>
  <c r="AK135" i="10" a="1"/>
  <c r="AK135" i="10" s="1"/>
  <c r="AL135" i="10" a="1"/>
  <c r="AL135" i="10" s="1"/>
  <c r="AN135" i="10" a="1"/>
  <c r="AN135" i="10" s="1"/>
  <c r="AO135" i="10" a="1"/>
  <c r="AO135" i="10" s="1"/>
  <c r="AJ135" i="10" a="1"/>
  <c r="AJ135" i="10" s="1"/>
  <c r="AS135" i="10" a="1"/>
  <c r="AS135" i="10" s="1"/>
  <c r="AQ135" i="10" a="1"/>
  <c r="AQ135" i="10" s="1"/>
  <c r="AV135" i="10" a="1"/>
  <c r="AV135" i="10" s="1"/>
  <c r="AP135" i="10" a="1"/>
  <c r="AP135" i="10" s="1"/>
  <c r="AR135" i="10" a="1"/>
  <c r="AR135" i="10" s="1"/>
  <c r="AW135" i="10" a="1"/>
  <c r="AW135" i="10" s="1"/>
  <c r="AM135" i="10" a="1"/>
  <c r="AM135" i="10" s="1"/>
  <c r="AU135" i="10" a="1"/>
  <c r="AU135" i="10" s="1"/>
  <c r="AV223" i="10"/>
  <c r="Z30" i="10"/>
  <c r="Z77" i="16"/>
  <c r="S30" i="10"/>
  <c r="S77" i="16"/>
  <c r="AN77" i="16" s="1" a="1"/>
  <c r="AN77" i="16" s="1"/>
  <c r="AN25" i="10" a="1"/>
  <c r="AN25" i="10" s="1"/>
  <c r="AN30" i="10" s="1"/>
  <c r="R92" i="11"/>
  <c r="AP22" i="11" a="1"/>
  <c r="AP22" i="11" s="1"/>
  <c r="AQ22" i="11" a="1"/>
  <c r="AQ22" i="11" s="1"/>
  <c r="AS22" i="11" a="1"/>
  <c r="AS22" i="11" s="1"/>
  <c r="AU22" i="11" a="1"/>
  <c r="AU22" i="11" s="1"/>
  <c r="AJ22" i="11" a="1"/>
  <c r="AJ22" i="11" s="1"/>
  <c r="AK22" i="11" a="1"/>
  <c r="AK22" i="11" s="1"/>
  <c r="AV22" i="11" a="1"/>
  <c r="AV22" i="11" s="1"/>
  <c r="AN22" i="11" a="1"/>
  <c r="AN22" i="11" s="1"/>
  <c r="AW22" i="11" a="1"/>
  <c r="AW22" i="11" s="1"/>
  <c r="AM22" i="11" a="1"/>
  <c r="AM22" i="11" s="1"/>
  <c r="AL22" i="11" a="1"/>
  <c r="AL22" i="11" s="1"/>
  <c r="AO22" i="11" a="1"/>
  <c r="AO22" i="11" s="1"/>
  <c r="AR22" i="11" a="1"/>
  <c r="AR22" i="11" s="1"/>
  <c r="AV77" i="16"/>
  <c r="AO77" i="16" a="1"/>
  <c r="AO77" i="16" s="1"/>
  <c r="AF30" i="10"/>
  <c r="AF77" i="16"/>
  <c r="AH30" i="10"/>
  <c r="AH77" i="16"/>
  <c r="AS25" i="10" a="1"/>
  <c r="AS25" i="10" s="1"/>
  <c r="AS30" i="10" s="1"/>
  <c r="AW30" i="10"/>
  <c r="AG30" i="10"/>
  <c r="AG77" i="16"/>
  <c r="AC176" i="10"/>
  <c r="AC177" i="10" s="1"/>
  <c r="R30" i="10"/>
  <c r="R77" i="16"/>
  <c r="AD30" i="10"/>
  <c r="AD77" i="16"/>
  <c r="Q29" i="16" l="1"/>
  <c r="AJ58" i="16" a="1"/>
  <c r="AJ58" i="16" s="1"/>
  <c r="AL58" i="16" a="1"/>
  <c r="AL58" i="16" s="1"/>
  <c r="AP58" i="16" a="1"/>
  <c r="AP58" i="16" s="1"/>
  <c r="AS58" i="16" a="1"/>
  <c r="AS58" i="16" s="1"/>
  <c r="AK58" i="16" a="1"/>
  <c r="AK58" i="16" s="1"/>
  <c r="AM58" i="16" a="1"/>
  <c r="AM58" i="16" s="1"/>
  <c r="AN58" i="16" a="1"/>
  <c r="AN58" i="16" s="1"/>
  <c r="AR58" i="16" a="1"/>
  <c r="AR58" i="16" s="1"/>
  <c r="AV58" i="16" a="1"/>
  <c r="AV58" i="16" s="1"/>
  <c r="AQ58" i="16" a="1"/>
  <c r="AQ58" i="16" s="1"/>
  <c r="AU58" i="16" a="1"/>
  <c r="AU58" i="16" s="1"/>
  <c r="AO58" i="16" a="1"/>
  <c r="AO58" i="16" s="1"/>
  <c r="AW58" i="16" a="1"/>
  <c r="AW58" i="16" s="1"/>
  <c r="Q66" i="1"/>
  <c r="Q175" i="10"/>
  <c r="R66" i="1"/>
  <c r="V66" i="1"/>
  <c r="W66" i="1"/>
  <c r="U66" i="1"/>
  <c r="AB66" i="1"/>
  <c r="S66" i="1"/>
  <c r="Z66" i="1"/>
  <c r="AA66" i="1"/>
  <c r="X66" i="1"/>
  <c r="Y66" i="1"/>
  <c r="T66" i="1"/>
  <c r="Q109" i="11"/>
  <c r="Q56" i="11" s="1"/>
  <c r="Q182" i="5"/>
  <c r="Q184" i="5" s="1"/>
  <c r="Q182" i="10" s="1"/>
  <c r="Q180" i="10" s="1"/>
  <c r="Q55" i="1"/>
  <c r="Q56" i="1" s="1"/>
  <c r="Q29" i="5"/>
  <c r="Q30" i="5" s="1"/>
  <c r="Q56" i="8"/>
  <c r="Q63" i="8" s="1"/>
  <c r="V56" i="8"/>
  <c r="V63" i="8" s="1"/>
  <c r="Z56" i="8"/>
  <c r="Z63" i="8" s="1"/>
  <c r="AB56" i="8"/>
  <c r="AB63" i="8" s="1"/>
  <c r="AQ63" i="8" s="1" a="1"/>
  <c r="AQ63" i="8" s="1"/>
  <c r="R56" i="8"/>
  <c r="R63" i="8" s="1"/>
  <c r="S56" i="8"/>
  <c r="S63" i="8" s="1"/>
  <c r="AN63" i="8" s="1" a="1"/>
  <c r="AN63" i="8" s="1"/>
  <c r="T56" i="8"/>
  <c r="T63" i="8" s="1"/>
  <c r="Y56" i="8"/>
  <c r="Y63" i="8" s="1"/>
  <c r="AP63" i="8" s="1" a="1"/>
  <c r="AP63" i="8" s="1"/>
  <c r="X56" i="8"/>
  <c r="X63" i="8" s="1"/>
  <c r="W56" i="8"/>
  <c r="W63" i="8" s="1"/>
  <c r="U56" i="8"/>
  <c r="U63" i="8" s="1"/>
  <c r="AA56" i="8"/>
  <c r="AA63" i="8" s="1"/>
  <c r="Q28" i="16"/>
  <c r="Q62" i="16"/>
  <c r="AS60" i="16" a="1"/>
  <c r="AS60" i="16" s="1"/>
  <c r="AP60" i="16" a="1"/>
  <c r="AP60" i="16" s="1"/>
  <c r="AU60" i="16" a="1"/>
  <c r="AU60" i="16" s="1"/>
  <c r="AM60" i="16" a="1"/>
  <c r="AM60" i="16" s="1"/>
  <c r="AO60" i="16" a="1"/>
  <c r="AO60" i="16" s="1"/>
  <c r="AN60" i="16" a="1"/>
  <c r="AN60" i="16" s="1"/>
  <c r="AW60" i="16" a="1"/>
  <c r="AW60" i="16" s="1"/>
  <c r="AJ60" i="16" a="1"/>
  <c r="AJ60" i="16" s="1"/>
  <c r="AL60" i="16" a="1"/>
  <c r="AL60" i="16" s="1"/>
  <c r="AK60" i="16" a="1"/>
  <c r="AK60" i="16" s="1"/>
  <c r="AQ60" i="16" a="1"/>
  <c r="AQ60" i="16" s="1"/>
  <c r="AR60" i="16" a="1"/>
  <c r="AR60" i="16" s="1"/>
  <c r="AV60" i="16" a="1"/>
  <c r="AV60" i="16" s="1"/>
  <c r="AO17" i="16"/>
  <c r="AO18" i="16" s="1"/>
  <c r="AN17" i="16"/>
  <c r="AN18" i="16" s="1"/>
  <c r="AV17" i="16"/>
  <c r="AV18" i="16" s="1"/>
  <c r="AS77" i="16" a="1"/>
  <c r="AS77" i="16" s="1"/>
  <c r="AS17" i="16" s="1"/>
  <c r="AS18" i="16" s="1"/>
  <c r="AW77" i="16"/>
  <c r="AW17" i="16" s="1"/>
  <c r="AW18" i="16" s="1"/>
  <c r="AO92" i="11" a="1"/>
  <c r="AO92" i="11" s="1"/>
  <c r="AQ92" i="11" a="1"/>
  <c r="AQ92" i="11" s="1"/>
  <c r="AN92" i="11" a="1"/>
  <c r="AN92" i="11" s="1"/>
  <c r="AK92" i="11" a="1"/>
  <c r="AK92" i="11" s="1"/>
  <c r="AJ92" i="11" a="1"/>
  <c r="AJ92" i="11" s="1"/>
  <c r="AV92" i="11" a="1"/>
  <c r="AV92" i="11" s="1"/>
  <c r="AP92" i="11" a="1"/>
  <c r="AP92" i="11" s="1"/>
  <c r="AW92" i="11" a="1"/>
  <c r="AW92" i="11" s="1"/>
  <c r="AM92" i="11" a="1"/>
  <c r="AM92" i="11" s="1"/>
  <c r="AU92" i="11" a="1"/>
  <c r="AU92" i="11" s="1"/>
  <c r="AS92" i="11" a="1"/>
  <c r="AS92" i="11" s="1"/>
  <c r="AR92" i="11" a="1"/>
  <c r="AR92" i="11" s="1"/>
  <c r="AL92" i="11" a="1"/>
  <c r="AL92" i="11" s="1"/>
  <c r="AQ50" i="16" l="1"/>
  <c r="AQ29" i="16"/>
  <c r="AV50" i="16"/>
  <c r="AV29" i="16"/>
  <c r="AR50" i="16"/>
  <c r="AR29" i="16"/>
  <c r="AN50" i="16"/>
  <c r="AN29" i="16"/>
  <c r="AK50" i="16"/>
  <c r="AK29" i="16"/>
  <c r="AU50" i="16"/>
  <c r="AU29" i="16"/>
  <c r="AS50" i="16"/>
  <c r="AS29" i="16"/>
  <c r="AP50" i="16"/>
  <c r="AP29" i="16"/>
  <c r="AL50" i="16"/>
  <c r="AL29" i="16"/>
  <c r="AW50" i="16"/>
  <c r="AW29" i="16"/>
  <c r="AJ50" i="16"/>
  <c r="AJ29" i="16"/>
  <c r="AM50" i="16"/>
  <c r="AM29" i="16"/>
  <c r="AO50" i="16"/>
  <c r="AO29" i="16"/>
  <c r="AR28" i="16"/>
  <c r="AR47" i="16"/>
  <c r="AR49" i="16"/>
  <c r="AR48" i="16"/>
  <c r="AR23" i="16"/>
  <c r="AM48" i="16"/>
  <c r="AM23" i="16"/>
  <c r="AM49" i="16"/>
  <c r="AM28" i="16"/>
  <c r="AM47" i="16"/>
  <c r="Q26" i="11"/>
  <c r="Q93" i="11" s="1"/>
  <c r="Q185" i="10"/>
  <c r="Q33" i="10"/>
  <c r="Q34" i="10" s="1"/>
  <c r="Q83" i="16" s="1"/>
  <c r="AQ47" i="16"/>
  <c r="AQ48" i="16"/>
  <c r="AQ49" i="16"/>
  <c r="AQ28" i="16"/>
  <c r="AQ23" i="16"/>
  <c r="AU48" i="16"/>
  <c r="AU47" i="16"/>
  <c r="AU23" i="16"/>
  <c r="AU49" i="16"/>
  <c r="AU28" i="16"/>
  <c r="AK49" i="16"/>
  <c r="AK48" i="16"/>
  <c r="AK28" i="16"/>
  <c r="AK23" i="16"/>
  <c r="AK47" i="16"/>
  <c r="AP23" i="16"/>
  <c r="AP28" i="16"/>
  <c r="AP48" i="16"/>
  <c r="AP49" i="16"/>
  <c r="AP47" i="16"/>
  <c r="AV23" i="16"/>
  <c r="AV47" i="16"/>
  <c r="AV49" i="16"/>
  <c r="AV48" i="16"/>
  <c r="AV28" i="16"/>
  <c r="AL23" i="16"/>
  <c r="AL48" i="16"/>
  <c r="AL28" i="16"/>
  <c r="AL47" i="16"/>
  <c r="AL49" i="16"/>
  <c r="AS49" i="16"/>
  <c r="AS28" i="16"/>
  <c r="AS47" i="16"/>
  <c r="AS23" i="16"/>
  <c r="AS48" i="16"/>
  <c r="AJ49" i="16"/>
  <c r="AJ28" i="16"/>
  <c r="AJ23" i="16"/>
  <c r="AJ47" i="16"/>
  <c r="AJ48" i="16"/>
  <c r="AO63" i="8" a="1"/>
  <c r="AO63" i="8" s="1"/>
  <c r="AV63" i="8"/>
  <c r="AO48" i="16"/>
  <c r="AO47" i="16"/>
  <c r="AO49" i="16"/>
  <c r="AO28" i="16"/>
  <c r="AO23" i="16"/>
  <c r="Q66" i="16"/>
  <c r="Q57" i="1"/>
  <c r="Q202" i="10"/>
  <c r="Q204" i="10" s="1"/>
  <c r="Q211" i="10" s="1"/>
  <c r="Q15" i="11"/>
  <c r="Q27" i="11" s="1"/>
  <c r="Q65" i="1"/>
  <c r="AW49" i="16"/>
  <c r="AW28" i="16"/>
  <c r="AW48" i="16"/>
  <c r="AW23" i="16"/>
  <c r="AW47" i="16"/>
  <c r="Q176" i="10"/>
  <c r="Q177" i="10" s="1"/>
  <c r="AQ175" i="10" a="1"/>
  <c r="AQ175" i="10" s="1"/>
  <c r="AK175" i="10" a="1"/>
  <c r="AK175" i="10" s="1"/>
  <c r="AL175" i="10" a="1"/>
  <c r="AL175" i="10" s="1"/>
  <c r="AV175" i="10" a="1"/>
  <c r="AV175" i="10" s="1"/>
  <c r="AV177" i="10" s="1"/>
  <c r="U176" i="10"/>
  <c r="U177" i="10" s="1"/>
  <c r="T176" i="10"/>
  <c r="T177" i="10" s="1"/>
  <c r="AJ175" i="10" a="1"/>
  <c r="AJ175" i="10" s="1"/>
  <c r="AS175" i="10" a="1"/>
  <c r="AS175" i="10" s="1"/>
  <c r="AU175" i="10" a="1"/>
  <c r="AU175" i="10" s="1"/>
  <c r="AP175" i="10" a="1"/>
  <c r="AP175" i="10" s="1"/>
  <c r="AA176" i="10"/>
  <c r="AA177" i="10" s="1"/>
  <c r="AR175" i="10" a="1"/>
  <c r="AR175" i="10" s="1"/>
  <c r="Z176" i="10"/>
  <c r="Z177" i="10" s="1"/>
  <c r="AB176" i="10"/>
  <c r="AB177" i="10" s="1"/>
  <c r="AW175" i="10" a="1"/>
  <c r="AW175" i="10" s="1"/>
  <c r="AW177" i="10" s="1"/>
  <c r="X176" i="10"/>
  <c r="X177" i="10" s="1"/>
  <c r="W176" i="10"/>
  <c r="W177" i="10" s="1"/>
  <c r="AN175" i="10" a="1"/>
  <c r="AN175" i="10" s="1"/>
  <c r="R176" i="10"/>
  <c r="R177" i="10" s="1"/>
  <c r="Y176" i="10"/>
  <c r="Y177" i="10" s="1"/>
  <c r="V176" i="10"/>
  <c r="V177" i="10" s="1"/>
  <c r="S176" i="10"/>
  <c r="S177" i="10" s="1"/>
  <c r="AM175" i="10" a="1"/>
  <c r="AM175" i="10" s="1"/>
  <c r="AO175" i="10" a="1"/>
  <c r="AO175" i="10" s="1"/>
  <c r="AN49" i="16"/>
  <c r="AN48" i="16"/>
  <c r="AN47" i="16"/>
  <c r="AN23" i="16"/>
  <c r="AN28" i="16"/>
  <c r="AN62" i="16" a="1"/>
  <c r="AN62" i="16" s="1"/>
  <c r="AW62" i="16" a="1"/>
  <c r="AW62" i="16" s="1"/>
  <c r="AR62" i="16" a="1"/>
  <c r="AR62" i="16" s="1"/>
  <c r="AU62" i="16" a="1"/>
  <c r="AU62" i="16" s="1"/>
  <c r="AU34" i="16" s="1"/>
  <c r="AJ62" i="16" a="1"/>
  <c r="AJ62" i="16" s="1"/>
  <c r="AJ34" i="16" s="1"/>
  <c r="AO62" i="16" a="1"/>
  <c r="AO62" i="16" s="1"/>
  <c r="AP62" i="16" a="1"/>
  <c r="AP62" i="16" s="1"/>
  <c r="AS62" i="16" a="1"/>
  <c r="AS62" i="16" s="1"/>
  <c r="AK62" i="16" a="1"/>
  <c r="AK62" i="16" s="1"/>
  <c r="AK34" i="16" s="1"/>
  <c r="AQ62" i="16" a="1"/>
  <c r="AQ62" i="16" s="1"/>
  <c r="AM62" i="16" a="1"/>
  <c r="AM62" i="16" s="1"/>
  <c r="AM34" i="16" s="1"/>
  <c r="AV62" i="16" a="1"/>
  <c r="AV62" i="16" s="1"/>
  <c r="AL62" i="16" a="1"/>
  <c r="AL62" i="16" s="1"/>
  <c r="AL34" i="16" s="1"/>
  <c r="Q94" i="11"/>
  <c r="Q51" i="11" s="1"/>
  <c r="Q30" i="16" l="1"/>
  <c r="R201" i="10"/>
  <c r="Q206" i="10"/>
  <c r="Q208" i="10" s="1"/>
  <c r="Q38" i="10"/>
  <c r="Q84" i="16" s="1"/>
  <c r="Q71" i="16"/>
  <c r="Q42" i="11"/>
  <c r="Q50" i="10" s="1"/>
  <c r="Q51" i="10" s="1"/>
  <c r="Q53" i="10" s="1"/>
  <c r="Q110" i="11"/>
  <c r="Q112" i="11" s="1"/>
  <c r="Q39" i="10" l="1"/>
  <c r="Q45" i="11"/>
  <c r="Q57" i="11"/>
  <c r="Q77" i="11" s="1"/>
  <c r="Q85" i="16"/>
  <c r="Q228" i="10"/>
  <c r="Q230" i="10" s="1"/>
  <c r="Q222" i="10"/>
  <c r="R74" i="11"/>
  <c r="Q127" i="10"/>
  <c r="Q210" i="10" s="1"/>
  <c r="Q15" i="10"/>
  <c r="Q18" i="10" s="1"/>
  <c r="Q23" i="10" s="1"/>
  <c r="R44" i="11"/>
  <c r="R49" i="10"/>
  <c r="Q72" i="11" l="1"/>
  <c r="Q75" i="11" s="1"/>
  <c r="Q41" i="10"/>
  <c r="Q79" i="16"/>
  <c r="Q81" i="16"/>
  <c r="R137" i="4"/>
  <c r="R140" i="4" s="1"/>
  <c r="R23" i="4" s="1"/>
  <c r="Q233" i="10"/>
  <c r="Q234" i="10"/>
  <c r="Q224" i="10"/>
  <c r="R107" i="11" l="1"/>
  <c r="R54" i="11" s="1"/>
  <c r="R52" i="1"/>
  <c r="R53" i="1" s="1"/>
  <c r="R178" i="5" l="1"/>
  <c r="R180" i="5" s="1"/>
  <c r="R29" i="5" l="1"/>
  <c r="R30" i="5" s="1"/>
  <c r="R55" i="1"/>
  <c r="R56" i="1" s="1"/>
  <c r="R66" i="16" s="1"/>
  <c r="R109" i="11"/>
  <c r="R56" i="11" s="1"/>
  <c r="R182" i="5"/>
  <c r="R184" i="5" s="1"/>
  <c r="R182" i="10" l="1"/>
  <c r="R180" i="10" s="1"/>
  <c r="R26" i="11" s="1"/>
  <c r="R30" i="16"/>
  <c r="R65" i="1"/>
  <c r="R57" i="1"/>
  <c r="R202" i="10"/>
  <c r="R15" i="11"/>
  <c r="R185" i="10" l="1"/>
  <c r="R33" i="10"/>
  <c r="R34" i="10" s="1"/>
  <c r="R83" i="16" s="1"/>
  <c r="R27" i="11"/>
  <c r="R204" i="10"/>
  <c r="R211" i="10" s="1"/>
  <c r="R93" i="11"/>
  <c r="R71" i="16" l="1"/>
  <c r="R42" i="11"/>
  <c r="R45" i="11" s="1"/>
  <c r="R94" i="11"/>
  <c r="R51" i="11" s="1"/>
  <c r="R206" i="10"/>
  <c r="R208" i="10" s="1"/>
  <c r="R38" i="10"/>
  <c r="S201" i="10"/>
  <c r="R50" i="10" l="1"/>
  <c r="R51" i="10" s="1"/>
  <c r="R53" i="10" s="1"/>
  <c r="R110" i="11"/>
  <c r="R112" i="11" s="1"/>
  <c r="R39" i="10"/>
  <c r="R84" i="16"/>
  <c r="R57" i="11" l="1"/>
  <c r="R77" i="11" s="1"/>
  <c r="R85" i="16"/>
  <c r="R222" i="10"/>
  <c r="R15" i="10"/>
  <c r="R18" i="10" s="1"/>
  <c r="R23" i="10" s="1"/>
  <c r="R228" i="10"/>
  <c r="R230" i="10" s="1"/>
  <c r="S74" i="11"/>
  <c r="R127" i="10"/>
  <c r="R210" i="10" s="1"/>
  <c r="S49" i="10"/>
  <c r="S44" i="11"/>
  <c r="R72" i="11" l="1"/>
  <c r="R75" i="11" s="1"/>
  <c r="R41" i="10"/>
  <c r="R81" i="16"/>
  <c r="R79" i="16"/>
  <c r="R234" i="10"/>
  <c r="R233" i="10"/>
  <c r="R224" i="10"/>
  <c r="S137" i="4"/>
  <c r="S140" i="4" l="1"/>
  <c r="S23" i="4" s="1"/>
  <c r="AN137" i="4" a="1"/>
  <c r="AN137" i="4" s="1"/>
  <c r="S52" i="1" l="1"/>
  <c r="S53" i="1" s="1"/>
  <c r="S178" i="5" s="1"/>
  <c r="S180" i="5" s="1"/>
  <c r="S107" i="11"/>
  <c r="S54" i="11" s="1"/>
  <c r="S109" i="11" l="1"/>
  <c r="S56" i="11" s="1"/>
  <c r="S55" i="1"/>
  <c r="S56" i="1" s="1"/>
  <c r="S66" i="16" s="1"/>
  <c r="S29" i="5"/>
  <c r="S30" i="5" s="1"/>
  <c r="S182" i="5"/>
  <c r="S184" i="5" s="1"/>
  <c r="AN180" i="10" l="1" a="1"/>
  <c r="AN180" i="10" s="1"/>
  <c r="S182" i="10"/>
  <c r="S180" i="10" s="1"/>
  <c r="S26" i="11" s="1"/>
  <c r="S30" i="16"/>
  <c r="S65" i="1"/>
  <c r="S15" i="11"/>
  <c r="S57" i="1"/>
  <c r="S202" i="10"/>
  <c r="S33" i="10" l="1"/>
  <c r="S34" i="10" s="1"/>
  <c r="S83" i="16" s="1"/>
  <c r="S185" i="10"/>
  <c r="AN185" i="10"/>
  <c r="AN33" i="10" a="1"/>
  <c r="AN33" i="10" s="1"/>
  <c r="AN34" i="10" s="1"/>
  <c r="S27" i="11"/>
  <c r="S204" i="10"/>
  <c r="AN204" i="10" s="1" a="1"/>
  <c r="AN204" i="10" s="1"/>
  <c r="S93" i="11"/>
  <c r="S71" i="16" l="1"/>
  <c r="S42" i="11"/>
  <c r="S50" i="10" s="1"/>
  <c r="AN206" i="10"/>
  <c r="AN208" i="10" s="1"/>
  <c r="AN83" i="16" a="1"/>
  <c r="AN83" i="16" s="1"/>
  <c r="S94" i="11"/>
  <c r="S51" i="11" s="1"/>
  <c r="S206" i="10"/>
  <c r="S208" i="10" s="1"/>
  <c r="S38" i="10"/>
  <c r="T201" i="10"/>
  <c r="S211" i="10"/>
  <c r="S110" i="11" l="1"/>
  <c r="S112" i="11" s="1"/>
  <c r="S45" i="11"/>
  <c r="AN45" i="11" s="1" a="1"/>
  <c r="AN45" i="11" s="1"/>
  <c r="S39" i="10"/>
  <c r="AN38" i="10" a="1"/>
  <c r="AN38" i="10" s="1"/>
  <c r="AN39" i="10" s="1"/>
  <c r="S84" i="16"/>
  <c r="S51" i="10"/>
  <c r="AN84" i="16" l="1" a="1"/>
  <c r="AN84" i="16" s="1"/>
  <c r="AN42" i="16" s="1"/>
  <c r="S57" i="11"/>
  <c r="S77" i="11" s="1"/>
  <c r="S53" i="10"/>
  <c r="AN51" i="10" a="1"/>
  <c r="AN51" i="10" s="1"/>
  <c r="S85" i="16"/>
  <c r="S222" i="10"/>
  <c r="S127" i="10"/>
  <c r="S210" i="10" s="1"/>
  <c r="T44" i="11"/>
  <c r="S228" i="10"/>
  <c r="S230" i="10" s="1"/>
  <c r="T74" i="11"/>
  <c r="S15" i="10"/>
  <c r="T49" i="10"/>
  <c r="AN85" i="16" l="1" a="1"/>
  <c r="AN85" i="16" s="1"/>
  <c r="AN34" i="16" s="1"/>
  <c r="S72" i="11"/>
  <c r="S75" i="11" s="1"/>
  <c r="AN75" i="11" s="1" a="1"/>
  <c r="AN75" i="11" s="1"/>
  <c r="AN228" i="10"/>
  <c r="AN230" i="10" s="1"/>
  <c r="AN127" i="10"/>
  <c r="AN210" i="10" s="1"/>
  <c r="AN222" i="10"/>
  <c r="S18" i="10"/>
  <c r="S23" i="10" s="1"/>
  <c r="AN15" i="10" a="1"/>
  <c r="AN15" i="10" s="1"/>
  <c r="AN18" i="10" s="1"/>
  <c r="AN23" i="10" s="1"/>
  <c r="AN41" i="10" s="1"/>
  <c r="S224" i="10"/>
  <c r="S233" i="10"/>
  <c r="S234" i="10"/>
  <c r="T137" i="4"/>
  <c r="T140" i="4" s="1"/>
  <c r="T23" i="4" s="1"/>
  <c r="AN234" i="10" l="1"/>
  <c r="AN224" i="10"/>
  <c r="AN233" i="10"/>
  <c r="S41" i="10"/>
  <c r="S81" i="16"/>
  <c r="S79" i="16"/>
  <c r="T52" i="1"/>
  <c r="T53" i="1" s="1"/>
  <c r="T107" i="11"/>
  <c r="T54" i="11" s="1"/>
  <c r="AN79" i="16" l="1" a="1"/>
  <c r="AN79" i="16" s="1"/>
  <c r="AN41" i="16" s="1"/>
  <c r="AN81" i="16" a="1"/>
  <c r="AN81" i="16" s="1"/>
  <c r="T178" i="5"/>
  <c r="T180" i="5" s="1"/>
  <c r="AN43" i="16" l="1"/>
  <c r="AN38" i="16" s="1"/>
  <c r="AN20" i="16"/>
  <c r="AN37" i="16" s="1"/>
  <c r="AN21" i="16"/>
  <c r="T29" i="5"/>
  <c r="T30" i="5" s="1"/>
  <c r="T55" i="1"/>
  <c r="T56" i="1" s="1"/>
  <c r="T66" i="16" s="1"/>
  <c r="T109" i="11"/>
  <c r="T56" i="11" s="1"/>
  <c r="T182" i="5"/>
  <c r="T184" i="5" s="1"/>
  <c r="T182" i="10" l="1"/>
  <c r="T180" i="10" s="1"/>
  <c r="T185" i="10" s="1"/>
  <c r="T30" i="16"/>
  <c r="T65" i="1"/>
  <c r="T57" i="1"/>
  <c r="T15" i="11"/>
  <c r="T202" i="10"/>
  <c r="T33" i="10" l="1"/>
  <c r="T34" i="10" s="1"/>
  <c r="T83" i="16" s="1"/>
  <c r="T26" i="11"/>
  <c r="T93" i="11" s="1"/>
  <c r="T204" i="10"/>
  <c r="T27" i="11" l="1"/>
  <c r="T94" i="11"/>
  <c r="T51" i="11" s="1"/>
  <c r="T206" i="10"/>
  <c r="T208" i="10" s="1"/>
  <c r="T38" i="10"/>
  <c r="U201" i="10"/>
  <c r="T211" i="10"/>
  <c r="T71" i="16" l="1"/>
  <c r="T110" i="11"/>
  <c r="T112" i="11" s="1"/>
  <c r="T42" i="11"/>
  <c r="T45" i="11" s="1"/>
  <c r="T39" i="10"/>
  <c r="T84" i="16"/>
  <c r="T50" i="10"/>
  <c r="T57" i="11" l="1"/>
  <c r="T77" i="11" s="1"/>
  <c r="T85" i="16"/>
  <c r="T51" i="10"/>
  <c r="T53" i="10" s="1"/>
  <c r="T72" i="11" l="1"/>
  <c r="T75" i="11" s="1"/>
  <c r="T127" i="10"/>
  <c r="T210" i="10" s="1"/>
  <c r="T228" i="10"/>
  <c r="T230" i="10" s="1"/>
  <c r="T15" i="10"/>
  <c r="T18" i="10" s="1"/>
  <c r="T23" i="10" s="1"/>
  <c r="U44" i="11"/>
  <c r="T222" i="10"/>
  <c r="U74" i="11"/>
  <c r="U49" i="10"/>
  <c r="T41" i="10" l="1"/>
  <c r="T81" i="16"/>
  <c r="T79" i="16"/>
  <c r="U137" i="4"/>
  <c r="U140" i="4" s="1"/>
  <c r="U23" i="4" s="1"/>
  <c r="T224" i="10"/>
  <c r="T234" i="10"/>
  <c r="T233" i="10"/>
  <c r="U107" i="11" l="1"/>
  <c r="U54" i="11" s="1"/>
  <c r="U52" i="1"/>
  <c r="U53" i="1" s="1"/>
  <c r="U178" i="5" l="1"/>
  <c r="U180" i="5" s="1"/>
  <c r="U109" i="11" l="1"/>
  <c r="U56" i="11" s="1"/>
  <c r="U55" i="1"/>
  <c r="U56" i="1" s="1"/>
  <c r="U66" i="16" s="1"/>
  <c r="U29" i="5"/>
  <c r="U30" i="5" s="1"/>
  <c r="U182" i="5"/>
  <c r="U184" i="5" s="1"/>
  <c r="U182" i="10" l="1"/>
  <c r="U180" i="10" s="1"/>
  <c r="U33" i="10" s="1"/>
  <c r="U34" i="10" s="1"/>
  <c r="U83" i="16" s="1"/>
  <c r="U30" i="16"/>
  <c r="U65" i="1"/>
  <c r="U202" i="10"/>
  <c r="U57" i="1"/>
  <c r="U15" i="11"/>
  <c r="U185" i="10" l="1"/>
  <c r="U26" i="11"/>
  <c r="U27" i="11" s="1"/>
  <c r="U204" i="10"/>
  <c r="U211" i="10" s="1"/>
  <c r="U93" i="11" l="1"/>
  <c r="U71" i="16"/>
  <c r="U42" i="11"/>
  <c r="U45" i="11" s="1"/>
  <c r="U94" i="11"/>
  <c r="U51" i="11" s="1"/>
  <c r="U38" i="10"/>
  <c r="U206" i="10"/>
  <c r="U208" i="10" s="1"/>
  <c r="V201" i="10"/>
  <c r="U110" i="11" l="1"/>
  <c r="U112" i="11" s="1"/>
  <c r="U50" i="10"/>
  <c r="U51" i="10" s="1"/>
  <c r="U39" i="10"/>
  <c r="U84" i="16"/>
  <c r="U57" i="11" l="1"/>
  <c r="U77" i="11" s="1"/>
  <c r="U85" i="16"/>
  <c r="U222" i="10"/>
  <c r="U127" i="10"/>
  <c r="U210" i="10" s="1"/>
  <c r="V74" i="11"/>
  <c r="U228" i="10"/>
  <c r="U230" i="10" s="1"/>
  <c r="U15" i="10"/>
  <c r="U18" i="10" s="1"/>
  <c r="U23" i="10" s="1"/>
  <c r="V44" i="11"/>
  <c r="V49" i="10"/>
  <c r="U53" i="10"/>
  <c r="U72" i="11" l="1"/>
  <c r="U75" i="11" s="1"/>
  <c r="U41" i="10"/>
  <c r="U81" i="16"/>
  <c r="U79" i="16"/>
  <c r="V137" i="4"/>
  <c r="U233" i="10"/>
  <c r="U234" i="10"/>
  <c r="U224" i="10"/>
  <c r="V140" i="4" l="1"/>
  <c r="V23" i="4" s="1"/>
  <c r="V52" i="1" s="1"/>
  <c r="V53" i="1" s="1"/>
  <c r="AO137" i="4" a="1"/>
  <c r="AO137" i="4" s="1"/>
  <c r="AV137" i="4"/>
  <c r="V107" i="11" l="1"/>
  <c r="V54" i="11" s="1"/>
  <c r="V178" i="5"/>
  <c r="V180" i="5" s="1"/>
  <c r="V109" i="11" l="1"/>
  <c r="V56" i="11" s="1"/>
  <c r="V55" i="1"/>
  <c r="V56" i="1" s="1"/>
  <c r="V66" i="16" s="1"/>
  <c r="V29" i="5"/>
  <c r="V30" i="5" s="1"/>
  <c r="V182" i="5"/>
  <c r="V184" i="5" s="1"/>
  <c r="AO180" i="10" l="1" a="1"/>
  <c r="AO180" i="10" s="1"/>
  <c r="V182" i="10"/>
  <c r="V180" i="10" s="1"/>
  <c r="V30" i="16"/>
  <c r="V65" i="1"/>
  <c r="V185" i="10"/>
  <c r="V15" i="11"/>
  <c r="V57" i="1"/>
  <c r="V202" i="10"/>
  <c r="AO185" i="10" l="1"/>
  <c r="V33" i="10"/>
  <c r="V26" i="11"/>
  <c r="V34" i="10"/>
  <c r="V83" i="16" s="1"/>
  <c r="AO33" i="10" a="1"/>
  <c r="AO33" i="10" s="1"/>
  <c r="AO34" i="10" s="1"/>
  <c r="V27" i="11"/>
  <c r="V204" i="10"/>
  <c r="AO204" i="10" s="1" a="1"/>
  <c r="AO204" i="10" s="1"/>
  <c r="V93" i="11"/>
  <c r="V94" i="11" s="1"/>
  <c r="V51" i="11" s="1"/>
  <c r="V71" i="16" l="1"/>
  <c r="V110" i="11"/>
  <c r="V57" i="11"/>
  <c r="V72" i="11" s="1"/>
  <c r="V75" i="11" s="1"/>
  <c r="AV75" i="11" s="1"/>
  <c r="AO75" i="11" a="1"/>
  <c r="AO75" i="11" s="1"/>
  <c r="V112" i="11"/>
  <c r="AO206" i="10"/>
  <c r="AO208" i="10" s="1"/>
  <c r="AV83" i="16"/>
  <c r="AO83" i="16" a="1"/>
  <c r="AO83" i="16" s="1"/>
  <c r="V42" i="11"/>
  <c r="V45" i="11" s="1"/>
  <c r="V206" i="10"/>
  <c r="V208" i="10" s="1"/>
  <c r="W201" i="10"/>
  <c r="V38" i="10"/>
  <c r="V211" i="10"/>
  <c r="V77" i="11" l="1"/>
  <c r="V50" i="10"/>
  <c r="AO45" i="11" a="1"/>
  <c r="AO45" i="11" s="1"/>
  <c r="AV45" i="11"/>
  <c r="V39" i="10"/>
  <c r="AO38" i="10" a="1"/>
  <c r="AO38" i="10" s="1"/>
  <c r="AO39" i="10" s="1"/>
  <c r="V84" i="16"/>
  <c r="V51" i="10"/>
  <c r="AO51" i="10" s="1" a="1"/>
  <c r="AO51" i="10" s="1"/>
  <c r="AO84" i="16" l="1" a="1"/>
  <c r="AO84" i="16" s="1"/>
  <c r="AO42" i="16" s="1"/>
  <c r="AO228" i="10"/>
  <c r="AO230" i="10" s="1"/>
  <c r="AO127" i="10"/>
  <c r="AO210" i="10" s="1"/>
  <c r="AO222" i="10"/>
  <c r="V85" i="16"/>
  <c r="V222" i="10"/>
  <c r="V228" i="10"/>
  <c r="V230" i="10" s="1"/>
  <c r="V127" i="10"/>
  <c r="V210" i="10" s="1"/>
  <c r="V15" i="10"/>
  <c r="AV15" i="10" s="1"/>
  <c r="W44" i="11"/>
  <c r="W49" i="10"/>
  <c r="W74" i="11"/>
  <c r="V53" i="10"/>
  <c r="AO85" i="16" l="1" a="1"/>
  <c r="AO85" i="16" s="1"/>
  <c r="AO34" i="16" s="1"/>
  <c r="AO233" i="10"/>
  <c r="AO234" i="10"/>
  <c r="AO224" i="10"/>
  <c r="V18" i="10"/>
  <c r="V23" i="10" s="1"/>
  <c r="AO15" i="10" a="1"/>
  <c r="AO15" i="10" s="1"/>
  <c r="AO18" i="10" s="1"/>
  <c r="AO23" i="10" s="1"/>
  <c r="AO41" i="10" s="1"/>
  <c r="AV18" i="10"/>
  <c r="AV23" i="10" s="1"/>
  <c r="W137" i="4"/>
  <c r="W140" i="4" s="1"/>
  <c r="W23" i="4" s="1"/>
  <c r="V224" i="10"/>
  <c r="V234" i="10"/>
  <c r="V233" i="10"/>
  <c r="V41" i="10" l="1"/>
  <c r="V81" i="16"/>
  <c r="V79" i="16"/>
  <c r="W52" i="1"/>
  <c r="W53" i="1" s="1"/>
  <c r="W107" i="11"/>
  <c r="W54" i="11" s="1"/>
  <c r="AO79" i="16" l="1" a="1"/>
  <c r="AO79" i="16" s="1"/>
  <c r="AO41" i="16" s="1"/>
  <c r="AV81" i="16"/>
  <c r="AO81" i="16" a="1"/>
  <c r="AO81" i="16" s="1"/>
  <c r="W178" i="5"/>
  <c r="W180" i="5" s="1"/>
  <c r="AO43" i="16" l="1"/>
  <c r="AO38" i="16" s="1"/>
  <c r="AO20" i="16"/>
  <c r="AO37" i="16" s="1"/>
  <c r="AO21" i="16"/>
  <c r="W55" i="1"/>
  <c r="W56" i="1" s="1"/>
  <c r="W66" i="16" s="1"/>
  <c r="W29" i="5"/>
  <c r="W30" i="5" s="1"/>
  <c r="W109" i="11"/>
  <c r="W56" i="11" s="1"/>
  <c r="W182" i="5"/>
  <c r="W184" i="5" s="1"/>
  <c r="W182" i="10" l="1"/>
  <c r="W180" i="10" s="1"/>
  <c r="W26" i="11" s="1"/>
  <c r="W30" i="16"/>
  <c r="W65" i="1"/>
  <c r="W202" i="10"/>
  <c r="W57" i="1"/>
  <c r="W15" i="11"/>
  <c r="W33" i="10" l="1"/>
  <c r="W34" i="10" s="1"/>
  <c r="W83" i="16" s="1"/>
  <c r="W185" i="10"/>
  <c r="W27" i="11"/>
  <c r="W204" i="10"/>
  <c r="W93" i="11"/>
  <c r="W94" i="11" s="1"/>
  <c r="W51" i="11" s="1"/>
  <c r="W71" i="16" l="1"/>
  <c r="W110" i="11"/>
  <c r="W112" i="11" s="1"/>
  <c r="W57" i="11"/>
  <c r="W72" i="11" s="1"/>
  <c r="W75" i="11" s="1"/>
  <c r="W42" i="11"/>
  <c r="W45" i="11" s="1"/>
  <c r="W206" i="10"/>
  <c r="W208" i="10" s="1"/>
  <c r="W38" i="10"/>
  <c r="X201" i="10"/>
  <c r="W211" i="10"/>
  <c r="W77" i="11" l="1"/>
  <c r="W50" i="10"/>
  <c r="W39" i="10"/>
  <c r="W84" i="16"/>
  <c r="W51" i="10"/>
  <c r="W85" i="16" l="1"/>
  <c r="W222" i="10"/>
  <c r="W15" i="10"/>
  <c r="W18" i="10" s="1"/>
  <c r="W23" i="10" s="1"/>
  <c r="X44" i="11"/>
  <c r="X74" i="11"/>
  <c r="W228" i="10"/>
  <c r="W230" i="10" s="1"/>
  <c r="W127" i="10"/>
  <c r="W210" i="10" s="1"/>
  <c r="X49" i="10"/>
  <c r="W53" i="10"/>
  <c r="W41" i="10" l="1"/>
  <c r="W79" i="16"/>
  <c r="W81" i="16"/>
  <c r="X137" i="4"/>
  <c r="X140" i="4" s="1"/>
  <c r="X23" i="4" s="1"/>
  <c r="W224" i="10"/>
  <c r="W233" i="10"/>
  <c r="W234" i="10"/>
  <c r="X107" i="11" l="1"/>
  <c r="X54" i="11" s="1"/>
  <c r="X52" i="1"/>
  <c r="X53" i="1" s="1"/>
  <c r="X178" i="5" l="1"/>
  <c r="X180" i="5" s="1"/>
  <c r="X55" i="1" l="1"/>
  <c r="X56" i="1" s="1"/>
  <c r="X66" i="16" s="1"/>
  <c r="X109" i="11"/>
  <c r="X56" i="11" s="1"/>
  <c r="X29" i="5"/>
  <c r="X30" i="5" s="1"/>
  <c r="X182" i="5"/>
  <c r="X184" i="5" s="1"/>
  <c r="X182" i="10" l="1"/>
  <c r="X180" i="10" s="1"/>
  <c r="X33" i="10" s="1"/>
  <c r="X34" i="10" s="1"/>
  <c r="X83" i="16" s="1"/>
  <c r="X30" i="16"/>
  <c r="X65" i="1"/>
  <c r="X15" i="11"/>
  <c r="X202" i="10"/>
  <c r="X57" i="1"/>
  <c r="X26" i="11" l="1"/>
  <c r="X27" i="11" s="1"/>
  <c r="X185" i="10"/>
  <c r="X204" i="10"/>
  <c r="X71" i="16" l="1"/>
  <c r="X93" i="11"/>
  <c r="X94" i="11" s="1"/>
  <c r="X51" i="11" s="1"/>
  <c r="X42" i="11"/>
  <c r="X45" i="11" s="1"/>
  <c r="X38" i="10"/>
  <c r="X206" i="10"/>
  <c r="X208" i="10" s="1"/>
  <c r="Y201" i="10"/>
  <c r="X211" i="10"/>
  <c r="X110" i="11" l="1"/>
  <c r="X112" i="11" s="1"/>
  <c r="X57" i="11"/>
  <c r="X50" i="10"/>
  <c r="X51" i="10" s="1"/>
  <c r="X39" i="10"/>
  <c r="X84" i="16"/>
  <c r="X72" i="11" l="1"/>
  <c r="X75" i="11" s="1"/>
  <c r="X77" i="11"/>
  <c r="X85" i="16"/>
  <c r="X228" i="10"/>
  <c r="X230" i="10" s="1"/>
  <c r="X15" i="10"/>
  <c r="X18" i="10" s="1"/>
  <c r="X23" i="10" s="1"/>
  <c r="Y44" i="11"/>
  <c r="X127" i="10"/>
  <c r="X210" i="10" s="1"/>
  <c r="Y74" i="11"/>
  <c r="X222" i="10"/>
  <c r="Y49" i="10"/>
  <c r="X53" i="10"/>
  <c r="X41" i="10" l="1"/>
  <c r="X79" i="16"/>
  <c r="X81" i="16"/>
  <c r="Y137" i="4"/>
  <c r="X234" i="10"/>
  <c r="X233" i="10"/>
  <c r="X224" i="10"/>
  <c r="Y140" i="4" l="1"/>
  <c r="Y23" i="4" s="1"/>
  <c r="Y107" i="11" s="1"/>
  <c r="Y54" i="11" s="1"/>
  <c r="AP137" i="4" a="1"/>
  <c r="AP137" i="4" s="1"/>
  <c r="Y52" i="1" l="1"/>
  <c r="Y53" i="1" s="1"/>
  <c r="Y178" i="5" s="1"/>
  <c r="Y180" i="5" s="1"/>
  <c r="Y29" i="5" l="1"/>
  <c r="Y30" i="5" s="1"/>
  <c r="Y55" i="1"/>
  <c r="Y56" i="1" s="1"/>
  <c r="Y66" i="16" s="1"/>
  <c r="Y109" i="11"/>
  <c r="Y56" i="11" s="1"/>
  <c r="Y182" i="5"/>
  <c r="Y184" i="5" s="1"/>
  <c r="AP180" i="10" l="1" a="1"/>
  <c r="AP180" i="10" s="1"/>
  <c r="Y182" i="10"/>
  <c r="Y180" i="10" s="1"/>
  <c r="Y26" i="11" s="1"/>
  <c r="Y30" i="16"/>
  <c r="Y65" i="1"/>
  <c r="Y185" i="10"/>
  <c r="Y202" i="10"/>
  <c r="Y57" i="1"/>
  <c r="Y15" i="11"/>
  <c r="Y33" i="10" l="1"/>
  <c r="Y34" i="10" s="1"/>
  <c r="Y83" i="16" s="1"/>
  <c r="AP185" i="10"/>
  <c r="AP33" i="10" a="1"/>
  <c r="AP33" i="10" s="1"/>
  <c r="AP34" i="10" s="1"/>
  <c r="Y27" i="11"/>
  <c r="Y204" i="10"/>
  <c r="Y93" i="11"/>
  <c r="Y94" i="11" s="1"/>
  <c r="Y51" i="11" s="1"/>
  <c r="Y110" i="11" l="1"/>
  <c r="Y112" i="11" s="1"/>
  <c r="Y57" i="11"/>
  <c r="Y72" i="11" s="1"/>
  <c r="Y75" i="11" s="1"/>
  <c r="AP75" i="11" s="1" a="1"/>
  <c r="AP75" i="11" s="1"/>
  <c r="Y211" i="10"/>
  <c r="AP204" i="10" a="1"/>
  <c r="AP204" i="10" s="1"/>
  <c r="AP83" i="16" a="1"/>
  <c r="AP83" i="16" s="1"/>
  <c r="Y42" i="11"/>
  <c r="Y50" i="10" s="1"/>
  <c r="Y71" i="16"/>
  <c r="Y206" i="10"/>
  <c r="Y208" i="10" s="1"/>
  <c r="Z201" i="10"/>
  <c r="Y38" i="10"/>
  <c r="Y77" i="11" l="1"/>
  <c r="AP206" i="10"/>
  <c r="AP208" i="10" s="1"/>
  <c r="Y45" i="11"/>
  <c r="AP45" i="11" s="1" a="1"/>
  <c r="AP45" i="11" s="1"/>
  <c r="Y39" i="10"/>
  <c r="AP38" i="10" a="1"/>
  <c r="AP38" i="10" s="1"/>
  <c r="AP39" i="10" s="1"/>
  <c r="Y84" i="16"/>
  <c r="Y51" i="10"/>
  <c r="AP84" i="16" l="1" a="1"/>
  <c r="AP84" i="16" s="1"/>
  <c r="AP42" i="16" s="1"/>
  <c r="Y53" i="10"/>
  <c r="AP51" i="10" a="1"/>
  <c r="AP51" i="10" s="1"/>
  <c r="Y85" i="16"/>
  <c r="Y228" i="10"/>
  <c r="Y230" i="10" s="1"/>
  <c r="Y127" i="10"/>
  <c r="Y210" i="10" s="1"/>
  <c r="Z74" i="11"/>
  <c r="Z49" i="10"/>
  <c r="Y222" i="10"/>
  <c r="Y15" i="10"/>
  <c r="Z44" i="11"/>
  <c r="AP85" i="16" l="1" a="1"/>
  <c r="AP85" i="16" s="1"/>
  <c r="AP34" i="16" s="1"/>
  <c r="AP228" i="10"/>
  <c r="AP230" i="10" s="1"/>
  <c r="AP127" i="10"/>
  <c r="AP210" i="10" s="1"/>
  <c r="AP222" i="10"/>
  <c r="Y18" i="10"/>
  <c r="Y23" i="10" s="1"/>
  <c r="AP15" i="10" a="1"/>
  <c r="AP15" i="10" s="1"/>
  <c r="AP18" i="10" s="1"/>
  <c r="AP23" i="10" s="1"/>
  <c r="AP41" i="10" s="1"/>
  <c r="Z137" i="4"/>
  <c r="Z140" i="4" s="1"/>
  <c r="Z23" i="4" s="1"/>
  <c r="Y234" i="10"/>
  <c r="Y224" i="10"/>
  <c r="Y233" i="10"/>
  <c r="AP233" i="10" l="1"/>
  <c r="AP234" i="10"/>
  <c r="AP224" i="10"/>
  <c r="Y41" i="10"/>
  <c r="Y79" i="16"/>
  <c r="Y81" i="16"/>
  <c r="Z52" i="1"/>
  <c r="Z53" i="1" s="1"/>
  <c r="Z107" i="11"/>
  <c r="Z54" i="11" s="1"/>
  <c r="AP79" i="16" l="1" a="1"/>
  <c r="AP79" i="16" s="1"/>
  <c r="AP43" i="16" s="1"/>
  <c r="AP38" i="16" s="1"/>
  <c r="AP81" i="16" a="1"/>
  <c r="AP81" i="16" s="1"/>
  <c r="Z178" i="5"/>
  <c r="Z180" i="5" s="1"/>
  <c r="AP20" i="16" l="1"/>
  <c r="AP37" i="16" s="1"/>
  <c r="AP41" i="16"/>
  <c r="AP21" i="16"/>
  <c r="Z109" i="11"/>
  <c r="Z56" i="11" s="1"/>
  <c r="Z29" i="5"/>
  <c r="Z30" i="5" s="1"/>
  <c r="Z55" i="1"/>
  <c r="Z56" i="1" s="1"/>
  <c r="Z66" i="16" s="1"/>
  <c r="Z182" i="5"/>
  <c r="Z184" i="5" s="1"/>
  <c r="Z182" i="10" l="1"/>
  <c r="Z180" i="10" s="1"/>
  <c r="Z26" i="11" s="1"/>
  <c r="Z30" i="16"/>
  <c r="Z65" i="1"/>
  <c r="Z202" i="10"/>
  <c r="Z57" i="1"/>
  <c r="Z15" i="11"/>
  <c r="Z185" i="10" l="1"/>
  <c r="Z33" i="10"/>
  <c r="Z34" i="10" s="1"/>
  <c r="Z83" i="16" s="1"/>
  <c r="Z27" i="11"/>
  <c r="Z204" i="10"/>
  <c r="Z93" i="11"/>
  <c r="Z94" i="11" s="1"/>
  <c r="Z51" i="11" s="1"/>
  <c r="Z71" i="16" l="1"/>
  <c r="Z110" i="11"/>
  <c r="Z112" i="11" s="1"/>
  <c r="Z57" i="11"/>
  <c r="Z72" i="11" s="1"/>
  <c r="Z75" i="11" s="1"/>
  <c r="Z42" i="11"/>
  <c r="Z50" i="10" s="1"/>
  <c r="Z206" i="10"/>
  <c r="Z208" i="10" s="1"/>
  <c r="Z38" i="10"/>
  <c r="AA201" i="10"/>
  <c r="Z211" i="10"/>
  <c r="Z45" i="11" l="1"/>
  <c r="Z77" i="11"/>
  <c r="Z39" i="10"/>
  <c r="Z84" i="16"/>
  <c r="Z51" i="10"/>
  <c r="Z85" i="16" l="1"/>
  <c r="Z127" i="10"/>
  <c r="Z210" i="10" s="1"/>
  <c r="Z228" i="10"/>
  <c r="Z230" i="10" s="1"/>
  <c r="Z15" i="10"/>
  <c r="Z18" i="10" s="1"/>
  <c r="Z23" i="10" s="1"/>
  <c r="AA44" i="11"/>
  <c r="Z222" i="10"/>
  <c r="AA49" i="10"/>
  <c r="AA74" i="11"/>
  <c r="Z53" i="10"/>
  <c r="Z41" i="10" l="1"/>
  <c r="Z81" i="16"/>
  <c r="Z79" i="16"/>
  <c r="Z224" i="10"/>
  <c r="Z234" i="10"/>
  <c r="Z233" i="10"/>
  <c r="AA137" i="4"/>
  <c r="AA140" i="4" s="1"/>
  <c r="AA23" i="4" s="1"/>
  <c r="AA107" i="11" l="1"/>
  <c r="AA54" i="11" s="1"/>
  <c r="AA52" i="1"/>
  <c r="AA53" i="1" s="1"/>
  <c r="AA178" i="5" l="1"/>
  <c r="AA180" i="5" s="1"/>
  <c r="AA109" i="11" l="1"/>
  <c r="AA56" i="11" s="1"/>
  <c r="AA55" i="1"/>
  <c r="AA56" i="1" s="1"/>
  <c r="AA66" i="16" s="1"/>
  <c r="AA29" i="5"/>
  <c r="AA30" i="5" s="1"/>
  <c r="AA182" i="5"/>
  <c r="AA184" i="5" s="1"/>
  <c r="AA182" i="10" l="1"/>
  <c r="AA180" i="10" s="1"/>
  <c r="AA185" i="10" s="1"/>
  <c r="AA30" i="16"/>
  <c r="AA65" i="1"/>
  <c r="AA202" i="10"/>
  <c r="AA15" i="11"/>
  <c r="AA57" i="1"/>
  <c r="AA33" i="10" l="1"/>
  <c r="AA34" i="10" s="1"/>
  <c r="AA83" i="16" s="1"/>
  <c r="AA26" i="11"/>
  <c r="AA27" i="11" s="1"/>
  <c r="AA204" i="10"/>
  <c r="AA93" i="11" l="1"/>
  <c r="AA94" i="11" s="1"/>
  <c r="AA51" i="11" s="1"/>
  <c r="AA57" i="11" s="1"/>
  <c r="AA72" i="11" s="1"/>
  <c r="AA75" i="11" s="1"/>
  <c r="AA71" i="16"/>
  <c r="AA42" i="11"/>
  <c r="AA45" i="11" s="1"/>
  <c r="AA38" i="10"/>
  <c r="AA206" i="10"/>
  <c r="AA208" i="10" s="1"/>
  <c r="AB201" i="10"/>
  <c r="AA211" i="10"/>
  <c r="AA50" i="10" l="1"/>
  <c r="AA51" i="10" s="1"/>
  <c r="AA110" i="11"/>
  <c r="AA112" i="11" s="1"/>
  <c r="AA77" i="11"/>
  <c r="AA39" i="10"/>
  <c r="AA84" i="16"/>
  <c r="AA85" i="16" l="1"/>
  <c r="AA228" i="10"/>
  <c r="AA230" i="10" s="1"/>
  <c r="AB44" i="11"/>
  <c r="AA15" i="10"/>
  <c r="AA18" i="10" s="1"/>
  <c r="AA23" i="10" s="1"/>
  <c r="AB74" i="11"/>
  <c r="AA222" i="10"/>
  <c r="AA127" i="10"/>
  <c r="AA210" i="10" s="1"/>
  <c r="AB49" i="10"/>
  <c r="AA53" i="10"/>
  <c r="AA41" i="10" l="1"/>
  <c r="AA81" i="16"/>
  <c r="AA79" i="16"/>
  <c r="AB137" i="4"/>
  <c r="AA224" i="10"/>
  <c r="AA233" i="10"/>
  <c r="AA234" i="10"/>
  <c r="AB140" i="4" l="1"/>
  <c r="AB23" i="4" s="1"/>
  <c r="AB107" i="11" s="1"/>
  <c r="AB54" i="11" s="1"/>
  <c r="AQ137" i="4" a="1"/>
  <c r="AQ137" i="4" s="1"/>
  <c r="AB52" i="1" l="1"/>
  <c r="AB53" i="1" s="1"/>
  <c r="AB178" i="5" s="1"/>
  <c r="AB180" i="5" s="1"/>
  <c r="AB29" i="5" l="1"/>
  <c r="AB30" i="5" s="1"/>
  <c r="AB55" i="1"/>
  <c r="AB56" i="1" s="1"/>
  <c r="AB109" i="11"/>
  <c r="AB56" i="11" s="1"/>
  <c r="AB182" i="5"/>
  <c r="AB184" i="5" s="1"/>
  <c r="AQ180" i="10" l="1" a="1"/>
  <c r="AQ180" i="10" s="1"/>
  <c r="AB182" i="10"/>
  <c r="AB180" i="10" s="1"/>
  <c r="AB33" i="10" s="1"/>
  <c r="AB65" i="1"/>
  <c r="AB66" i="16"/>
  <c r="AB57" i="1"/>
  <c r="AB202" i="10"/>
  <c r="AB15" i="11"/>
  <c r="AB185" i="10" l="1"/>
  <c r="AB26" i="11"/>
  <c r="AB27" i="11" s="1"/>
  <c r="AQ185" i="10"/>
  <c r="AB34" i="10"/>
  <c r="AB83" i="16" s="1"/>
  <c r="AQ83" i="16" s="1" a="1"/>
  <c r="AQ83" i="16" s="1"/>
  <c r="AQ33" i="10" a="1"/>
  <c r="AQ33" i="10" s="1"/>
  <c r="AQ34" i="10" s="1"/>
  <c r="AB30" i="16"/>
  <c r="AB204" i="10"/>
  <c r="AQ204" i="10" s="1" a="1"/>
  <c r="AQ204" i="10" s="1"/>
  <c r="AB93" i="11"/>
  <c r="AB94" i="11" s="1"/>
  <c r="AB51" i="11" s="1"/>
  <c r="AB110" i="11" l="1"/>
  <c r="AB112" i="11" s="1"/>
  <c r="AB57" i="11"/>
  <c r="AB72" i="11" s="1"/>
  <c r="AB75" i="11" s="1"/>
  <c r="AQ75" i="11" s="1" a="1"/>
  <c r="AQ75" i="11" s="1"/>
  <c r="AQ206" i="10"/>
  <c r="AQ208" i="10" s="1"/>
  <c r="AB42" i="11"/>
  <c r="AB50" i="10" s="1"/>
  <c r="AB71" i="16"/>
  <c r="AB206" i="10"/>
  <c r="AB208" i="10" s="1"/>
  <c r="AB38" i="10"/>
  <c r="AC201" i="10"/>
  <c r="AB211" i="10"/>
  <c r="AB45" i="11" l="1"/>
  <c r="AQ45" i="11" s="1" a="1"/>
  <c r="AQ45" i="11" s="1"/>
  <c r="AB77" i="11"/>
  <c r="AB39" i="10"/>
  <c r="AQ38" i="10" a="1"/>
  <c r="AQ38" i="10" s="1"/>
  <c r="AQ39" i="10" s="1"/>
  <c r="AB84" i="16"/>
  <c r="AB51" i="10"/>
  <c r="AQ51" i="10" s="1" a="1"/>
  <c r="AQ51" i="10" s="1"/>
  <c r="AQ84" i="16" l="1" a="1"/>
  <c r="AQ84" i="16" s="1"/>
  <c r="AQ42" i="16" s="1"/>
  <c r="AQ228" i="10"/>
  <c r="AQ230" i="10" s="1"/>
  <c r="AQ127" i="10"/>
  <c r="AQ210" i="10" s="1"/>
  <c r="AQ222" i="10"/>
  <c r="AB85" i="16"/>
  <c r="AB228" i="10"/>
  <c r="AB230" i="10" s="1"/>
  <c r="AB222" i="10"/>
  <c r="AC44" i="11"/>
  <c r="AB15" i="10"/>
  <c r="AB127" i="10"/>
  <c r="AB210" i="10" s="1"/>
  <c r="AC74" i="11"/>
  <c r="AC49" i="10"/>
  <c r="AB53" i="10"/>
  <c r="AQ85" i="16" l="1" a="1"/>
  <c r="AQ85" i="16" s="1"/>
  <c r="AQ34" i="16" s="1"/>
  <c r="AQ224" i="10"/>
  <c r="AQ234" i="10"/>
  <c r="AQ233" i="10"/>
  <c r="AB18" i="10"/>
  <c r="AB23" i="10" s="1"/>
  <c r="AQ15" i="10" a="1"/>
  <c r="AQ15" i="10" s="1"/>
  <c r="AQ18" i="10" s="1"/>
  <c r="AQ23" i="10" s="1"/>
  <c r="AQ41" i="10" s="1"/>
  <c r="AC137" i="4"/>
  <c r="AC140" i="4" s="1"/>
  <c r="AC23" i="4" s="1"/>
  <c r="AB233" i="10"/>
  <c r="AB234" i="10"/>
  <c r="AB224" i="10"/>
  <c r="AB41" i="10" l="1"/>
  <c r="AB81" i="16"/>
  <c r="AB79" i="16"/>
  <c r="AC107" i="11"/>
  <c r="AC54" i="11" s="1"/>
  <c r="AC52" i="1"/>
  <c r="AC53" i="1" s="1"/>
  <c r="AQ79" i="16" l="1" a="1"/>
  <c r="AQ79" i="16" s="1"/>
  <c r="AQ21" i="16" s="1"/>
  <c r="AQ81" i="16" a="1"/>
  <c r="AQ81" i="16" s="1"/>
  <c r="AC178" i="5"/>
  <c r="AC180" i="5" s="1"/>
  <c r="AQ43" i="16" l="1"/>
  <c r="AQ38" i="16" s="1"/>
  <c r="AQ20" i="16"/>
  <c r="AQ37" i="16" s="1"/>
  <c r="AQ41" i="16"/>
  <c r="AC55" i="1"/>
  <c r="AC56" i="1" s="1"/>
  <c r="AC109" i="11"/>
  <c r="AC56" i="11" s="1"/>
  <c r="AC29" i="5"/>
  <c r="AC30" i="5" s="1"/>
  <c r="AC182" i="5"/>
  <c r="AC184" i="5" s="1"/>
  <c r="AC182" i="10" l="1"/>
  <c r="AC180" i="10" s="1"/>
  <c r="AC33" i="10" s="1"/>
  <c r="AC34" i="10" s="1"/>
  <c r="AC83" i="16" s="1"/>
  <c r="AC65" i="1"/>
  <c r="AC66" i="16"/>
  <c r="AC202" i="10"/>
  <c r="AC57" i="1"/>
  <c r="AC15" i="11"/>
  <c r="AC26" i="11" l="1"/>
  <c r="AC185" i="10"/>
  <c r="AC27" i="11"/>
  <c r="AC30" i="16"/>
  <c r="AC42" i="11"/>
  <c r="AC204" i="10"/>
  <c r="AC211" i="10" s="1"/>
  <c r="AC93" i="11"/>
  <c r="AC94" i="11" s="1"/>
  <c r="AC51" i="11" s="1"/>
  <c r="AC71" i="16" l="1"/>
  <c r="AC110" i="11"/>
  <c r="AC112" i="11" s="1"/>
  <c r="AC57" i="11"/>
  <c r="AC72" i="11" s="1"/>
  <c r="AC75" i="11" s="1"/>
  <c r="AD201" i="10"/>
  <c r="AC206" i="10"/>
  <c r="AC208" i="10" s="1"/>
  <c r="AC38" i="10"/>
  <c r="AC45" i="11"/>
  <c r="AC50" i="10"/>
  <c r="AC77" i="11" l="1"/>
  <c r="AC39" i="10"/>
  <c r="AC84" i="16"/>
  <c r="AC51" i="10"/>
  <c r="AC53" i="10" s="1"/>
  <c r="AC85" i="16" l="1"/>
  <c r="AC127" i="10"/>
  <c r="AC210" i="10" s="1"/>
  <c r="AC222" i="10"/>
  <c r="AC15" i="10"/>
  <c r="AC18" i="10" s="1"/>
  <c r="AC23" i="10" s="1"/>
  <c r="AD74" i="11"/>
  <c r="AD49" i="10"/>
  <c r="AD44" i="11"/>
  <c r="AC228" i="10"/>
  <c r="AC230" i="10" s="1"/>
  <c r="AC41" i="10" l="1"/>
  <c r="AC81" i="16"/>
  <c r="AC79" i="16"/>
  <c r="AD137" i="4"/>
  <c r="AD140" i="4" s="1"/>
  <c r="AD23" i="4" s="1"/>
  <c r="AC224" i="10"/>
  <c r="AC234" i="10"/>
  <c r="AC233" i="10"/>
  <c r="AD52" i="1" l="1"/>
  <c r="AD53" i="1" s="1"/>
  <c r="AD107" i="11"/>
  <c r="AD54" i="11" s="1"/>
  <c r="AD178" i="5" l="1"/>
  <c r="AD180" i="5" s="1"/>
  <c r="AD29" i="5" l="1"/>
  <c r="AD30" i="5" s="1"/>
  <c r="AD55" i="1"/>
  <c r="AD56" i="1" s="1"/>
  <c r="AD109" i="11"/>
  <c r="AD56" i="11" s="1"/>
  <c r="AD182" i="5"/>
  <c r="AD184" i="5" s="1"/>
  <c r="AD182" i="10" l="1"/>
  <c r="AD180" i="10" s="1"/>
  <c r="AD65" i="1"/>
  <c r="AD66" i="16"/>
  <c r="AD57" i="1"/>
  <c r="AD202" i="10"/>
  <c r="AD15" i="11"/>
  <c r="AD26" i="11"/>
  <c r="AD33" i="10"/>
  <c r="AD34" i="10" s="1"/>
  <c r="AD83" i="16" s="1"/>
  <c r="AD185" i="10"/>
  <c r="AD30" i="16" l="1"/>
  <c r="AD27" i="11"/>
  <c r="AD204" i="10"/>
  <c r="AD93" i="11"/>
  <c r="AD94" i="11" s="1"/>
  <c r="AD51" i="11" s="1"/>
  <c r="AD71" i="16" l="1"/>
  <c r="AD110" i="11"/>
  <c r="AD57" i="11"/>
  <c r="AD72" i="11" s="1"/>
  <c r="AD75" i="11" s="1"/>
  <c r="AD42" i="11"/>
  <c r="AD45" i="11" s="1"/>
  <c r="AD112" i="11"/>
  <c r="AD206" i="10"/>
  <c r="AD208" i="10" s="1"/>
  <c r="AE201" i="10"/>
  <c r="AD38" i="10"/>
  <c r="AD211" i="10"/>
  <c r="AD77" i="11" l="1"/>
  <c r="AD50" i="10"/>
  <c r="AD39" i="10"/>
  <c r="AD84" i="16"/>
  <c r="AD51" i="10"/>
  <c r="AD85" i="16" l="1"/>
  <c r="AD127" i="10"/>
  <c r="AD210" i="10" s="1"/>
  <c r="AD228" i="10"/>
  <c r="AD230" i="10" s="1"/>
  <c r="AD222" i="10"/>
  <c r="AE44" i="11"/>
  <c r="AE74" i="11"/>
  <c r="AD15" i="10"/>
  <c r="AD18" i="10" s="1"/>
  <c r="AD23" i="10" s="1"/>
  <c r="AE49" i="10"/>
  <c r="AD53" i="10"/>
  <c r="AD41" i="10" l="1"/>
  <c r="AD81" i="16"/>
  <c r="AD79" i="16"/>
  <c r="AD224" i="10"/>
  <c r="AD234" i="10"/>
  <c r="AD233" i="10"/>
  <c r="AE137" i="4"/>
  <c r="AE140" i="4" l="1"/>
  <c r="AE23" i="4" s="1"/>
  <c r="AR137" i="4" a="1"/>
  <c r="AR137" i="4" s="1"/>
  <c r="AE107" i="11"/>
  <c r="AE54" i="11" s="1"/>
  <c r="AE52" i="1"/>
  <c r="AE53" i="1" s="1"/>
  <c r="AE178" i="5" l="1"/>
  <c r="AE180" i="5" s="1"/>
  <c r="AE29" i="5" l="1"/>
  <c r="AE30" i="5" s="1"/>
  <c r="AE109" i="11"/>
  <c r="AE56" i="11" s="1"/>
  <c r="AE55" i="1"/>
  <c r="AE56" i="1" s="1"/>
  <c r="AE182" i="5"/>
  <c r="AE184" i="5" s="1"/>
  <c r="AE182" i="10" l="1"/>
  <c r="AE180" i="10" s="1"/>
  <c r="AE33" i="10" s="1"/>
  <c r="AE65" i="1"/>
  <c r="AE66" i="16"/>
  <c r="AE202" i="10"/>
  <c r="AE57" i="1"/>
  <c r="AE15" i="11"/>
  <c r="AE26" i="11"/>
  <c r="AE185" i="10"/>
  <c r="AE34" i="10" l="1"/>
  <c r="AE83" i="16" s="1"/>
  <c r="AR33" i="10" a="1"/>
  <c r="AR33" i="10" s="1"/>
  <c r="AR34" i="10" s="1"/>
  <c r="AE30" i="16"/>
  <c r="AE93" i="11"/>
  <c r="AE94" i="11" s="1"/>
  <c r="AE51" i="11" s="1"/>
  <c r="AE27" i="11"/>
  <c r="AE204" i="10"/>
  <c r="AE211" i="10" s="1"/>
  <c r="AE71" i="16" l="1"/>
  <c r="AE110" i="11"/>
  <c r="AE57" i="11"/>
  <c r="AE72" i="11" s="1"/>
  <c r="AE75" i="11" s="1"/>
  <c r="AR75" i="11" s="1" a="1"/>
  <c r="AR75" i="11" s="1"/>
  <c r="AE38" i="10"/>
  <c r="AF201" i="10"/>
  <c r="AE206" i="10"/>
  <c r="AE208" i="10" s="1"/>
  <c r="AE112" i="11"/>
  <c r="AE42" i="11"/>
  <c r="AE77" i="11" l="1"/>
  <c r="AE39" i="10"/>
  <c r="AR38" i="10" a="1"/>
  <c r="AR38" i="10" s="1"/>
  <c r="AR39" i="10" s="1"/>
  <c r="AE84" i="16"/>
  <c r="AE50" i="10"/>
  <c r="AE45" i="11"/>
  <c r="AR45" i="11" s="1" a="1"/>
  <c r="AR45" i="11" s="1"/>
  <c r="AE85" i="16" l="1"/>
  <c r="AE51" i="10"/>
  <c r="AE53" i="10" s="1"/>
  <c r="AR85" i="16" l="1" a="1"/>
  <c r="AR85" i="16" s="1"/>
  <c r="AR34" i="16" s="1"/>
  <c r="AE15" i="10"/>
  <c r="AE127" i="10"/>
  <c r="AE210" i="10" s="1"/>
  <c r="AF44" i="11"/>
  <c r="AF74" i="11"/>
  <c r="AE228" i="10"/>
  <c r="AE230" i="10" s="1"/>
  <c r="AF49" i="10"/>
  <c r="AE222" i="10"/>
  <c r="AE18" i="10" l="1"/>
  <c r="AE23" i="10" s="1"/>
  <c r="AR15" i="10" a="1"/>
  <c r="AR15" i="10" s="1"/>
  <c r="AR18" i="10" s="1"/>
  <c r="AR23" i="10" s="1"/>
  <c r="AR41" i="10" s="1"/>
  <c r="AF137" i="4"/>
  <c r="AF140" i="4" s="1"/>
  <c r="AF23" i="4" s="1"/>
  <c r="AE233" i="10"/>
  <c r="AE234" i="10"/>
  <c r="AE224" i="10"/>
  <c r="AE41" i="10" l="1"/>
  <c r="AE79" i="16"/>
  <c r="AE81" i="16"/>
  <c r="AF52" i="1"/>
  <c r="AF53" i="1" s="1"/>
  <c r="AF107" i="11"/>
  <c r="AF54" i="11" s="1"/>
  <c r="AF178" i="5" l="1"/>
  <c r="AF180" i="5" s="1"/>
  <c r="AF109" i="11" l="1"/>
  <c r="AF56" i="11" s="1"/>
  <c r="AF55" i="1"/>
  <c r="AF56" i="1" s="1"/>
  <c r="AF29" i="5"/>
  <c r="AF30" i="5" s="1"/>
  <c r="AF182" i="5"/>
  <c r="AF184" i="5" s="1"/>
  <c r="AF182" i="10" l="1"/>
  <c r="AF180" i="10" s="1"/>
  <c r="AF33" i="10" s="1"/>
  <c r="AF34" i="10" s="1"/>
  <c r="AF83" i="16" s="1"/>
  <c r="AF65" i="1"/>
  <c r="AF66" i="16"/>
  <c r="AF202" i="10"/>
  <c r="AF15" i="11"/>
  <c r="AF57" i="1"/>
  <c r="AF185" i="10" l="1"/>
  <c r="AF26" i="11"/>
  <c r="AF27" i="11" s="1"/>
  <c r="AF30" i="16"/>
  <c r="AF204" i="10"/>
  <c r="AF211" i="10" s="1"/>
  <c r="AF71" i="16" l="1"/>
  <c r="AF93" i="11"/>
  <c r="AF94" i="11" s="1"/>
  <c r="AF51" i="11" s="1"/>
  <c r="AF42" i="11"/>
  <c r="AF50" i="10" s="1"/>
  <c r="AG201" i="10"/>
  <c r="AF206" i="10"/>
  <c r="AF208" i="10" s="1"/>
  <c r="AF38" i="10"/>
  <c r="AF110" i="11" l="1"/>
  <c r="AF112" i="11" s="1"/>
  <c r="AF57" i="11"/>
  <c r="AF45" i="11"/>
  <c r="AF39" i="10"/>
  <c r="AF84" i="16"/>
  <c r="AF51" i="10"/>
  <c r="AF72" i="11" l="1"/>
  <c r="AF75" i="11" s="1"/>
  <c r="AF77" i="11"/>
  <c r="AF85" i="16"/>
  <c r="AF222" i="10"/>
  <c r="AG74" i="11"/>
  <c r="AF127" i="10"/>
  <c r="AF210" i="10" s="1"/>
  <c r="AF15" i="10"/>
  <c r="AF18" i="10" s="1"/>
  <c r="AF23" i="10" s="1"/>
  <c r="AF228" i="10"/>
  <c r="AF230" i="10" s="1"/>
  <c r="AG44" i="11"/>
  <c r="AG49" i="10"/>
  <c r="AF53" i="10"/>
  <c r="AF41" i="10" l="1"/>
  <c r="AF79" i="16"/>
  <c r="AF81" i="16"/>
  <c r="AG137" i="4"/>
  <c r="AG140" i="4" s="1"/>
  <c r="AG23" i="4" s="1"/>
  <c r="AF233" i="10"/>
  <c r="AF224" i="10"/>
  <c r="AF234" i="10"/>
  <c r="AG52" i="1" l="1"/>
  <c r="AG53" i="1" s="1"/>
  <c r="AG107" i="11"/>
  <c r="AG54" i="11" s="1"/>
  <c r="AG178" i="5" l="1"/>
  <c r="AG180" i="5" s="1"/>
  <c r="AG29" i="5" l="1"/>
  <c r="AG30" i="5" s="1"/>
  <c r="AG55" i="1"/>
  <c r="AG56" i="1" s="1"/>
  <c r="AG109" i="11"/>
  <c r="AG56" i="11" s="1"/>
  <c r="AG182" i="5"/>
  <c r="AG184" i="5" s="1"/>
  <c r="AG182" i="10" l="1"/>
  <c r="AG180" i="10" s="1"/>
  <c r="AG26" i="11" s="1"/>
  <c r="AG65" i="1"/>
  <c r="AG66" i="16"/>
  <c r="AG202" i="10"/>
  <c r="AG57" i="1"/>
  <c r="AG15" i="11"/>
  <c r="AG185" i="10" l="1"/>
  <c r="AG33" i="10"/>
  <c r="AG34" i="10" s="1"/>
  <c r="AG83" i="16" s="1"/>
  <c r="AG27" i="11"/>
  <c r="AG30" i="16"/>
  <c r="AG204" i="10"/>
  <c r="AG211" i="10" s="1"/>
  <c r="AG93" i="11"/>
  <c r="AG94" i="11" s="1"/>
  <c r="AG51" i="11" s="1"/>
  <c r="AG71" i="16" l="1"/>
  <c r="AG110" i="11"/>
  <c r="AG112" i="11" s="1"/>
  <c r="AG57" i="11"/>
  <c r="AG72" i="11" s="1"/>
  <c r="AG75" i="11" s="1"/>
  <c r="AG42" i="11"/>
  <c r="AG50" i="10" s="1"/>
  <c r="AG38" i="10"/>
  <c r="AG206" i="10"/>
  <c r="AG208" i="10" s="1"/>
  <c r="AH201" i="10"/>
  <c r="AG45" i="11" l="1"/>
  <c r="AG77" i="11"/>
  <c r="AG39" i="10"/>
  <c r="AG84" i="16"/>
  <c r="AG51" i="10"/>
  <c r="AG53" i="10" s="1"/>
  <c r="AG85" i="16" l="1"/>
  <c r="AG15" i="10"/>
  <c r="AG18" i="10" s="1"/>
  <c r="AG23" i="10" s="1"/>
  <c r="AG127" i="10"/>
  <c r="AG210" i="10" s="1"/>
  <c r="AH74" i="11"/>
  <c r="AH49" i="10"/>
  <c r="AG228" i="10"/>
  <c r="AG230" i="10" s="1"/>
  <c r="AH44" i="11"/>
  <c r="AG222" i="10"/>
  <c r="AG41" i="10" l="1"/>
  <c r="AG79" i="16"/>
  <c r="AG81" i="16"/>
  <c r="AG233" i="10"/>
  <c r="AG234" i="10"/>
  <c r="AG224" i="10"/>
  <c r="AH137" i="4"/>
  <c r="AH140" i="4" l="1"/>
  <c r="AS137" i="4" a="1"/>
  <c r="AS137" i="4" s="1"/>
  <c r="AW137" i="4"/>
  <c r="AH23" i="4"/>
  <c r="AH107" i="11" s="1"/>
  <c r="AH54" i="11" s="1"/>
  <c r="AU140" i="4" a="1"/>
  <c r="AU140" i="4" s="1"/>
  <c r="AV140" i="4" a="1"/>
  <c r="AV140" i="4" s="1"/>
  <c r="AS140" i="4" a="1"/>
  <c r="AS140" i="4" s="1"/>
  <c r="AR140" i="4" a="1"/>
  <c r="AR140" i="4" s="1"/>
  <c r="AP140" i="4" a="1"/>
  <c r="AP140" i="4" s="1"/>
  <c r="AQ140" i="4" a="1"/>
  <c r="AQ140" i="4" s="1"/>
  <c r="AJ140" i="4" a="1"/>
  <c r="AJ140" i="4" s="1"/>
  <c r="AK140" i="4" a="1"/>
  <c r="AK140" i="4" s="1"/>
  <c r="AN140" i="4" a="1"/>
  <c r="AN140" i="4" s="1"/>
  <c r="AW140" i="4" a="1"/>
  <c r="AW140" i="4" s="1"/>
  <c r="AL140" i="4" a="1"/>
  <c r="AL140" i="4" s="1"/>
  <c r="AM140" i="4" a="1"/>
  <c r="AM140" i="4" s="1"/>
  <c r="AO140" i="4" a="1"/>
  <c r="AO140" i="4" s="1"/>
  <c r="AH52" i="1" l="1"/>
  <c r="AH53" i="1" s="1"/>
  <c r="AH178" i="5" s="1"/>
  <c r="AH180" i="5" s="1"/>
  <c r="AJ52" i="1" a="1"/>
  <c r="AJ52" i="1" s="1"/>
  <c r="AJ53" i="1" s="1"/>
  <c r="AM52" i="1" a="1"/>
  <c r="AM52" i="1" s="1"/>
  <c r="AM53" i="1" s="1"/>
  <c r="AJ23" i="4" a="1"/>
  <c r="AJ23" i="4" s="1"/>
  <c r="AU23" i="4" a="1"/>
  <c r="AU23" i="4" s="1"/>
  <c r="AQ23" i="4" a="1"/>
  <c r="AQ23" i="4" s="1"/>
  <c r="AN23" i="4" a="1"/>
  <c r="AN23" i="4" s="1"/>
  <c r="AK23" i="4" a="1"/>
  <c r="AK23" i="4" s="1"/>
  <c r="AR23" i="4" a="1"/>
  <c r="AR23" i="4" s="1"/>
  <c r="AP23" i="4" a="1"/>
  <c r="AP23" i="4" s="1"/>
  <c r="AW23" i="4" a="1"/>
  <c r="AW23" i="4" s="1"/>
  <c r="AS23" i="4" a="1"/>
  <c r="AS23" i="4" s="1"/>
  <c r="AL23" i="4" a="1"/>
  <c r="AL23" i="4" s="1"/>
  <c r="AV23" i="4" a="1"/>
  <c r="AV23" i="4" s="1"/>
  <c r="AM23" i="4" a="1"/>
  <c r="AM23" i="4" s="1"/>
  <c r="AO23" i="4" a="1"/>
  <c r="AO23" i="4" s="1"/>
  <c r="AU107" i="11" a="1"/>
  <c r="AU107" i="11" s="1"/>
  <c r="AV107" i="11" a="1"/>
  <c r="AV107" i="11" s="1"/>
  <c r="AN107" i="11" a="1"/>
  <c r="AN107" i="11" s="1"/>
  <c r="AS107" i="11" a="1"/>
  <c r="AS107" i="11" s="1"/>
  <c r="AK107" i="11" a="1"/>
  <c r="AK107" i="11" s="1"/>
  <c r="AW107" i="11" a="1"/>
  <c r="AW107" i="11" s="1"/>
  <c r="AO107" i="11" a="1"/>
  <c r="AO107" i="11" s="1"/>
  <c r="AP107" i="11" a="1"/>
  <c r="AP107" i="11" s="1"/>
  <c r="AM107" i="11" a="1"/>
  <c r="AM107" i="11" s="1"/>
  <c r="AR107" i="11" a="1"/>
  <c r="AR107" i="11" s="1"/>
  <c r="AL107" i="11" a="1"/>
  <c r="AL107" i="11" s="1"/>
  <c r="AQ107" i="11" a="1"/>
  <c r="AQ107" i="11" s="1"/>
  <c r="AJ107" i="11" a="1"/>
  <c r="AJ107" i="11" s="1"/>
  <c r="AS54" i="11" a="1"/>
  <c r="AS54" i="11" s="1"/>
  <c r="AO54" i="11" a="1"/>
  <c r="AO54" i="11" s="1"/>
  <c r="AM54" i="11" a="1"/>
  <c r="AM54" i="11" s="1"/>
  <c r="AJ54" i="11" a="1"/>
  <c r="AJ54" i="11" s="1"/>
  <c r="AN54" i="11" a="1"/>
  <c r="AN54" i="11" s="1"/>
  <c r="AU54" i="11" a="1"/>
  <c r="AU54" i="11" s="1"/>
  <c r="AL54" i="11" a="1"/>
  <c r="AL54" i="11" s="1"/>
  <c r="AW54" i="11" a="1"/>
  <c r="AW54" i="11" s="1"/>
  <c r="AR54" i="11" a="1"/>
  <c r="AR54" i="11" s="1"/>
  <c r="AK54" i="11" a="1"/>
  <c r="AK54" i="11" s="1"/>
  <c r="AQ54" i="11" a="1"/>
  <c r="AQ54" i="11" s="1"/>
  <c r="AV54" i="11" a="1"/>
  <c r="AV54" i="11" s="1"/>
  <c r="AP54" i="11" a="1"/>
  <c r="AP54" i="11" s="1"/>
  <c r="AN52" i="1" l="1" a="1"/>
  <c r="AN52" i="1" s="1"/>
  <c r="AN53" i="1" s="1"/>
  <c r="AS52" i="1" a="1"/>
  <c r="AS52" i="1" s="1"/>
  <c r="AS53" i="1" s="1"/>
  <c r="AV52" i="1" a="1"/>
  <c r="AV52" i="1" s="1"/>
  <c r="AV53" i="1" s="1"/>
  <c r="AQ52" i="1" a="1"/>
  <c r="AQ52" i="1" s="1"/>
  <c r="AQ53" i="1" s="1"/>
  <c r="AR52" i="1" a="1"/>
  <c r="AR52" i="1" s="1"/>
  <c r="AR53" i="1" s="1"/>
  <c r="AU52" i="1" a="1"/>
  <c r="AU52" i="1" s="1"/>
  <c r="AU53" i="1" s="1"/>
  <c r="AP52" i="1" a="1"/>
  <c r="AP52" i="1" s="1"/>
  <c r="AP53" i="1" s="1"/>
  <c r="AW52" i="1" a="1"/>
  <c r="AW52" i="1" s="1"/>
  <c r="AW53" i="1" s="1"/>
  <c r="AO52" i="1" a="1"/>
  <c r="AO52" i="1" s="1"/>
  <c r="AO53" i="1" s="1"/>
  <c r="AK52" i="1" a="1"/>
  <c r="AK52" i="1" s="1"/>
  <c r="AK53" i="1" s="1"/>
  <c r="AL52" i="1" a="1"/>
  <c r="AL52" i="1" s="1"/>
  <c r="AL53" i="1" s="1"/>
  <c r="AP180" i="5" a="1"/>
  <c r="AP180" i="5" s="1"/>
  <c r="AP182" i="5" s="1"/>
  <c r="AP184" i="5" s="1"/>
  <c r="AP182" i="10" s="1"/>
  <c r="AP183" i="10" s="1"/>
  <c r="AM180" i="5" a="1"/>
  <c r="AM180" i="5" s="1"/>
  <c r="AM182" i="5" s="1"/>
  <c r="AM184" i="5" s="1"/>
  <c r="AM182" i="10" s="1"/>
  <c r="AM183" i="10" s="1"/>
  <c r="AR180" i="5" a="1"/>
  <c r="AR180" i="5" s="1"/>
  <c r="AR182" i="5" s="1"/>
  <c r="AR184" i="5" s="1"/>
  <c r="AR182" i="10" s="1"/>
  <c r="AQ180" i="5" a="1"/>
  <c r="AQ180" i="5" s="1"/>
  <c r="AQ182" i="5" s="1"/>
  <c r="AQ184" i="5" s="1"/>
  <c r="AQ182" i="10" s="1"/>
  <c r="AQ183" i="10" s="1"/>
  <c r="AW180" i="5" a="1"/>
  <c r="AW180" i="5" s="1"/>
  <c r="AW182" i="5" s="1"/>
  <c r="AW184" i="5" s="1"/>
  <c r="AW182" i="10" s="1"/>
  <c r="AL180" i="5" a="1"/>
  <c r="AL180" i="5" s="1"/>
  <c r="AL182" i="5" s="1"/>
  <c r="AL184" i="5" s="1"/>
  <c r="AL182" i="10" s="1"/>
  <c r="AL183" i="10" s="1"/>
  <c r="AV180" i="5" a="1"/>
  <c r="AV180" i="5" s="1"/>
  <c r="AV182" i="5" s="1"/>
  <c r="AV184" i="5" s="1"/>
  <c r="AV182" i="10" s="1"/>
  <c r="AO180" i="5" a="1"/>
  <c r="AO180" i="5" s="1"/>
  <c r="AO182" i="5" s="1"/>
  <c r="AO184" i="5" s="1"/>
  <c r="AO182" i="10" s="1"/>
  <c r="AO183" i="10" s="1"/>
  <c r="AU180" i="5" a="1"/>
  <c r="AU180" i="5" s="1"/>
  <c r="AU182" i="5" s="1"/>
  <c r="AU184" i="5" s="1"/>
  <c r="AU182" i="10" s="1"/>
  <c r="AU183" i="10" s="1"/>
  <c r="AK180" i="5" a="1"/>
  <c r="AK180" i="5" s="1"/>
  <c r="AK182" i="5" s="1"/>
  <c r="AK184" i="5" s="1"/>
  <c r="AK182" i="10" s="1"/>
  <c r="AK183" i="10" s="1"/>
  <c r="AN180" i="5" a="1"/>
  <c r="AN180" i="5" s="1"/>
  <c r="AN182" i="5" s="1"/>
  <c r="AN184" i="5" s="1"/>
  <c r="AN182" i="10" s="1"/>
  <c r="AN183" i="10" s="1"/>
  <c r="AS180" i="5" a="1"/>
  <c r="AS180" i="5" s="1"/>
  <c r="AS182" i="5" s="1"/>
  <c r="AS184" i="5" s="1"/>
  <c r="AS182" i="10" s="1"/>
  <c r="AJ180" i="5" a="1"/>
  <c r="AJ180" i="5" s="1"/>
  <c r="AJ182" i="5" s="1"/>
  <c r="AJ184" i="5" s="1"/>
  <c r="AJ182" i="10" s="1"/>
  <c r="AJ183" i="10" s="1"/>
  <c r="AH29" i="5"/>
  <c r="AH55" i="1"/>
  <c r="AH109" i="11"/>
  <c r="AH56" i="11" s="1"/>
  <c r="AH182" i="5"/>
  <c r="AH184" i="5" s="1"/>
  <c r="AH182" i="10" l="1"/>
  <c r="AH180" i="10" s="1"/>
  <c r="AV180" i="10"/>
  <c r="AR180" i="10" a="1"/>
  <c r="AR180" i="10" s="1"/>
  <c r="AW180" i="10"/>
  <c r="AS180" i="10" a="1"/>
  <c r="AS180" i="10" s="1"/>
  <c r="AH30" i="5"/>
  <c r="AU29" i="5" a="1"/>
  <c r="AU29" i="5" s="1"/>
  <c r="AU30" i="5" s="1"/>
  <c r="AK29" i="5" a="1"/>
  <c r="AK29" i="5" s="1"/>
  <c r="AK30" i="5" s="1"/>
  <c r="AV29" i="5" a="1"/>
  <c r="AV29" i="5" s="1"/>
  <c r="AV30" i="5" s="1"/>
  <c r="AQ29" i="5" a="1"/>
  <c r="AQ29" i="5" s="1"/>
  <c r="AQ30" i="5" s="1"/>
  <c r="AW29" i="5" a="1"/>
  <c r="AW29" i="5" s="1"/>
  <c r="AW30" i="5" s="1"/>
  <c r="AO29" i="5" a="1"/>
  <c r="AO29" i="5" s="1"/>
  <c r="AO30" i="5" s="1"/>
  <c r="AR29" i="5" a="1"/>
  <c r="AR29" i="5" s="1"/>
  <c r="AR30" i="5" s="1"/>
  <c r="AJ29" i="5" a="1"/>
  <c r="AJ29" i="5" s="1"/>
  <c r="AJ30" i="5" s="1"/>
  <c r="AN29" i="5" a="1"/>
  <c r="AN29" i="5" s="1"/>
  <c r="AN30" i="5" s="1"/>
  <c r="AM29" i="5" a="1"/>
  <c r="AM29" i="5" s="1"/>
  <c r="AM30" i="5" s="1"/>
  <c r="AL29" i="5" a="1"/>
  <c r="AL29" i="5" s="1"/>
  <c r="AL30" i="5" s="1"/>
  <c r="AS29" i="5" a="1"/>
  <c r="AS29" i="5" s="1"/>
  <c r="AS30" i="5" s="1"/>
  <c r="AP29" i="5" a="1"/>
  <c r="AP29" i="5" s="1"/>
  <c r="AP30" i="5" s="1"/>
  <c r="AR109" i="11" a="1"/>
  <c r="AR109" i="11" s="1"/>
  <c r="AU109" i="11" a="1"/>
  <c r="AU109" i="11" s="1"/>
  <c r="AM109" i="11" a="1"/>
  <c r="AM109" i="11" s="1"/>
  <c r="AN109" i="11" a="1"/>
  <c r="AN109" i="11" s="1"/>
  <c r="AO109" i="11" a="1"/>
  <c r="AO109" i="11" s="1"/>
  <c r="AV109" i="11" a="1"/>
  <c r="AV109" i="11" s="1"/>
  <c r="AW109" i="11" a="1"/>
  <c r="AW109" i="11" s="1"/>
  <c r="AS109" i="11" a="1"/>
  <c r="AS109" i="11" s="1"/>
  <c r="AL109" i="11" a="1"/>
  <c r="AL109" i="11" s="1"/>
  <c r="AQ109" i="11" a="1"/>
  <c r="AQ109" i="11" s="1"/>
  <c r="AP109" i="11" a="1"/>
  <c r="AP109" i="11" s="1"/>
  <c r="AK109" i="11" a="1"/>
  <c r="AK109" i="11" s="1"/>
  <c r="AJ109" i="11" a="1"/>
  <c r="AJ109" i="11" s="1"/>
  <c r="AH56" i="1"/>
  <c r="AH202" i="10" s="1"/>
  <c r="AS55" i="1" a="1"/>
  <c r="AS55" i="1" s="1"/>
  <c r="AS56" i="1" s="1"/>
  <c r="AS65" i="1" s="1"/>
  <c r="AQ55" i="1" a="1"/>
  <c r="AQ55" i="1" s="1"/>
  <c r="AQ56" i="1" s="1"/>
  <c r="AQ65" i="1" s="1"/>
  <c r="AU55" i="1" a="1"/>
  <c r="AU55" i="1" s="1"/>
  <c r="AU56" i="1" s="1"/>
  <c r="AJ55" i="1" a="1"/>
  <c r="AJ55" i="1" s="1"/>
  <c r="AJ56" i="1" s="1"/>
  <c r="AJ65" i="1" s="1"/>
  <c r="AW55" i="1" a="1"/>
  <c r="AW55" i="1" s="1"/>
  <c r="AW56" i="1" s="1"/>
  <c r="AN55" i="1" a="1"/>
  <c r="AN55" i="1" s="1"/>
  <c r="AN56" i="1" s="1"/>
  <c r="AN65" i="1" s="1"/>
  <c r="AR55" i="1" a="1"/>
  <c r="AR55" i="1" s="1"/>
  <c r="AR56" i="1" s="1"/>
  <c r="AR65" i="1" s="1"/>
  <c r="AV55" i="1" a="1"/>
  <c r="AV55" i="1" s="1"/>
  <c r="AV56" i="1" s="1"/>
  <c r="AM55" i="1" a="1"/>
  <c r="AM55" i="1" s="1"/>
  <c r="AM56" i="1" s="1"/>
  <c r="AM65" i="1" s="1"/>
  <c r="AK55" i="1" a="1"/>
  <c r="AK55" i="1" s="1"/>
  <c r="AK56" i="1" s="1"/>
  <c r="AK65" i="1" s="1"/>
  <c r="AP55" i="1" a="1"/>
  <c r="AP55" i="1" s="1"/>
  <c r="AP56" i="1" s="1"/>
  <c r="AP65" i="1" s="1"/>
  <c r="AO55" i="1" a="1"/>
  <c r="AO55" i="1" s="1"/>
  <c r="AO56" i="1" s="1"/>
  <c r="AO65" i="1" s="1"/>
  <c r="AL55" i="1" a="1"/>
  <c r="AL55" i="1" s="1"/>
  <c r="AL56" i="1" s="1"/>
  <c r="AL65" i="1" s="1"/>
  <c r="AN56" i="11" a="1"/>
  <c r="AN56" i="11" s="1"/>
  <c r="AV56" i="11" a="1"/>
  <c r="AV56" i="11" s="1"/>
  <c r="AQ56" i="11" a="1"/>
  <c r="AQ56" i="11" s="1"/>
  <c r="AO56" i="11" a="1"/>
  <c r="AO56" i="11" s="1"/>
  <c r="AR56" i="11" a="1"/>
  <c r="AR56" i="11" s="1"/>
  <c r="AS56" i="11" a="1"/>
  <c r="AS56" i="11" s="1"/>
  <c r="AM56" i="11" a="1"/>
  <c r="AM56" i="11" s="1"/>
  <c r="AL56" i="11" a="1"/>
  <c r="AL56" i="11" s="1"/>
  <c r="AU56" i="11" a="1"/>
  <c r="AU56" i="11" s="1"/>
  <c r="AK56" i="11" a="1"/>
  <c r="AK56" i="11" s="1"/>
  <c r="AW56" i="11" a="1"/>
  <c r="AW56" i="11" s="1"/>
  <c r="AJ56" i="11" a="1"/>
  <c r="AJ56" i="11" s="1"/>
  <c r="AP56" i="11" a="1"/>
  <c r="AP56" i="11" s="1"/>
  <c r="AH33" i="10"/>
  <c r="AH26" i="11"/>
  <c r="AH185" i="10"/>
  <c r="AS185" i="10" l="1"/>
  <c r="AS183" i="10"/>
  <c r="AW185" i="10"/>
  <c r="AW183" i="10"/>
  <c r="AR185" i="10"/>
  <c r="AR183" i="10"/>
  <c r="AV185" i="10"/>
  <c r="AV183" i="10"/>
  <c r="AH15" i="11"/>
  <c r="AM15" i="11" s="1" a="1"/>
  <c r="AM15" i="11" s="1"/>
  <c r="AH57" i="1"/>
  <c r="AL202" i="10" a="1"/>
  <c r="AL202" i="10" s="1"/>
  <c r="AR202" i="10" a="1"/>
  <c r="AR202" i="10" s="1"/>
  <c r="AV202" i="10" a="1"/>
  <c r="AV202" i="10" s="1"/>
  <c r="AN202" i="10" a="1"/>
  <c r="AN202" i="10" s="1"/>
  <c r="AJ202" i="10" a="1"/>
  <c r="AJ202" i="10" s="1"/>
  <c r="AM202" i="10" a="1"/>
  <c r="AM202" i="10" s="1"/>
  <c r="AQ202" i="10" a="1"/>
  <c r="AQ202" i="10" s="1"/>
  <c r="AO202" i="10" a="1"/>
  <c r="AO202" i="10" s="1"/>
  <c r="AS202" i="10" a="1"/>
  <c r="AS202" i="10" s="1"/>
  <c r="AP202" i="10" a="1"/>
  <c r="AP202" i="10" s="1"/>
  <c r="AK202" i="10" a="1"/>
  <c r="AK202" i="10" s="1"/>
  <c r="AW202" i="10" a="1"/>
  <c r="AW202" i="10" s="1"/>
  <c r="AU202" i="10" a="1"/>
  <c r="AU202" i="10" s="1"/>
  <c r="AV33" i="10"/>
  <c r="AV34" i="10" s="1"/>
  <c r="AW33" i="10"/>
  <c r="AW34" i="10" s="1"/>
  <c r="AU57" i="1"/>
  <c r="AU65" i="1"/>
  <c r="AV57" i="1"/>
  <c r="AV65" i="1"/>
  <c r="AW57" i="1"/>
  <c r="AW65" i="1"/>
  <c r="AP57" i="1"/>
  <c r="AQ57" i="1"/>
  <c r="AM57" i="1"/>
  <c r="AS57" i="1"/>
  <c r="AO57" i="1"/>
  <c r="AR57" i="1"/>
  <c r="AN57" i="1"/>
  <c r="AK57" i="1"/>
  <c r="AL57" i="1"/>
  <c r="AJ57" i="1"/>
  <c r="AP26" i="11" a="1"/>
  <c r="AP26" i="11" s="1"/>
  <c r="AL26" i="11" a="1"/>
  <c r="AL26" i="11" s="1"/>
  <c r="AK26" i="11" a="1"/>
  <c r="AK26" i="11" s="1"/>
  <c r="AW26" i="11" a="1"/>
  <c r="AW26" i="11" s="1"/>
  <c r="AU26" i="11" a="1"/>
  <c r="AU26" i="11" s="1"/>
  <c r="AQ26" i="11" a="1"/>
  <c r="AQ26" i="11" s="1"/>
  <c r="AJ26" i="11" a="1"/>
  <c r="AJ26" i="11" s="1"/>
  <c r="AS26" i="11" a="1"/>
  <c r="AS26" i="11" s="1"/>
  <c r="AO26" i="11" a="1"/>
  <c r="AO26" i="11" s="1"/>
  <c r="AV26" i="11" a="1"/>
  <c r="AV26" i="11" s="1"/>
  <c r="AR26" i="11" a="1"/>
  <c r="AR26" i="11" s="1"/>
  <c r="AM26" i="11" a="1"/>
  <c r="AM26" i="11" s="1"/>
  <c r="AN26" i="11" a="1"/>
  <c r="AN26" i="11" s="1"/>
  <c r="AH34" i="10"/>
  <c r="AH83" i="16" s="1"/>
  <c r="AS33" i="10" a="1"/>
  <c r="AS33" i="10" s="1"/>
  <c r="AS34" i="10" s="1"/>
  <c r="AH65" i="1"/>
  <c r="AH66" i="16"/>
  <c r="AH204" i="10"/>
  <c r="AH93" i="11"/>
  <c r="AP15" i="11" l="1" a="1"/>
  <c r="AP15" i="11" s="1"/>
  <c r="AP27" i="11" s="1"/>
  <c r="BE15" i="11" s="1"/>
  <c r="BE18" i="11" s="1"/>
  <c r="AU15" i="11" a="1"/>
  <c r="AU15" i="11" s="1"/>
  <c r="AU27" i="11" s="1"/>
  <c r="AU42" i="11" s="1"/>
  <c r="AU44" i="11" s="1"/>
  <c r="AV15" i="11" a="1"/>
  <c r="AV15" i="11" s="1"/>
  <c r="AV27" i="11" s="1"/>
  <c r="AW15" i="11" a="1"/>
  <c r="AW15" i="11" s="1"/>
  <c r="AW27" i="11" s="1"/>
  <c r="AL15" i="11" a="1"/>
  <c r="AL15" i="11" s="1"/>
  <c r="AL27" i="11" s="1"/>
  <c r="BA15" i="11" s="1"/>
  <c r="BA18" i="11" s="1"/>
  <c r="AK15" i="11" a="1"/>
  <c r="AK15" i="11" s="1"/>
  <c r="AK27" i="11" s="1"/>
  <c r="AO15" i="11" a="1"/>
  <c r="AO15" i="11" s="1"/>
  <c r="AO27" i="11" s="1"/>
  <c r="AN15" i="11" a="1"/>
  <c r="AN15" i="11" s="1"/>
  <c r="AN27" i="11" s="1"/>
  <c r="BC15" i="11" s="1"/>
  <c r="AS15" i="11" a="1"/>
  <c r="AS15" i="11" s="1"/>
  <c r="AS27" i="11" s="1"/>
  <c r="AH27" i="11"/>
  <c r="AH42" i="11" s="1"/>
  <c r="AH45" i="11" s="1"/>
  <c r="AQ15" i="11" a="1"/>
  <c r="AQ15" i="11" s="1"/>
  <c r="AQ27" i="11" s="1"/>
  <c r="BF15" i="11" s="1"/>
  <c r="BF18" i="11" s="1"/>
  <c r="AJ15" i="11" a="1"/>
  <c r="AJ15" i="11" s="1"/>
  <c r="AJ27" i="11" s="1"/>
  <c r="AR15" i="11" a="1"/>
  <c r="AR15" i="11" s="1"/>
  <c r="AR27" i="11" s="1"/>
  <c r="AM27" i="11"/>
  <c r="BB15" i="11" s="1"/>
  <c r="BB18" i="11" s="1"/>
  <c r="AM201" i="10"/>
  <c r="AM211" i="10" s="1"/>
  <c r="AU201" i="10"/>
  <c r="AU211" i="10" s="1"/>
  <c r="AN201" i="10"/>
  <c r="AN211" i="10" s="1"/>
  <c r="AK201" i="10"/>
  <c r="AK211" i="10" s="1"/>
  <c r="AP201" i="10"/>
  <c r="AP211" i="10" s="1"/>
  <c r="AL201" i="10"/>
  <c r="AL211" i="10" s="1"/>
  <c r="AO201" i="10"/>
  <c r="AO211" i="10" s="1"/>
  <c r="AQ201" i="10"/>
  <c r="AQ211" i="10" s="1"/>
  <c r="AJ201" i="10"/>
  <c r="AJ211" i="10" s="1"/>
  <c r="AV204" i="10"/>
  <c r="AV201" i="10" s="1"/>
  <c r="AR204" i="10" a="1"/>
  <c r="AR204" i="10" s="1"/>
  <c r="AS204" i="10" a="1"/>
  <c r="AS204" i="10" s="1"/>
  <c r="AS201" i="10" s="1"/>
  <c r="AW204" i="10"/>
  <c r="AW201" i="10" s="1"/>
  <c r="AP66" i="16" a="1"/>
  <c r="AP66" i="16" s="1"/>
  <c r="AV66" i="16" a="1"/>
  <c r="AV66" i="16" s="1"/>
  <c r="AM66" i="16" a="1"/>
  <c r="AM66" i="16" s="1"/>
  <c r="AL66" i="16" a="1"/>
  <c r="AL66" i="16" s="1"/>
  <c r="AQ66" i="16" a="1"/>
  <c r="AQ66" i="16" s="1"/>
  <c r="AJ66" i="16" a="1"/>
  <c r="AJ66" i="16" s="1"/>
  <c r="AS66" i="16" a="1"/>
  <c r="AS66" i="16" s="1"/>
  <c r="AN66" i="16" a="1"/>
  <c r="AN66" i="16" s="1"/>
  <c r="AR66" i="16" a="1"/>
  <c r="AR66" i="16" s="1"/>
  <c r="AW66" i="16" a="1"/>
  <c r="AW66" i="16" s="1"/>
  <c r="AK66" i="16" a="1"/>
  <c r="AK66" i="16" s="1"/>
  <c r="AU66" i="16" a="1"/>
  <c r="AU66" i="16" s="1"/>
  <c r="AO66" i="16" a="1"/>
  <c r="AO66" i="16" s="1"/>
  <c r="AR83" i="16" a="1"/>
  <c r="AR83" i="16" s="1"/>
  <c r="AW83" i="16"/>
  <c r="AS83" i="16" a="1"/>
  <c r="AS83" i="16" s="1"/>
  <c r="AH94" i="11"/>
  <c r="AH51" i="11" s="1"/>
  <c r="AJ93" i="11" a="1"/>
  <c r="AJ93" i="11" s="1"/>
  <c r="AJ94" i="11" s="1"/>
  <c r="AJ110" i="11" s="1"/>
  <c r="AW93" i="11" a="1"/>
  <c r="AW93" i="11" s="1"/>
  <c r="AW94" i="11" s="1"/>
  <c r="AW110" i="11" s="1"/>
  <c r="AL93" i="11" a="1"/>
  <c r="AL93" i="11" s="1"/>
  <c r="AL94" i="11" s="1"/>
  <c r="AL110" i="11" s="1"/>
  <c r="AQ93" i="11" a="1"/>
  <c r="AQ93" i="11" s="1"/>
  <c r="AQ94" i="11" s="1"/>
  <c r="AQ110" i="11" s="1"/>
  <c r="AV93" i="11" a="1"/>
  <c r="AV93" i="11" s="1"/>
  <c r="AV94" i="11" s="1"/>
  <c r="AV110" i="11" s="1"/>
  <c r="AR93" i="11" a="1"/>
  <c r="AR93" i="11" s="1"/>
  <c r="AR94" i="11" s="1"/>
  <c r="AR110" i="11" s="1"/>
  <c r="AK93" i="11" a="1"/>
  <c r="AK93" i="11" s="1"/>
  <c r="AK94" i="11" s="1"/>
  <c r="AK110" i="11" s="1"/>
  <c r="AS93" i="11" a="1"/>
  <c r="AS93" i="11" s="1"/>
  <c r="AS94" i="11" s="1"/>
  <c r="AS110" i="11" s="1"/>
  <c r="AN93" i="11" a="1"/>
  <c r="AN93" i="11" s="1"/>
  <c r="AN94" i="11" s="1"/>
  <c r="AN110" i="11" s="1"/>
  <c r="AU93" i="11" a="1"/>
  <c r="AU93" i="11" s="1"/>
  <c r="AU94" i="11" s="1"/>
  <c r="AU110" i="11" s="1"/>
  <c r="AO93" i="11" a="1"/>
  <c r="AO93" i="11" s="1"/>
  <c r="AO94" i="11" s="1"/>
  <c r="AO110" i="11" s="1"/>
  <c r="AP93" i="11" a="1"/>
  <c r="AP93" i="11" s="1"/>
  <c r="AP94" i="11" s="1"/>
  <c r="AP110" i="11" s="1"/>
  <c r="AM93" i="11" a="1"/>
  <c r="AM93" i="11" s="1"/>
  <c r="AM94" i="11" s="1"/>
  <c r="AM110" i="11" s="1"/>
  <c r="AH30" i="16"/>
  <c r="AH206" i="10"/>
  <c r="AH208" i="10" s="1"/>
  <c r="AH38" i="10"/>
  <c r="AH211" i="10"/>
  <c r="AH50" i="10" l="1"/>
  <c r="AH71" i="16"/>
  <c r="AW71" i="16" s="1" a="1"/>
  <c r="AW71" i="16" s="1"/>
  <c r="AW51" i="16" s="1"/>
  <c r="AP112" i="11"/>
  <c r="AM71" i="16" a="1"/>
  <c r="AM71" i="16" s="1"/>
  <c r="AM51" i="16" s="1"/>
  <c r="AN71" i="16" a="1"/>
  <c r="AN71" i="16" s="1"/>
  <c r="AN51" i="16" s="1"/>
  <c r="AV71" i="16" a="1"/>
  <c r="AV71" i="16" s="1"/>
  <c r="AV51" i="16" s="1"/>
  <c r="AO71" i="16" a="1"/>
  <c r="AO71" i="16" s="1"/>
  <c r="AO51" i="16" s="1"/>
  <c r="AR71" i="16" a="1"/>
  <c r="AR71" i="16" s="1"/>
  <c r="AR51" i="16" s="1"/>
  <c r="AU71" i="16" a="1"/>
  <c r="AU71" i="16" s="1"/>
  <c r="AU51" i="16" s="1"/>
  <c r="AK71" i="16" a="1"/>
  <c r="AK71" i="16" s="1"/>
  <c r="AK51" i="16" s="1"/>
  <c r="AJ71" i="16" a="1"/>
  <c r="AJ71" i="16" s="1"/>
  <c r="AJ51" i="16" s="1"/>
  <c r="AL71" i="16" a="1"/>
  <c r="AL71" i="16" s="1"/>
  <c r="AL51" i="16" s="1"/>
  <c r="AM112" i="11"/>
  <c r="AV33" i="16"/>
  <c r="AV44" i="16"/>
  <c r="AU44" i="16"/>
  <c r="AU35" i="16"/>
  <c r="AU33" i="16"/>
  <c r="AU32" i="16"/>
  <c r="AL44" i="16"/>
  <c r="AL33" i="16"/>
  <c r="AL32" i="16"/>
  <c r="AL35" i="16"/>
  <c r="AK44" i="16"/>
  <c r="AK35" i="16"/>
  <c r="AK33" i="16"/>
  <c r="AK32" i="16"/>
  <c r="AM44" i="16"/>
  <c r="AM33" i="16"/>
  <c r="AM32" i="16"/>
  <c r="AM35" i="16"/>
  <c r="AO44" i="16"/>
  <c r="AO35" i="16"/>
  <c r="AO33" i="16"/>
  <c r="AO32" i="16"/>
  <c r="AP44" i="16"/>
  <c r="AP35" i="16"/>
  <c r="AP33" i="16"/>
  <c r="AP32" i="16"/>
  <c r="AN44" i="16"/>
  <c r="AN32" i="16"/>
  <c r="AN35" i="16"/>
  <c r="AN33" i="16"/>
  <c r="AQ44" i="16"/>
  <c r="AQ35" i="16"/>
  <c r="AQ32" i="16"/>
  <c r="AQ33" i="16"/>
  <c r="AJ32" i="16"/>
  <c r="AJ35" i="16"/>
  <c r="AJ33" i="16"/>
  <c r="AJ44" i="16"/>
  <c r="AO42" i="11"/>
  <c r="AO44" i="11" s="1"/>
  <c r="AM42" i="11"/>
  <c r="AM44" i="11" s="1"/>
  <c r="AP42" i="11"/>
  <c r="AP44" i="11" s="1"/>
  <c r="AH110" i="11"/>
  <c r="AH112" i="11" s="1"/>
  <c r="AU112" i="11"/>
  <c r="AW112" i="11"/>
  <c r="AV112" i="11"/>
  <c r="AJ112" i="11"/>
  <c r="AR112" i="11"/>
  <c r="AS42" i="11"/>
  <c r="AS112" i="11"/>
  <c r="AQ112" i="11"/>
  <c r="AK112" i="11"/>
  <c r="AL42" i="11"/>
  <c r="AL44" i="11" s="1"/>
  <c r="AL112" i="11"/>
  <c r="AN112" i="11"/>
  <c r="AO112" i="11"/>
  <c r="AR42" i="11"/>
  <c r="AR44" i="11" s="1"/>
  <c r="AK42" i="11"/>
  <c r="AK44" i="11" s="1"/>
  <c r="AV42" i="11"/>
  <c r="AV44" i="11" s="1"/>
  <c r="AN42" i="11"/>
  <c r="AN44" i="11" s="1"/>
  <c r="AJ42" i="11"/>
  <c r="AJ44" i="11" s="1"/>
  <c r="AW42" i="11"/>
  <c r="AQ42" i="11"/>
  <c r="AQ44" i="11" s="1"/>
  <c r="AR206" i="10"/>
  <c r="AR208" i="10" s="1"/>
  <c r="AR201" i="10"/>
  <c r="AR211" i="10" s="1"/>
  <c r="AL50" i="10" a="1"/>
  <c r="AL50" i="10" s="1"/>
  <c r="AL49" i="10" s="1"/>
  <c r="AL53" i="10" s="1"/>
  <c r="AW50" i="10" a="1"/>
  <c r="AW50" i="10" s="1"/>
  <c r="AS50" i="10" a="1"/>
  <c r="AS50" i="10" s="1"/>
  <c r="AV50" i="10" a="1"/>
  <c r="AV50" i="10" s="1"/>
  <c r="AK50" i="10" a="1"/>
  <c r="AK50" i="10" s="1"/>
  <c r="AK49" i="10" s="1"/>
  <c r="AK53" i="10" s="1"/>
  <c r="AJ50" i="10" a="1"/>
  <c r="AJ50" i="10" s="1"/>
  <c r="AJ49" i="10" s="1"/>
  <c r="AJ53" i="10" s="1"/>
  <c r="AP50" i="10" a="1"/>
  <c r="AP50" i="10" s="1"/>
  <c r="AP49" i="10" s="1"/>
  <c r="AP53" i="10" s="1"/>
  <c r="AN50" i="10" a="1"/>
  <c r="AN50" i="10" s="1"/>
  <c r="AN49" i="10" s="1"/>
  <c r="AN53" i="10" s="1"/>
  <c r="AQ50" i="10" a="1"/>
  <c r="AQ50" i="10" s="1"/>
  <c r="AQ49" i="10" s="1"/>
  <c r="AQ53" i="10" s="1"/>
  <c r="AM50" i="10" a="1"/>
  <c r="AM50" i="10" s="1"/>
  <c r="AM49" i="10" s="1"/>
  <c r="AM53" i="10" s="1"/>
  <c r="AR50" i="10" a="1"/>
  <c r="AR50" i="10" s="1"/>
  <c r="AU50" i="10" a="1"/>
  <c r="AU50" i="10" s="1"/>
  <c r="AU49" i="10" s="1"/>
  <c r="AU53" i="10" s="1"/>
  <c r="AO50" i="10" a="1"/>
  <c r="AO50" i="10" s="1"/>
  <c r="AO49" i="10" s="1"/>
  <c r="AO53" i="10" s="1"/>
  <c r="AW211" i="10"/>
  <c r="AW206" i="10"/>
  <c r="AW208" i="10" s="1"/>
  <c r="AV38" i="10"/>
  <c r="AV39" i="10" s="1"/>
  <c r="AV41" i="10" s="1"/>
  <c r="AW38" i="10"/>
  <c r="AW39" i="10" s="1"/>
  <c r="AS211" i="10"/>
  <c r="AS206" i="10"/>
  <c r="AS208" i="10" s="1"/>
  <c r="AV211" i="10"/>
  <c r="AV206" i="10"/>
  <c r="AV208" i="10" s="1"/>
  <c r="AW44" i="16"/>
  <c r="AS44" i="16"/>
  <c r="AR44" i="16"/>
  <c r="AN30" i="16"/>
  <c r="AN36" i="16" s="1"/>
  <c r="AS30" i="16"/>
  <c r="AS36" i="16" s="1"/>
  <c r="AJ30" i="16"/>
  <c r="AJ36" i="16" s="1"/>
  <c r="AO30" i="16"/>
  <c r="AO36" i="16" s="1"/>
  <c r="AQ30" i="16"/>
  <c r="AQ36" i="16" s="1"/>
  <c r="AU30" i="16"/>
  <c r="AU36" i="16" s="1"/>
  <c r="AL30" i="16"/>
  <c r="AL36" i="16" s="1"/>
  <c r="AK30" i="16"/>
  <c r="AK36" i="16" s="1"/>
  <c r="AM30" i="16"/>
  <c r="AM36" i="16" s="1"/>
  <c r="AW30" i="16"/>
  <c r="AW36" i="16" s="1"/>
  <c r="AV30" i="16"/>
  <c r="AV36" i="16" s="1"/>
  <c r="AR30" i="16"/>
  <c r="AR36" i="16" s="1"/>
  <c r="AP30" i="16"/>
  <c r="AP36" i="16" s="1"/>
  <c r="AS45" i="11" a="1"/>
  <c r="AS45" i="11" s="1"/>
  <c r="AW45" i="11"/>
  <c r="AH39" i="10"/>
  <c r="AS38" i="10" a="1"/>
  <c r="AS38" i="10" s="1"/>
  <c r="AS39" i="10" s="1"/>
  <c r="AH84" i="16"/>
  <c r="AH51" i="10"/>
  <c r="AS71" i="16" l="1" a="1"/>
  <c r="AS71" i="16" s="1"/>
  <c r="AS51" i="16" s="1"/>
  <c r="AP71" i="16" a="1"/>
  <c r="AP71" i="16" s="1"/>
  <c r="AP51" i="16" s="1"/>
  <c r="AQ71" i="16" a="1"/>
  <c r="AQ71" i="16" s="1"/>
  <c r="AQ51" i="16" s="1"/>
  <c r="BD15" i="11"/>
  <c r="BD18" i="11" s="1"/>
  <c r="BC17" i="11"/>
  <c r="BC16" i="11"/>
  <c r="AS44" i="11"/>
  <c r="AL51" i="11" a="1"/>
  <c r="AL51" i="11" s="1"/>
  <c r="AL57" i="11" s="1"/>
  <c r="AL77" i="11" s="1"/>
  <c r="AK51" i="11" a="1"/>
  <c r="AK51" i="11" s="1"/>
  <c r="AK57" i="11" s="1"/>
  <c r="AK77" i="11" s="1"/>
  <c r="AU51" i="11" a="1"/>
  <c r="AU51" i="11" s="1"/>
  <c r="AU57" i="11" s="1"/>
  <c r="AN51" i="11" a="1"/>
  <c r="AN51" i="11" s="1"/>
  <c r="AN57" i="11" s="1"/>
  <c r="AN77" i="11" s="1"/>
  <c r="AM51" i="11" a="1"/>
  <c r="AM51" i="11" s="1"/>
  <c r="AM57" i="11" s="1"/>
  <c r="AM77" i="11" s="1"/>
  <c r="AJ51" i="11" a="1"/>
  <c r="AJ51" i="11" s="1"/>
  <c r="AJ57" i="11" s="1"/>
  <c r="AJ77" i="11" s="1"/>
  <c r="AQ51" i="11" a="1"/>
  <c r="AQ51" i="11" s="1"/>
  <c r="AQ57" i="11" s="1"/>
  <c r="AQ77" i="11" s="1"/>
  <c r="AO51" i="11" a="1"/>
  <c r="AO51" i="11" s="1"/>
  <c r="AO57" i="11" s="1"/>
  <c r="AO77" i="11" s="1"/>
  <c r="AW51" i="11" a="1"/>
  <c r="AW51" i="11" s="1"/>
  <c r="AW57" i="11" s="1"/>
  <c r="AV51" i="11" a="1"/>
  <c r="AV51" i="11" s="1"/>
  <c r="AV57" i="11" s="1"/>
  <c r="AR51" i="11" a="1"/>
  <c r="AR51" i="11" s="1"/>
  <c r="AR57" i="11" s="1"/>
  <c r="AR77" i="11" s="1"/>
  <c r="AS51" i="11" a="1"/>
  <c r="AS51" i="11" s="1"/>
  <c r="AS57" i="11" s="1"/>
  <c r="AS77" i="11" s="1"/>
  <c r="AP51" i="11" a="1"/>
  <c r="AP51" i="11" s="1"/>
  <c r="AP57" i="11" s="1"/>
  <c r="AP77" i="11" s="1"/>
  <c r="AH57" i="11"/>
  <c r="AH77" i="11" s="1"/>
  <c r="AW44" i="11"/>
  <c r="AV51" i="10"/>
  <c r="AR51" i="10" a="1"/>
  <c r="AR51" i="10" s="1"/>
  <c r="AW51" i="10"/>
  <c r="AS51" i="10" a="1"/>
  <c r="AS51" i="10" s="1"/>
  <c r="AV84" i="16"/>
  <c r="AR84" i="16" a="1"/>
  <c r="AR84" i="16" s="1"/>
  <c r="AS84" i="16" a="1"/>
  <c r="AS84" i="16" s="1"/>
  <c r="AS42" i="16" s="1"/>
  <c r="AW84" i="16"/>
  <c r="AW42" i="16" s="1"/>
  <c r="AH85" i="16"/>
  <c r="AH15" i="10"/>
  <c r="AW15" i="10" s="1"/>
  <c r="AH222" i="10"/>
  <c r="AH127" i="10"/>
  <c r="AH210" i="10" s="1"/>
  <c r="AH228" i="10"/>
  <c r="AH230" i="10" s="1"/>
  <c r="AH53" i="10"/>
  <c r="BC18" i="11" l="1"/>
  <c r="AV35" i="16"/>
  <c r="AW35" i="16"/>
  <c r="AR35" i="16"/>
  <c r="AS35" i="16"/>
  <c r="AO72" i="11"/>
  <c r="AO74" i="11" s="1"/>
  <c r="AQ72" i="11"/>
  <c r="AQ74" i="11" s="1"/>
  <c r="AH72" i="11"/>
  <c r="AH75" i="11" s="1"/>
  <c r="AJ72" i="11"/>
  <c r="AJ74" i="11" s="1"/>
  <c r="AP72" i="11"/>
  <c r="AP74" i="11" s="1"/>
  <c r="AM72" i="11"/>
  <c r="AM74" i="11" s="1"/>
  <c r="AS72" i="11"/>
  <c r="AN72" i="11"/>
  <c r="AN74" i="11" s="1"/>
  <c r="AR72" i="11"/>
  <c r="AR74" i="11" s="1"/>
  <c r="AU72" i="11"/>
  <c r="AU74" i="11" s="1"/>
  <c r="AU77" i="11"/>
  <c r="AV72" i="11"/>
  <c r="AV74" i="11" s="1"/>
  <c r="AV77" i="11"/>
  <c r="AK72" i="11"/>
  <c r="AK74" i="11" s="1"/>
  <c r="AW72" i="11"/>
  <c r="AW77" i="11"/>
  <c r="AL72" i="11"/>
  <c r="AL74" i="11" s="1"/>
  <c r="AS228" i="10"/>
  <c r="AS230" i="10" s="1"/>
  <c r="AS49" i="10"/>
  <c r="AS53" i="10" s="1"/>
  <c r="AS222" i="10"/>
  <c r="AS127" i="10"/>
  <c r="AS210" i="10" s="1"/>
  <c r="AW228" i="10"/>
  <c r="AW230" i="10" s="1"/>
  <c r="AW49" i="10"/>
  <c r="AW53" i="10" s="1"/>
  <c r="AW127" i="10"/>
  <c r="AW210" i="10" s="1"/>
  <c r="AW222" i="10"/>
  <c r="AR228" i="10"/>
  <c r="AR230" i="10" s="1"/>
  <c r="AR49" i="10"/>
  <c r="AR53" i="10" s="1"/>
  <c r="AR127" i="10"/>
  <c r="AR210" i="10" s="1"/>
  <c r="AR222" i="10"/>
  <c r="AV49" i="10"/>
  <c r="AV53" i="10" s="1"/>
  <c r="AV228" i="10"/>
  <c r="AV230" i="10" s="1"/>
  <c r="AV127" i="10"/>
  <c r="AV210" i="10" s="1"/>
  <c r="AV222" i="10"/>
  <c r="AV85" i="16"/>
  <c r="AS85" i="16" a="1"/>
  <c r="AS85" i="16" s="1"/>
  <c r="AS34" i="16" s="1"/>
  <c r="AW85" i="16"/>
  <c r="AR42" i="16"/>
  <c r="AV42" i="16"/>
  <c r="AH18" i="10"/>
  <c r="AH23" i="10" s="1"/>
  <c r="AS15" i="10" a="1"/>
  <c r="AS15" i="10" s="1"/>
  <c r="AS18" i="10" s="1"/>
  <c r="AS23" i="10" s="1"/>
  <c r="AS41" i="10" s="1"/>
  <c r="AW18" i="10"/>
  <c r="AW23" i="10" s="1"/>
  <c r="AW41" i="10" s="1"/>
  <c r="AH233" i="10"/>
  <c r="AH224" i="10"/>
  <c r="AH234" i="10"/>
  <c r="AV34" i="16" l="1"/>
  <c r="AW34" i="16"/>
  <c r="AS75" i="11" a="1"/>
  <c r="AS75" i="11" s="1"/>
  <c r="AS74" i="11" s="1"/>
  <c r="AW75" i="11"/>
  <c r="AW74" i="11" s="1"/>
  <c r="AW233" i="10"/>
  <c r="AW224" i="10"/>
  <c r="AW234" i="10"/>
  <c r="AR224" i="10"/>
  <c r="AR233" i="10"/>
  <c r="AR234" i="10"/>
  <c r="AS234" i="10"/>
  <c r="AS224" i="10"/>
  <c r="AS233" i="10"/>
  <c r="AV233" i="10"/>
  <c r="AV224" i="10"/>
  <c r="AV234" i="10"/>
  <c r="AH41" i="10"/>
  <c r="AH81" i="16"/>
  <c r="AH79" i="16"/>
  <c r="AV79" i="16" l="1"/>
  <c r="AR79" i="16" a="1"/>
  <c r="AR79" i="16" s="1"/>
  <c r="AS79" i="16" a="1"/>
  <c r="AS79" i="16" s="1"/>
  <c r="AW79" i="16"/>
  <c r="AW21" i="16" s="1"/>
  <c r="AR81" i="16" a="1"/>
  <c r="AR81" i="16" s="1"/>
  <c r="AS81" i="16" a="1"/>
  <c r="AS81" i="16" s="1"/>
  <c r="AW81" i="16"/>
  <c r="AW33" i="16" s="1"/>
  <c r="AV20" i="16" l="1"/>
  <c r="AV37" i="16" s="1"/>
  <c r="AW20" i="16"/>
  <c r="AW37" i="16" s="1"/>
  <c r="AV32" i="16"/>
  <c r="AW32" i="16"/>
  <c r="AV21" i="16"/>
  <c r="AS32" i="16"/>
  <c r="AR32" i="16"/>
  <c r="AS33" i="16"/>
  <c r="AR33" i="16"/>
  <c r="AS21" i="16"/>
  <c r="AR21" i="16"/>
  <c r="AS20" i="16"/>
  <c r="AS37" i="16" s="1"/>
  <c r="AR20" i="16"/>
  <c r="AR37" i="16" s="1"/>
  <c r="AW43" i="16"/>
  <c r="AW38" i="16" s="1"/>
  <c r="AW41" i="16"/>
  <c r="AS43" i="16"/>
  <c r="AS38" i="16" s="1"/>
  <c r="AS41" i="16"/>
  <c r="AR43" i="16"/>
  <c r="AR38" i="16" s="1"/>
  <c r="AR41" i="16"/>
  <c r="AV43" i="16"/>
  <c r="AV38" i="16" s="1"/>
  <c r="AV41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tc={CE0D2CC5-5E87-4AF9-8E82-A29B1561C6D9}</author>
    <author>tc={A7EE8F63-6639-4AD9-8AFD-E16EE485BC99}</author>
    <author>tc={AD37FE7D-1D41-4E3E-A572-3323FA5D581F}</author>
  </authors>
  <commentList>
    <comment ref="W36" authorId="0" shapeId="0" xr:uid="{CE0D2CC5-5E87-4AF9-8E82-A29B1561C6D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lease agreement, rent will increase to 1.8M/month in Jan-22</t>
      </text>
    </comment>
    <comment ref="W37" authorId="1" shapeId="0" xr:uid="{A7EE8F63-6639-4AD9-8AFD-E16EE485BC9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lease agreement, rent will increase to 2.8M/month in Jan-22</t>
      </text>
    </comment>
    <comment ref="C47" authorId="2" shapeId="0" xr:uid="{AD37FE7D-1D41-4E3E-A572-3323FA5D58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link to BS and build depreciation schedule here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<sst xmlns="http://schemas.openxmlformats.org/spreadsheetml/2006/main" count="1646" uniqueCount="609">
  <si>
    <t>Revenues</t>
  </si>
  <si>
    <t>Air</t>
  </si>
  <si>
    <t>Hotel</t>
  </si>
  <si>
    <t>Car</t>
  </si>
  <si>
    <t>Local Experience</t>
  </si>
  <si>
    <t>Insurance</t>
  </si>
  <si>
    <t>Advertising</t>
  </si>
  <si>
    <t>Total Revenues</t>
  </si>
  <si>
    <t>FY</t>
  </si>
  <si>
    <t>Date</t>
  </si>
  <si>
    <t>Quarter</t>
  </si>
  <si>
    <t>Year</t>
  </si>
  <si>
    <t>Month_num</t>
  </si>
  <si>
    <t>Scenario</t>
  </si>
  <si>
    <t>Actual</t>
  </si>
  <si>
    <t>Forecast</t>
  </si>
  <si>
    <t>Jun_Fcst</t>
  </si>
  <si>
    <t>Formatted</t>
  </si>
  <si>
    <t>Fixed Expenses</t>
  </si>
  <si>
    <t>Semi-Fixed Expenses</t>
  </si>
  <si>
    <t>Variable Expenses</t>
  </si>
  <si>
    <t>Rental Expenses</t>
  </si>
  <si>
    <t>Seattle Office</t>
  </si>
  <si>
    <t>San Francisco Office</t>
  </si>
  <si>
    <t>New York Office</t>
  </si>
  <si>
    <t>Chicago Office</t>
  </si>
  <si>
    <t>Total Rent Expense</t>
  </si>
  <si>
    <t>Server Hosting Expenses</t>
  </si>
  <si>
    <t>Credit Card Processing Fees</t>
  </si>
  <si>
    <t>Bonuses</t>
  </si>
  <si>
    <t>Healthcare Expenses</t>
  </si>
  <si>
    <t>Travel &amp; Entertainment</t>
  </si>
  <si>
    <t>Monthly Hosting Fees</t>
  </si>
  <si>
    <t>Server Activity Fees</t>
  </si>
  <si>
    <t>Cost per server ping</t>
  </si>
  <si>
    <t>Total Server Hosting Expenses</t>
  </si>
  <si>
    <t>This likely would be tied to expectations around customer levels</t>
  </si>
  <si>
    <t>Flat Fee regardless of usage</t>
  </si>
  <si>
    <t>6M average. Could set it up to be prior year + inflation as well if that makes more sense</t>
  </si>
  <si>
    <t>Amortization Expenses</t>
  </si>
  <si>
    <t>Amortization Expense</t>
  </si>
  <si>
    <t>Used most recent monthly average</t>
  </si>
  <si>
    <t>Total Semi-Fixed Expenses</t>
  </si>
  <si>
    <t>Account</t>
  </si>
  <si>
    <t>Month</t>
  </si>
  <si>
    <t>Version</t>
  </si>
  <si>
    <t>Account Lookup</t>
  </si>
  <si>
    <t>Account_type</t>
  </si>
  <si>
    <t>Fin_Stmt</t>
  </si>
  <si>
    <t>Projection</t>
  </si>
  <si>
    <t>Mar_Fcst</t>
  </si>
  <si>
    <t>Sep_Fcst</t>
  </si>
  <si>
    <t>Dec_Fcst</t>
  </si>
  <si>
    <t>Date Lookup</t>
  </si>
  <si>
    <t>Revenue</t>
  </si>
  <si>
    <t>Fixed Expense</t>
  </si>
  <si>
    <t>Cost of Revenues</t>
  </si>
  <si>
    <t>SG&amp;A</t>
  </si>
  <si>
    <t>Marketing</t>
  </si>
  <si>
    <t>Interest</t>
  </si>
  <si>
    <t>Taxes</t>
  </si>
  <si>
    <t>Current Asset</t>
  </si>
  <si>
    <t>Non-Current Asset</t>
  </si>
  <si>
    <t>Current Liability</t>
  </si>
  <si>
    <t>Non-Current Liability</t>
  </si>
  <si>
    <t>Stockholder's Equity</t>
  </si>
  <si>
    <t>IS</t>
  </si>
  <si>
    <t>BS</t>
  </si>
  <si>
    <t>CFS</t>
  </si>
  <si>
    <t>CY</t>
  </si>
  <si>
    <t>CY-1</t>
  </si>
  <si>
    <t>CY-2</t>
  </si>
  <si>
    <t>CY+1</t>
  </si>
  <si>
    <t>CY+2</t>
  </si>
  <si>
    <t>CY+3</t>
  </si>
  <si>
    <t>CY+4</t>
  </si>
  <si>
    <t>CY+5</t>
  </si>
  <si>
    <t>CY_Year</t>
  </si>
  <si>
    <t>Total Fixed Expenses</t>
  </si>
  <si>
    <t>Total Variable Expenses</t>
  </si>
  <si>
    <t>Total Expenses</t>
  </si>
  <si>
    <t>Depreciation</t>
  </si>
  <si>
    <t>Cost of Sales Summary</t>
  </si>
  <si>
    <t>Total Cost of Sales</t>
  </si>
  <si>
    <t>Gross Profit</t>
  </si>
  <si>
    <t>Total Gross Profit</t>
  </si>
  <si>
    <t>Salaries</t>
  </si>
  <si>
    <t>Health Benefits</t>
  </si>
  <si>
    <t>Total Operating Expenses</t>
  </si>
  <si>
    <t>Pre-tax Operating Income</t>
  </si>
  <si>
    <t>Tax Expense</t>
  </si>
  <si>
    <t>Net Income</t>
  </si>
  <si>
    <t>Operating Income (EBIT)</t>
  </si>
  <si>
    <t>Salary Expenses Summary</t>
  </si>
  <si>
    <t>Total Headcount</t>
  </si>
  <si>
    <t>Total Headcount (FTE)</t>
  </si>
  <si>
    <t>Total Salary Expense</t>
  </si>
  <si>
    <t>Headcount</t>
  </si>
  <si>
    <t>Employees</t>
  </si>
  <si>
    <t>Vendors</t>
  </si>
  <si>
    <t>Contractors</t>
  </si>
  <si>
    <r>
      <t>Average Salary (</t>
    </r>
    <r>
      <rPr>
        <sz val="11"/>
        <color theme="1"/>
        <rFont val="Calibri"/>
        <family val="2"/>
        <scheme val="minor"/>
      </rPr>
      <t>USD</t>
    </r>
    <r>
      <rPr>
        <b/>
        <sz val="11"/>
        <color theme="1"/>
        <rFont val="Calibri"/>
        <family val="2"/>
        <scheme val="minor"/>
      </rPr>
      <t>)</t>
    </r>
  </si>
  <si>
    <r>
      <t xml:space="preserve">Salary Growth Rates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>)</t>
    </r>
  </si>
  <si>
    <t>Headcount (FTE)</t>
  </si>
  <si>
    <t>Bonus Expense Summary</t>
  </si>
  <si>
    <t>Bonus Expense</t>
  </si>
  <si>
    <t>Average Healthcare Premiums per Employee</t>
  </si>
  <si>
    <t>Prior month's Annualized Salary expense</t>
  </si>
  <si>
    <t>Employees (FTE)</t>
  </si>
  <si>
    <t>Bonus - % of Annualized Salaries</t>
  </si>
  <si>
    <t>Travel &amp; Entertainment Expenses</t>
  </si>
  <si>
    <t>Contractors (FTE)</t>
  </si>
  <si>
    <t>Headcount with Allowable T&amp;E</t>
  </si>
  <si>
    <t>Average T&amp;E per Employee</t>
  </si>
  <si>
    <t>Marketing Expense Summary</t>
  </si>
  <si>
    <t>Brand Marketing</t>
  </si>
  <si>
    <t>Variable Marketing</t>
  </si>
  <si>
    <t>Total Marketing Expense</t>
  </si>
  <si>
    <t>Bad Debt Expense Summary</t>
  </si>
  <si>
    <t>Depreciation Summary</t>
  </si>
  <si>
    <t>Interest Expense Summary</t>
  </si>
  <si>
    <t>Tax Expense Summary</t>
  </si>
  <si>
    <t>Total Credit Card Processing Fees</t>
  </si>
  <si>
    <t>Total Bad Debt Expense</t>
  </si>
  <si>
    <t>Total Depreciation Expense</t>
  </si>
  <si>
    <t>Total Interest Expense</t>
  </si>
  <si>
    <t>Total Tax Expense</t>
  </si>
  <si>
    <t>Total Visitors</t>
  </si>
  <si>
    <t>Direct Search</t>
  </si>
  <si>
    <t>Search - Organic</t>
  </si>
  <si>
    <t>Search - Paid</t>
  </si>
  <si>
    <t>Partner Referral</t>
  </si>
  <si>
    <t>Search Rates</t>
  </si>
  <si>
    <t>Bounce</t>
  </si>
  <si>
    <t>Check</t>
  </si>
  <si>
    <t>Total Shoppers</t>
  </si>
  <si>
    <t>Partner Referrals</t>
  </si>
  <si>
    <t>% of Revenues</t>
  </si>
  <si>
    <t>SEO Agency Fee</t>
  </si>
  <si>
    <t>Total Search - Organic</t>
  </si>
  <si>
    <t>Paid Visitors</t>
  </si>
  <si>
    <t>Average Cost per Click</t>
  </si>
  <si>
    <t>Total Search - Paid</t>
  </si>
  <si>
    <t>Partner Referral Visitors</t>
  </si>
  <si>
    <t>Total Partner Referrals</t>
  </si>
  <si>
    <t>Total Variable Marketing</t>
  </si>
  <si>
    <t>decide whether to drive based on % of revenues or based on determined brand marketing schedule</t>
  </si>
  <si>
    <t>Gross Merchandise Value</t>
  </si>
  <si>
    <t>Average Processing Fee %</t>
  </si>
  <si>
    <t>Average Monthly Interest Rate on Debt</t>
  </si>
  <si>
    <t>Effective Tax Rate</t>
  </si>
  <si>
    <t>Marketing Expenses</t>
  </si>
  <si>
    <t>Amortization</t>
  </si>
  <si>
    <t>Assets</t>
  </si>
  <si>
    <t>Liabilities</t>
  </si>
  <si>
    <t>Shareholders Equity</t>
  </si>
  <si>
    <t>Cash</t>
  </si>
  <si>
    <t>Inventory</t>
  </si>
  <si>
    <t>Accounts Payable</t>
  </si>
  <si>
    <t>Accrued Expenses</t>
  </si>
  <si>
    <t>Bonus Payable</t>
  </si>
  <si>
    <t>Short-Term Debt</t>
  </si>
  <si>
    <t>Deferred Revenues</t>
  </si>
  <si>
    <t>Long-Term Debt</t>
  </si>
  <si>
    <t>Other Liabilities</t>
  </si>
  <si>
    <t>Total Liabilities</t>
  </si>
  <si>
    <t>Accumulated Depreciation</t>
  </si>
  <si>
    <t>Property, Plant, &amp; Equipment, Net</t>
  </si>
  <si>
    <t>Property, Plant, &amp; Equiptment, Gross</t>
  </si>
  <si>
    <t>Total Assets</t>
  </si>
  <si>
    <t>Treasury Stock</t>
  </si>
  <si>
    <t>Retained Earnings</t>
  </si>
  <si>
    <t>Total Shareholders Equity</t>
  </si>
  <si>
    <t>Total Liabilities &amp; Shareholders Equity</t>
  </si>
  <si>
    <t>Adjustments to Working Capital:</t>
  </si>
  <si>
    <t>(Increase) Decrease in Inventory</t>
  </si>
  <si>
    <t>Increase (Decrease) in Accounts Payable</t>
  </si>
  <si>
    <t>Increase (Decrease) in Accrued Expenses</t>
  </si>
  <si>
    <t>Increase (Decrease) in Bonuses Payable</t>
  </si>
  <si>
    <t>Operating Cash Flow</t>
  </si>
  <si>
    <t>Issuance (Repayment) of Short-Term Debt</t>
  </si>
  <si>
    <t>Issuance (Repayment) of Long-Term Debt</t>
  </si>
  <si>
    <t>Investing Cash Flow</t>
  </si>
  <si>
    <t>Proceeds from Issuance of Shares</t>
  </si>
  <si>
    <t>Shares (Repurchased)</t>
  </si>
  <si>
    <t>Dividends</t>
  </si>
  <si>
    <t>Add back non-cash expenses:</t>
  </si>
  <si>
    <t>Financing Cash Flow</t>
  </si>
  <si>
    <t>Net Cash Flows</t>
  </si>
  <si>
    <t>Beginning Cash Balance</t>
  </si>
  <si>
    <t>Ending Cash Balance</t>
  </si>
  <si>
    <t>Net Income (Loss)</t>
  </si>
  <si>
    <t>(Capital Expenditures)</t>
  </si>
  <si>
    <t>Sales of Property, Plant &amp; Equipment</t>
  </si>
  <si>
    <t>Beginning Balance</t>
  </si>
  <si>
    <t>Ending Balance</t>
  </si>
  <si>
    <t>+ Net Cash Flows</t>
  </si>
  <si>
    <t>+ Credit Sales</t>
  </si>
  <si>
    <t>- Collections</t>
  </si>
  <si>
    <t>- Write Offs</t>
  </si>
  <si>
    <t>A/R Days Outstanding</t>
  </si>
  <si>
    <t>+ Purchases</t>
  </si>
  <si>
    <t>- Cost of Revenues</t>
  </si>
  <si>
    <t>Inventory Days</t>
  </si>
  <si>
    <t>+ Capital Expenditures</t>
  </si>
  <si>
    <t>- Sales of PP&amp;E</t>
  </si>
  <si>
    <t>+ Depreciation</t>
  </si>
  <si>
    <t>- Accumulated Depreciation on Disposed PP&amp;E</t>
  </si>
  <si>
    <t>- Payments</t>
  </si>
  <si>
    <t>+ Bonus Expense</t>
  </si>
  <si>
    <t>+ ST Debt Issuance</t>
  </si>
  <si>
    <t>- ST Debt Repayments</t>
  </si>
  <si>
    <t>+ LT Debt Issued</t>
  </si>
  <si>
    <t>- LT Debt Repayment</t>
  </si>
  <si>
    <t>Common Stock</t>
  </si>
  <si>
    <t>+ Share Issuances</t>
  </si>
  <si>
    <t>+ Share repurchases</t>
  </si>
  <si>
    <t>- Treasury Stock Sales</t>
  </si>
  <si>
    <t>+ Net Income</t>
  </si>
  <si>
    <t>- Dividends</t>
  </si>
  <si>
    <t>Increase (Decrease) in Deferred Revenue</t>
  </si>
  <si>
    <t>Increase (Decrease) in Other Liabilities</t>
  </si>
  <si>
    <t>Accounts Receivable</t>
  </si>
  <si>
    <t>Days Payable</t>
  </si>
  <si>
    <t>+ Marketing Expenses</t>
  </si>
  <si>
    <t>Conversion Rate</t>
  </si>
  <si>
    <t>Total Transactions</t>
  </si>
  <si>
    <t>Tickets/Nights/Days/Reservations per Transaction</t>
  </si>
  <si>
    <t>Rate per Unit</t>
  </si>
  <si>
    <t>Margin/ Commission Rate</t>
  </si>
  <si>
    <t>Total Product Revenue</t>
  </si>
  <si>
    <t>x</t>
  </si>
  <si>
    <t>Total Units</t>
  </si>
  <si>
    <t>Total Gross Sales Value</t>
  </si>
  <si>
    <t>Insurance Revenue Summary</t>
  </si>
  <si>
    <t>Car Transactions</t>
  </si>
  <si>
    <t>Insurance Attach Rate</t>
  </si>
  <si>
    <t>Insurance Transactions</t>
  </si>
  <si>
    <t>Insurance Margin</t>
  </si>
  <si>
    <t>Total Insurance Revenue</t>
  </si>
  <si>
    <t>Average Charge</t>
  </si>
  <si>
    <t>Insurance Gross Sales</t>
  </si>
  <si>
    <t>Advertising Revenue Summary</t>
  </si>
  <si>
    <t>Rate per Visitor</t>
  </si>
  <si>
    <t>Advertising Revenue</t>
  </si>
  <si>
    <t>y/y growth %</t>
  </si>
  <si>
    <t>Accumulated Amortization</t>
  </si>
  <si>
    <t>Definite-Lived Intangibles, Net</t>
  </si>
  <si>
    <t>Definited-Lived Intangibles, Gross</t>
  </si>
  <si>
    <t>- Sales of Intangibles</t>
  </si>
  <si>
    <t>- Intangible Impairments</t>
  </si>
  <si>
    <t>+ Amortization</t>
  </si>
  <si>
    <t>- Accum. Amort. on Intangibles Sold or Written Off</t>
  </si>
  <si>
    <t>+ Acquisition Intangibles</t>
  </si>
  <si>
    <t>Definite-Lived Intangible Assets, Gross</t>
  </si>
  <si>
    <t>Gross PP&amp;E</t>
  </si>
  <si>
    <t>Goodwill</t>
  </si>
  <si>
    <t>+ Goodwill from M&amp;A</t>
  </si>
  <si>
    <t>- Goodwill Impairment Charges</t>
  </si>
  <si>
    <t>Annual Amortization %</t>
  </si>
  <si>
    <t>Average Useful Life</t>
  </si>
  <si>
    <t>Wtd Avg. Annual Interest Rate</t>
  </si>
  <si>
    <t>Gross Profit Margin</t>
  </si>
  <si>
    <t>EBIT Margin</t>
  </si>
  <si>
    <t>Net Margin</t>
  </si>
  <si>
    <t>Sales</t>
  </si>
  <si>
    <r>
      <t xml:space="preserve">Visitors </t>
    </r>
    <r>
      <rPr>
        <i/>
        <sz val="11"/>
        <color theme="1"/>
        <rFont val="Calibri"/>
        <family val="2"/>
        <scheme val="minor"/>
      </rPr>
      <t>(thousands)</t>
    </r>
  </si>
  <si>
    <r>
      <t xml:space="preserve">Shoppers </t>
    </r>
    <r>
      <rPr>
        <i/>
        <sz val="11"/>
        <color theme="1"/>
        <rFont val="Calibri"/>
        <family val="2"/>
        <scheme val="minor"/>
      </rPr>
      <t>(thousands)</t>
    </r>
  </si>
  <si>
    <r>
      <t xml:space="preserve">Transactions </t>
    </r>
    <r>
      <rPr>
        <i/>
        <sz val="11"/>
        <color theme="1"/>
        <rFont val="Calibri"/>
        <family val="2"/>
        <scheme val="minor"/>
      </rPr>
      <t>(thousands)</t>
    </r>
  </si>
  <si>
    <r>
      <t xml:space="preserve">Total Tickets/ Hotel Nights/ Car Days/ Reservations </t>
    </r>
    <r>
      <rPr>
        <i/>
        <sz val="11"/>
        <color theme="1"/>
        <rFont val="Calibri"/>
        <family val="2"/>
        <scheme val="minor"/>
      </rPr>
      <t>(thousands)</t>
    </r>
  </si>
  <si>
    <r>
      <t xml:space="preserve">Gross Sales Value </t>
    </r>
    <r>
      <rPr>
        <i/>
        <sz val="11"/>
        <color theme="1"/>
        <rFont val="Calibri"/>
        <family val="2"/>
        <scheme val="minor"/>
      </rPr>
      <t>(millions)</t>
    </r>
  </si>
  <si>
    <r>
      <t xml:space="preserve">Revenue Summary </t>
    </r>
    <r>
      <rPr>
        <i/>
        <sz val="11"/>
        <color theme="1"/>
        <rFont val="Calibri"/>
        <family val="2"/>
        <scheme val="minor"/>
      </rPr>
      <t>(millions)</t>
    </r>
  </si>
  <si>
    <t>(All $'s in millions unless otherwise stated)</t>
  </si>
  <si>
    <r>
      <t>Revenue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(millions)</t>
    </r>
  </si>
  <si>
    <t>Cost of Sales</t>
  </si>
  <si>
    <t>Indefinited-Lived Intangibles</t>
  </si>
  <si>
    <t>(Acquisition of Intangibles)</t>
  </si>
  <si>
    <t>Sales of Intangible Assets</t>
  </si>
  <si>
    <t>Deferred Revenue % of Annualized Revenues</t>
  </si>
  <si>
    <t>+ Cash Received from Customers</t>
  </si>
  <si>
    <t>- Earned Revenue</t>
  </si>
  <si>
    <t>% of Total Expenses</t>
  </si>
  <si>
    <t>Product</t>
  </si>
  <si>
    <t>Per lease agreement rent will increase to $1.8M/month starting Jan'22</t>
  </si>
  <si>
    <t>Per lease agreement rent will increase to $2.8M/month starting Jan'22</t>
  </si>
  <si>
    <r>
      <t xml:space="preserve">Salary Expense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millions</t>
    </r>
    <r>
      <rPr>
        <sz val="11"/>
        <color theme="1"/>
        <rFont val="Calibri"/>
        <family val="2"/>
        <scheme val="minor"/>
      </rPr>
      <t>)</t>
    </r>
  </si>
  <si>
    <t>Top-Down Forecast</t>
  </si>
  <si>
    <t>Op. Income before Salary &amp; Health Benefits</t>
  </si>
  <si>
    <t>Less: Target Net Income</t>
  </si>
  <si>
    <t>Target Net Income Margin</t>
  </si>
  <si>
    <t>Tax Rate</t>
  </si>
  <si>
    <t>(Op. Inc - Salary &amp; Benefits)*(1-tax) = Net Margin</t>
  </si>
  <si>
    <t>Net Margin / (1-tax) = (OI - Salary &amp; Benefits)</t>
  </si>
  <si>
    <t>Salary &amp; Benefits = OI - Net Income / (1-tax)</t>
  </si>
  <si>
    <t>Gross Margin</t>
  </si>
  <si>
    <t>LTM Monthly Average</t>
  </si>
  <si>
    <t>Estimated Headcount</t>
  </si>
  <si>
    <t>Total Benefits Expenses</t>
  </si>
  <si>
    <t>Average Salary &amp; Benefits Expense</t>
  </si>
  <si>
    <t>Estimated Headcount Summary</t>
  </si>
  <si>
    <t>Calculation of Salary &amp; Benefits for Given Level of Op Income &amp; Desired Net Margin</t>
  </si>
  <si>
    <t>Supportable Salary &amp; Benefits</t>
  </si>
  <si>
    <t>Bottoms-Up Forecast</t>
  </si>
  <si>
    <t>Sales &amp; Marketing Headcount</t>
  </si>
  <si>
    <t>Research &amp; Development Headcount</t>
  </si>
  <si>
    <t>General &amp; Administrative Headcount</t>
  </si>
  <si>
    <t>Headcount Summary</t>
  </si>
  <si>
    <t>Supplier Support</t>
  </si>
  <si>
    <t>Total Sales &amp; Marketing</t>
  </si>
  <si>
    <t>Engineering</t>
  </si>
  <si>
    <t>R&amp;D</t>
  </si>
  <si>
    <t>Total Research &amp; Development</t>
  </si>
  <si>
    <t>Customer Support</t>
  </si>
  <si>
    <t>Accounting</t>
  </si>
  <si>
    <t>Finance</t>
  </si>
  <si>
    <t>Legal</t>
  </si>
  <si>
    <t>Human Resources</t>
  </si>
  <si>
    <t>Total General &amp; Administrative</t>
  </si>
  <si>
    <t>Sales Department</t>
  </si>
  <si>
    <t>Accounting Headcount</t>
  </si>
  <si>
    <t>Supplier Support Department</t>
  </si>
  <si>
    <t>Marketing Department</t>
  </si>
  <si>
    <t>Engineering Department</t>
  </si>
  <si>
    <t>Product Department</t>
  </si>
  <si>
    <t>Research &amp; Development Department</t>
  </si>
  <si>
    <t>Customer Support Department</t>
  </si>
  <si>
    <t>Accounting Department</t>
  </si>
  <si>
    <t>Finance Department</t>
  </si>
  <si>
    <t>Legal Department</t>
  </si>
  <si>
    <t>Human Resources Department</t>
  </si>
  <si>
    <t># of Suppliers Served</t>
  </si>
  <si>
    <t>Suppliers Served / Sales Rep</t>
  </si>
  <si>
    <t>Total Sales Headcount</t>
  </si>
  <si>
    <t>Supplier Support / Sales Headcount</t>
  </si>
  <si>
    <t>Search Engine Marketing</t>
  </si>
  <si>
    <t>Partner Marketing</t>
  </si>
  <si>
    <t>Creative Team</t>
  </si>
  <si>
    <t>Media Purchasing</t>
  </si>
  <si>
    <t>Organic Search</t>
  </si>
  <si>
    <t>Paid Search Marketing</t>
  </si>
  <si>
    <t>Search Marketing Support</t>
  </si>
  <si>
    <t>Paid Search Support / Marketing Ratio</t>
  </si>
  <si>
    <t>Partners Served</t>
  </si>
  <si>
    <t>Partners Served / Partner Marketer</t>
  </si>
  <si>
    <t>Dev Ops</t>
  </si>
  <si>
    <t>Website Ops</t>
  </si>
  <si>
    <t>Payments Flow</t>
  </si>
  <si>
    <t>Media</t>
  </si>
  <si>
    <t>Supplier Tools</t>
  </si>
  <si>
    <t>Product Support</t>
  </si>
  <si>
    <t>Product Managers</t>
  </si>
  <si>
    <t>Product Design</t>
  </si>
  <si>
    <t>User Experience</t>
  </si>
  <si>
    <t>Product Development</t>
  </si>
  <si>
    <t>Engineering Support / Product Manager</t>
  </si>
  <si>
    <t>Engineering Support</t>
  </si>
  <si>
    <t>Product Analytics</t>
  </si>
  <si>
    <t>Product Analytics / Product Manager</t>
  </si>
  <si>
    <t>Research Projects</t>
  </si>
  <si>
    <t>Head Researchers</t>
  </si>
  <si>
    <t>Projects / Head Researcher</t>
  </si>
  <si>
    <t>Researchers</t>
  </si>
  <si>
    <t>Researchers / Project</t>
  </si>
  <si>
    <t>% of Support Calls</t>
  </si>
  <si>
    <t>Customer Support Representatives</t>
  </si>
  <si>
    <t>CS Managers</t>
  </si>
  <si>
    <t>Total Transactions (thousands)</t>
  </si>
  <si>
    <t>Support Calls (thousands)</t>
  </si>
  <si>
    <t>Monthly Calls / Customer Support Rep</t>
  </si>
  <si>
    <t>Customer Support Rep / Manager</t>
  </si>
  <si>
    <t>CS FTE</t>
  </si>
  <si>
    <t>CS Contractor</t>
  </si>
  <si>
    <t>Transaction / Accounting Staff</t>
  </si>
  <si>
    <t>Accountants / Finance Staff</t>
  </si>
  <si>
    <t>Corporate Counsel Staff</t>
  </si>
  <si>
    <t>Contract Lawyers</t>
  </si>
  <si>
    <t>Litigation Attorneys</t>
  </si>
  <si>
    <t>Tax Attorneys</t>
  </si>
  <si>
    <t>Total Employees ex. HR</t>
  </si>
  <si>
    <t>Employees / Human Resource Rep</t>
  </si>
  <si>
    <t>Attrition / Rehire Rate</t>
  </si>
  <si>
    <t>Internal Recruiters</t>
  </si>
  <si>
    <t>Positions to Fill</t>
  </si>
  <si>
    <t>Positions to Fill / Recruiter</t>
  </si>
  <si>
    <t>Human Resource Reps</t>
  </si>
  <si>
    <t>CS Vendor</t>
  </si>
  <si>
    <t>Bottoms-Up (Detailed) Forecast</t>
  </si>
  <si>
    <t>Tops-Down (High-Level) Forecast</t>
  </si>
  <si>
    <t>Source:</t>
  </si>
  <si>
    <t>Online Travel Agent Market Size Worldwide</t>
  </si>
  <si>
    <t>Market Share</t>
  </si>
  <si>
    <t>Gross Bookings</t>
  </si>
  <si>
    <t>Revenue Margin</t>
  </si>
  <si>
    <t>"Global Online Travel Agent Markets Report 2020-2030" by Research and Markets</t>
  </si>
  <si>
    <t>3 year CAGR</t>
  </si>
  <si>
    <t>Consensus Estimates of Average Industry Revenue Margins as of Jun'21</t>
  </si>
  <si>
    <t>Per CEO, "conservatively estimate no incremental gains in market share"</t>
  </si>
  <si>
    <t>Indirect Cash Flow Statement</t>
  </si>
  <si>
    <t>Cash Receipts from Customers</t>
  </si>
  <si>
    <t>Cash (Paid) to Suppliers</t>
  </si>
  <si>
    <t>Cash (Paid) to Employees</t>
  </si>
  <si>
    <t>Cash Taxes (Paid)</t>
  </si>
  <si>
    <t>Cash Interest (Paid)</t>
  </si>
  <si>
    <t>Cash (Paid) to Advertisers</t>
  </si>
  <si>
    <t>Supplemental Info</t>
  </si>
  <si>
    <t>Credit Sales</t>
  </si>
  <si>
    <t>Earned Revenues</t>
  </si>
  <si>
    <t>Credit Sales % of Total Revenues</t>
  </si>
  <si>
    <t>Summary Balance Sheet</t>
  </si>
  <si>
    <t>Intangible Assets, Net</t>
  </si>
  <si>
    <t>Current Assets</t>
  </si>
  <si>
    <t>Short-term Debt</t>
  </si>
  <si>
    <t>Current Liabilities</t>
  </si>
  <si>
    <t>Total Liabilities &amp; Stockholder's Equity</t>
  </si>
  <si>
    <t>Assets = Liabilities + Equity</t>
  </si>
  <si>
    <t>Indirect OCF = Direct OCF</t>
  </si>
  <si>
    <t>Increase (Decrease) in Deferred Revenues</t>
  </si>
  <si>
    <t>(COGS)</t>
  </si>
  <si>
    <t>Increase (Decrease) in A/P</t>
  </si>
  <si>
    <t>(Bonus Expense)</t>
  </si>
  <si>
    <t>Increase (Decrease) in Bonus Payable</t>
  </si>
  <si>
    <t>(Marketing Expense)</t>
  </si>
  <si>
    <t>Increase (Decrease) in Accrued Expenses)</t>
  </si>
  <si>
    <t>Adjustments to reconcile sales to receipts</t>
  </si>
  <si>
    <t>= Cash Received from Customers</t>
  </si>
  <si>
    <t>Adjustments to reconcile (COGS) to (purchases)</t>
  </si>
  <si>
    <t>Adjustment to reconcile (Purchases) to (Payments) to Suppliers</t>
  </si>
  <si>
    <t>= (Purchases)</t>
  </si>
  <si>
    <t>= (Payments) to Suppliers</t>
  </si>
  <si>
    <t>Salary (Paid) = Salary (Expense)</t>
  </si>
  <si>
    <t>Healthcare (Paid) = Healthcare (Expense)</t>
  </si>
  <si>
    <t>T&amp;E (Paid) = T&amp;E (Expense)</t>
  </si>
  <si>
    <t>Adjustment to reconcile Bonus (Expense) to Bonus (Paid)</t>
  </si>
  <si>
    <t>= Bonus (Paid)</t>
  </si>
  <si>
    <t>Adjustment to Reconcile Marketing (Expense) to Marketing (Paid)</t>
  </si>
  <si>
    <t>= Marketing (Paid)</t>
  </si>
  <si>
    <t>Interest (Paid) = Interest (Expense)</t>
  </si>
  <si>
    <t>Tax (Paid) = Tax (Expense)</t>
  </si>
  <si>
    <t>= Operating Cash Flow</t>
  </si>
  <si>
    <t>Rent (Paid) = Rent (Expense)</t>
  </si>
  <si>
    <t>Allowance for Bad Debts</t>
  </si>
  <si>
    <t>+ Bad Debt Expense</t>
  </si>
  <si>
    <t>% of Uncollectible Credit Sales</t>
  </si>
  <si>
    <t>Allowance % of A/R Ending Balance</t>
  </si>
  <si>
    <t>Accounts Receivable, Net</t>
  </si>
  <si>
    <t>(Increase) Decrease in Accounts Receivable, Net</t>
  </si>
  <si>
    <t>(Increase) Decrease in Receivables, Net</t>
  </si>
  <si>
    <t>Direct Cash Flow Statement - Summary Level</t>
  </si>
  <si>
    <t>Direct Cash Flow Statement - Detailed Level</t>
  </si>
  <si>
    <t>+ Credit Card Processing Fees</t>
  </si>
  <si>
    <t>EBITDA</t>
  </si>
  <si>
    <t>Supplemental:</t>
  </si>
  <si>
    <t>EBITDA Margin</t>
  </si>
  <si>
    <t>Rolling 12mo EBITDA</t>
  </si>
  <si>
    <t>Ending Debt / Annualized EBITDA</t>
  </si>
  <si>
    <t>Cost of Goods Sold</t>
  </si>
  <si>
    <t>Operating Expenses</t>
  </si>
  <si>
    <t>Interest Expense</t>
  </si>
  <si>
    <t>Rent Expenses</t>
  </si>
  <si>
    <t>Server Hosting</t>
  </si>
  <si>
    <t>Bad Debt</t>
  </si>
  <si>
    <t>Salary</t>
  </si>
  <si>
    <t>Bonus</t>
  </si>
  <si>
    <t>Healthcare</t>
  </si>
  <si>
    <t>T&amp;E</t>
  </si>
  <si>
    <t>Detailed Expense Schedules</t>
  </si>
  <si>
    <t>Product Revenues</t>
  </si>
  <si>
    <t>Ancillary Revenues</t>
  </si>
  <si>
    <t>Supplementary Info</t>
  </si>
  <si>
    <t>Revenue Summary</t>
  </si>
  <si>
    <t>Expense Summary</t>
  </si>
  <si>
    <r>
      <t xml:space="preserve">Expense Summary </t>
    </r>
    <r>
      <rPr>
        <i/>
        <sz val="11"/>
        <color theme="1"/>
        <rFont val="Calibri"/>
        <family val="2"/>
        <scheme val="minor"/>
      </rPr>
      <t>(millions)</t>
    </r>
  </si>
  <si>
    <t>Air COS Allocation - (% of COS)</t>
  </si>
  <si>
    <t>Hotel COS Allocation - (% of COS)</t>
  </si>
  <si>
    <t>Car COS Allocation - (% of COS)</t>
  </si>
  <si>
    <t>Local Experience COS Allocation - (% of COS)</t>
  </si>
  <si>
    <t>Insurance COS Allocation - (% of COS)</t>
  </si>
  <si>
    <t>Advertising COS Allocation - (% of COS)</t>
  </si>
  <si>
    <t>Total Revenues (from IS)</t>
  </si>
  <si>
    <t>Summary Revenues = Detailed Revenues</t>
  </si>
  <si>
    <t>Summary COS = Detailed COS</t>
  </si>
  <si>
    <t>Summary Opex = Detailed Opex</t>
  </si>
  <si>
    <t>A = L + OE</t>
  </si>
  <si>
    <t>Retained Earnings = Begin + NI - Div</t>
  </si>
  <si>
    <t>Beginning Cash + NCF = BS Cash</t>
  </si>
  <si>
    <t>RE Ending = Beginning + NI - Dividends</t>
  </si>
  <si>
    <t>Beginning + NCF = Ending</t>
  </si>
  <si>
    <t>Error Check Summary</t>
  </si>
  <si>
    <t>Error Check</t>
  </si>
  <si>
    <t>Supplemental Info &amp; Ratios</t>
  </si>
  <si>
    <t>Supplemental Metrics</t>
  </si>
  <si>
    <t>Ratios</t>
  </si>
  <si>
    <t>Current Operating Assets</t>
  </si>
  <si>
    <t>Current Operating Liabilities</t>
  </si>
  <si>
    <t>Net Working Capital</t>
  </si>
  <si>
    <t>Long-term Operating Assets</t>
  </si>
  <si>
    <t>Long-term Financial Liabilities</t>
  </si>
  <si>
    <t>Current Ratio</t>
  </si>
  <si>
    <t>Quick Ratio</t>
  </si>
  <si>
    <t>Total Debt (ST + LT)</t>
  </si>
  <si>
    <t>Net Debt</t>
  </si>
  <si>
    <t>Working Capital Ratios</t>
  </si>
  <si>
    <t>A/R Days</t>
  </si>
  <si>
    <t>A/P Days</t>
  </si>
  <si>
    <t>Cash Conversion Cycle</t>
  </si>
  <si>
    <t>Departmental Headcount</t>
  </si>
  <si>
    <t>Beginning ST Debt Balance</t>
  </si>
  <si>
    <t>Beginning LT Debt Balance</t>
  </si>
  <si>
    <t>ST Interest Expense</t>
  </si>
  <si>
    <t>LT Interest Expense</t>
  </si>
  <si>
    <t>Cash Interest Income</t>
  </si>
  <si>
    <t>Interest income</t>
  </si>
  <si>
    <t>Interest Income</t>
  </si>
  <si>
    <t>Interest Received = Interest Income</t>
  </si>
  <si>
    <t>Net Interest (Income) Expense</t>
  </si>
  <si>
    <t>Cash Interest Received</t>
  </si>
  <si>
    <t>Annualized Margins</t>
  </si>
  <si>
    <t>Air Unit Economics &amp; Breakeven</t>
  </si>
  <si>
    <t>Profitability</t>
  </si>
  <si>
    <t>Efficiency</t>
  </si>
  <si>
    <t>Solvency</t>
  </si>
  <si>
    <t>Coverage</t>
  </si>
  <si>
    <t>Asset Turnover</t>
  </si>
  <si>
    <t>Capital Intensity</t>
  </si>
  <si>
    <t>Sales to Fixed Assets</t>
  </si>
  <si>
    <t>Sales to Operating Income</t>
  </si>
  <si>
    <t>Working Capital</t>
  </si>
  <si>
    <t>Other Efficiency</t>
  </si>
  <si>
    <t>Receivable Days</t>
  </si>
  <si>
    <t>Payable Days</t>
  </si>
  <si>
    <t>Return on Assets</t>
  </si>
  <si>
    <t>Return on Operating Assets</t>
  </si>
  <si>
    <t>Return on Invested Capital</t>
  </si>
  <si>
    <t>Return on Equity</t>
  </si>
  <si>
    <t>Debt to Assets</t>
  </si>
  <si>
    <t>Debt to Equity</t>
  </si>
  <si>
    <t>Equity Multiplier</t>
  </si>
  <si>
    <t>Solvency Ratio</t>
  </si>
  <si>
    <t>Interest Coverage</t>
  </si>
  <si>
    <t>Debt Service Coverage</t>
  </si>
  <si>
    <t>Fixed Charge Coverage</t>
  </si>
  <si>
    <t>Debt to EBITDA</t>
  </si>
  <si>
    <t>Cash Flow Adequacy</t>
  </si>
  <si>
    <t>Margins</t>
  </si>
  <si>
    <t>Returns</t>
  </si>
  <si>
    <t>Cash Conversion</t>
  </si>
  <si>
    <t>Total Fixed Assets</t>
  </si>
  <si>
    <t>Total Sales, Net</t>
  </si>
  <si>
    <t>Debt</t>
  </si>
  <si>
    <t>Shareholder's Equity</t>
  </si>
  <si>
    <t>Depreciation &amp; Amortization</t>
  </si>
  <si>
    <t>Principal Repayments</t>
  </si>
  <si>
    <t>Fixed Charges</t>
  </si>
  <si>
    <t>Gross Operating Assets</t>
  </si>
  <si>
    <t>NOPAT</t>
  </si>
  <si>
    <t>Invested Capital</t>
  </si>
  <si>
    <t>FTE</t>
  </si>
  <si>
    <t>Income Statement</t>
  </si>
  <si>
    <t>Statement of Cash Flows</t>
  </si>
  <si>
    <t>Balance Sheet</t>
  </si>
  <si>
    <t>Average Ticket Price</t>
  </si>
  <si>
    <t>Average Tickets per Transaction</t>
  </si>
  <si>
    <t>Margin %</t>
  </si>
  <si>
    <t>Credit Card Processing Fees (% of GMV)</t>
  </si>
  <si>
    <t>Credit Card Processing Fees (Air)</t>
  </si>
  <si>
    <t xml:space="preserve">Bad Debt % </t>
  </si>
  <si>
    <t>Credit Sales % of Revenues</t>
  </si>
  <si>
    <t>Air Credit Sales</t>
  </si>
  <si>
    <t>Revenue per Ticket</t>
  </si>
  <si>
    <t>Revenue per Transaction</t>
  </si>
  <si>
    <t>Air Shoppers</t>
  </si>
  <si>
    <t>Air Shopper %</t>
  </si>
  <si>
    <t>Server Hosting (Total)</t>
  </si>
  <si>
    <t>Bad Debt Expenses</t>
  </si>
  <si>
    <t>Bad Debt Expense (Air)</t>
  </si>
  <si>
    <t>Server Hosting Expenses (Air)</t>
  </si>
  <si>
    <t>Expenses per Transaction</t>
  </si>
  <si>
    <t>Expenses per Ticket</t>
  </si>
  <si>
    <t>Air Specific Fixed Expenses</t>
  </si>
  <si>
    <t>Contribution Margin per Transaction</t>
  </si>
  <si>
    <t>Contribution Margin per Ticket</t>
  </si>
  <si>
    <t>Contribution Margin</t>
  </si>
  <si>
    <t>Breakeven Units</t>
  </si>
  <si>
    <t>Quarterly</t>
  </si>
  <si>
    <t>Annual</t>
  </si>
  <si>
    <t>Q3</t>
  </si>
  <si>
    <t>Q4</t>
  </si>
  <si>
    <t>Purchases + CC Fees (for A/P Days)</t>
  </si>
  <si>
    <t>Non-Working Capital</t>
  </si>
  <si>
    <t>Days in Period</t>
  </si>
  <si>
    <t>Days Expenses Accrued</t>
  </si>
  <si>
    <t>Initiative Impact</t>
  </si>
  <si>
    <t>Adj. Insurance Attach</t>
  </si>
  <si>
    <t>Depreciation Expense as % of Gross PP&amp;E</t>
  </si>
  <si>
    <t>Jul-20A</t>
  </si>
  <si>
    <t>Aug-20A</t>
  </si>
  <si>
    <t>Sep-20A</t>
  </si>
  <si>
    <t>Oct-20A</t>
  </si>
  <si>
    <t>Nov-20A</t>
  </si>
  <si>
    <t>Dec-20A</t>
  </si>
  <si>
    <t>Summary Cash Flow Statement</t>
  </si>
  <si>
    <t>Label</t>
  </si>
  <si>
    <t>Sales / FTE</t>
  </si>
  <si>
    <r>
      <t xml:space="preserve">Monthly Visitors </t>
    </r>
    <r>
      <rPr>
        <i/>
        <sz val="11"/>
        <color theme="1"/>
        <rFont val="Calibri"/>
        <family val="2"/>
        <scheme val="minor"/>
      </rPr>
      <t>(thousands)</t>
    </r>
  </si>
  <si>
    <r>
      <t>Transactions (</t>
    </r>
    <r>
      <rPr>
        <i/>
        <sz val="11"/>
        <color theme="1"/>
        <rFont val="Calibri"/>
        <family val="2"/>
        <scheme val="minor"/>
      </rPr>
      <t>thousands</t>
    </r>
    <r>
      <rPr>
        <sz val="11"/>
        <color theme="1"/>
        <rFont val="Calibri"/>
        <family val="2"/>
        <scheme val="minor"/>
      </rPr>
      <t>)</t>
    </r>
  </si>
  <si>
    <r>
      <t>Tickets (</t>
    </r>
    <r>
      <rPr>
        <i/>
        <sz val="11"/>
        <color theme="1"/>
        <rFont val="Calibri"/>
        <family val="2"/>
        <scheme val="minor"/>
      </rPr>
      <t>thousands</t>
    </r>
    <r>
      <rPr>
        <sz val="11"/>
        <color theme="1"/>
        <rFont val="Calibri"/>
        <family val="2"/>
        <scheme val="minor"/>
      </rPr>
      <t>)</t>
    </r>
  </si>
  <si>
    <t>Gross Merchandise Value ($M)</t>
  </si>
  <si>
    <t>Revenue ($M)</t>
  </si>
  <si>
    <r>
      <t>Breakeven Transactions (</t>
    </r>
    <r>
      <rPr>
        <i/>
        <sz val="11"/>
        <color theme="1"/>
        <rFont val="Calibri"/>
        <family val="2"/>
        <scheme val="minor"/>
      </rPr>
      <t>thousands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</si>
</sst>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_);\(&quot;$&quot;#,##0\)"/>
    <numFmt numFmtId="7" formatCode="&quot;$&quot;#,##0.00_);\(&quot;$&quot;#,##0.00\)"/>
    <numFmt numFmtId="164" formatCode="_(#,##0.0_);\(#,##0.0\);_(&quot;-&quot;_)"/>
    <numFmt numFmtId="165" formatCode="&quot;Q&quot;0"/>
    <numFmt numFmtId="166" formatCode="0.0%"/>
    <numFmt numFmtId="167" formatCode="#,##0.0_);\(#,##0.0\)"/>
    <numFmt numFmtId="168" formatCode="_(0.00%_);\(0.00%\);_(&quot;-&quot;_)"/>
    <numFmt numFmtId="169" formatCode="#,##0.0,_);\(#,##0.0,\)"/>
    <numFmt numFmtId="170" formatCode="_(#,##0_);\(#,##0\);_(&quot;-&quot;_)"/>
    <numFmt numFmtId="171" formatCode="&quot;&quot;;&quot;N/A&quot;;&quot;ERROR&quot;"/>
    <numFmt numFmtId="172" formatCode="#,##0.0000000000000_);\(#,##0.0000000000000\)"/>
    <numFmt numFmtId="173" formatCode="_(#,##0.00_);\(#,##0.00\);_(&quot;-&quot;_)"/>
    <numFmt numFmtId="174" formatCode="#&quot; days&quot;"/>
    <numFmt numFmtId="175" formatCode="&quot;$&quot;#,##0.000_);\(&quot;$&quot;#,##0.000\)"/>
    <numFmt numFmtId="176" formatCode="#&quot; years&quot;"/>
    <numFmt numFmtId="177" formatCode="_(0.0%_);\(0.0%\);_(&quot;-&quot;_)"/>
    <numFmt numFmtId="178" formatCode="0.0\x_)"/>
    <numFmt numFmtId="179" formatCode="0.00_);\(0.00\)"/>
    <numFmt numFmtId="180" formatCode="0&quot; days&quot;"/>
    <numFmt numFmtId="181" formatCode="0.00%_);\(0.00%\)"/>
    <numFmt numFmtId="182" formatCode="0.0\x_);\(0.0\x\)"/>
    <numFmt numFmtId="183" formatCode="#,##0.000000000000_);\(#,##0.0000000000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8C8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8">
    <xf numFmtId="0" fontId="0" fillId="0" borderId="0"/>
    <xf numFmtId="168" fontId="1" fillId="0" borderId="0" applyBorder="0" applyAlignment="0" applyProtection="0"/>
    <xf numFmtId="0" fontId="3" fillId="4" borderId="1" applyNumberFormat="0" applyBorder="0" applyAlignment="0" applyProtection="0"/>
    <xf numFmtId="164" fontId="1" fillId="0" borderId="0" applyBorder="0" applyAlignment="0" applyProtection="0"/>
    <xf numFmtId="164" fontId="3" fillId="4" borderId="0" applyBorder="0" applyAlignment="0" applyProtection="0"/>
    <xf numFmtId="164" fontId="5" fillId="0" borderId="0" applyBorder="0" applyAlignment="0" applyProtection="0"/>
    <xf numFmtId="168" fontId="1" fillId="0" borderId="0" applyBorder="0" applyAlignment="0" applyProtection="0"/>
    <xf numFmtId="168" fontId="3" fillId="4" borderId="0" applyBorder="0" applyAlignment="0" applyProtection="0"/>
    <xf numFmtId="37" fontId="3" fillId="4" borderId="0" applyBorder="0" applyAlignment="0" applyProtection="0"/>
    <xf numFmtId="7" fontId="3" fillId="4" borderId="0" applyBorder="0" applyAlignment="0" applyProtection="0"/>
    <xf numFmtId="169" fontId="1" fillId="0" borderId="0" applyFill="0" applyBorder="0" applyAlignment="0" applyProtection="0"/>
    <xf numFmtId="170" fontId="5" fillId="0" borderId="0" applyBorder="0" applyAlignment="0" applyProtection="0"/>
    <xf numFmtId="170" fontId="5" fillId="0" borderId="0" applyBorder="0" applyAlignment="0" applyProtection="0"/>
    <xf numFmtId="170" fontId="4" fillId="0" borderId="0" applyBorder="0" applyAlignment="0" applyProtection="0"/>
    <xf numFmtId="7" fontId="4" fillId="0" borderId="3" applyBorder="0" applyAlignment="0" applyProtection="0"/>
    <xf numFmtId="174" fontId="4" fillId="0" borderId="0" applyBorder="0" applyAlignment="0" applyProtection="0"/>
    <xf numFmtId="174" fontId="3" fillId="4" borderId="0" applyBorder="0" applyAlignment="0" applyProtection="0"/>
    <xf numFmtId="168" fontId="5" fillId="0" borderId="0" applyBorder="0"/>
  </cellStyleXfs>
  <cellXfs count="38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5" fontId="0" fillId="0" borderId="0" xfId="0" applyNumberFormat="1"/>
    <xf numFmtId="165" fontId="3" fillId="4" borderId="0" xfId="2" applyNumberFormat="1" applyBorder="1"/>
    <xf numFmtId="0" fontId="0" fillId="0" borderId="0" xfId="0" applyAlignment="1">
      <alignment horizontal="right"/>
    </xf>
    <xf numFmtId="17" fontId="3" fillId="4" borderId="0" xfId="2" applyNumberFormat="1" applyBorder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17" fontId="0" fillId="0" borderId="2" xfId="0" applyNumberFormat="1" applyBorder="1" applyAlignment="1">
      <alignment horizontal="right"/>
    </xf>
    <xf numFmtId="0" fontId="2" fillId="0" borderId="0" xfId="0" applyFont="1"/>
    <xf numFmtId="0" fontId="2" fillId="0" borderId="2" xfId="0" applyFont="1" applyBorder="1"/>
    <xf numFmtId="164" fontId="1" fillId="0" borderId="0" xfId="3"/>
    <xf numFmtId="164" fontId="2" fillId="0" borderId="0" xfId="3" applyFont="1"/>
    <xf numFmtId="164" fontId="0" fillId="0" borderId="0" xfId="0" applyNumberFormat="1"/>
    <xf numFmtId="164" fontId="0" fillId="0" borderId="2" xfId="0" applyNumberFormat="1" applyBorder="1"/>
    <xf numFmtId="164" fontId="1" fillId="0" borderId="2" xfId="3" applyBorder="1"/>
    <xf numFmtId="164" fontId="3" fillId="4" borderId="0" xfId="2" applyNumberFormat="1" applyBorder="1"/>
    <xf numFmtId="164" fontId="3" fillId="4" borderId="2" xfId="2" applyNumberFormat="1" applyBorder="1"/>
    <xf numFmtId="166" fontId="0" fillId="0" borderId="0" xfId="0" applyNumberFormat="1"/>
    <xf numFmtId="164" fontId="2" fillId="0" borderId="0" xfId="0" applyNumberFormat="1" applyFont="1"/>
    <xf numFmtId="164" fontId="2" fillId="0" borderId="2" xfId="0" applyNumberFormat="1" applyFont="1" applyBorder="1"/>
    <xf numFmtId="0" fontId="0" fillId="0" borderId="3" xfId="0" applyBorder="1" applyAlignment="1">
      <alignment horizontal="left" indent="1"/>
    </xf>
    <xf numFmtId="164" fontId="1" fillId="0" borderId="3" xfId="3" applyBorder="1"/>
    <xf numFmtId="0" fontId="2" fillId="0" borderId="0" xfId="0" applyFont="1" applyAlignment="1">
      <alignment horizontal="left"/>
    </xf>
    <xf numFmtId="166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0" fontId="2" fillId="0" borderId="5" xfId="0" applyFont="1" applyBorder="1"/>
    <xf numFmtId="164" fontId="3" fillId="4" borderId="0" xfId="4"/>
    <xf numFmtId="164" fontId="3" fillId="4" borderId="2" xfId="4" applyBorder="1"/>
    <xf numFmtId="164" fontId="5" fillId="0" borderId="0" xfId="5"/>
    <xf numFmtId="164" fontId="5" fillId="0" borderId="2" xfId="5" applyBorder="1"/>
    <xf numFmtId="0" fontId="8" fillId="3" borderId="0" xfId="0" applyFont="1" applyFill="1"/>
    <xf numFmtId="0" fontId="9" fillId="3" borderId="0" xfId="0" applyFont="1" applyFill="1"/>
    <xf numFmtId="164" fontId="3" fillId="4" borderId="0" xfId="4" applyBorder="1"/>
    <xf numFmtId="164" fontId="3" fillId="4" borderId="3" xfId="4" applyBorder="1"/>
    <xf numFmtId="164" fontId="3" fillId="4" borderId="4" xfId="4" applyBorder="1"/>
    <xf numFmtId="0" fontId="7" fillId="5" borderId="0" xfId="0" applyFont="1" applyFill="1" applyAlignment="1">
      <alignment horizontal="centerContinuous"/>
    </xf>
    <xf numFmtId="0" fontId="6" fillId="5" borderId="0" xfId="0" applyFont="1" applyFill="1" applyAlignment="1">
      <alignment horizontal="centerContinuous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8" fontId="1" fillId="0" borderId="3" xfId="6" applyBorder="1"/>
    <xf numFmtId="168" fontId="0" fillId="0" borderId="3" xfId="0" applyNumberFormat="1" applyBorder="1"/>
    <xf numFmtId="168" fontId="0" fillId="0" borderId="4" xfId="0" applyNumberFormat="1" applyBorder="1"/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164" fontId="2" fillId="0" borderId="8" xfId="0" applyNumberFormat="1" applyFont="1" applyBorder="1"/>
    <xf numFmtId="0" fontId="2" fillId="0" borderId="7" xfId="0" applyFont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4" fontId="5" fillId="0" borderId="0" xfId="5" applyBorder="1"/>
    <xf numFmtId="168" fontId="3" fillId="4" borderId="0" xfId="7"/>
    <xf numFmtId="168" fontId="1" fillId="0" borderId="0" xfId="6"/>
    <xf numFmtId="168" fontId="1" fillId="0" borderId="0" xfId="6" applyBorder="1"/>
    <xf numFmtId="168" fontId="1" fillId="0" borderId="2" xfId="6" applyBorder="1"/>
    <xf numFmtId="164" fontId="1" fillId="0" borderId="0" xfId="3" applyBorder="1"/>
    <xf numFmtId="164" fontId="3" fillId="0" borderId="0" xfId="4" applyFill="1" applyBorder="1"/>
    <xf numFmtId="164" fontId="3" fillId="0" borderId="2" xfId="4" applyFill="1" applyBorder="1"/>
    <xf numFmtId="164" fontId="1" fillId="0" borderId="4" xfId="3" applyBorder="1"/>
    <xf numFmtId="37" fontId="3" fillId="4" borderId="0" xfId="8"/>
    <xf numFmtId="37" fontId="10" fillId="4" borderId="0" xfId="8" applyFont="1"/>
    <xf numFmtId="37" fontId="3" fillId="4" borderId="2" xfId="8" applyBorder="1"/>
    <xf numFmtId="37" fontId="3" fillId="4" borderId="3" xfId="8" applyBorder="1"/>
    <xf numFmtId="37" fontId="3" fillId="4" borderId="4" xfId="8" applyBorder="1"/>
    <xf numFmtId="5" fontId="0" fillId="0" borderId="0" xfId="0" applyNumberFormat="1"/>
    <xf numFmtId="169" fontId="2" fillId="0" borderId="0" xfId="10" applyFont="1" applyBorder="1"/>
    <xf numFmtId="37" fontId="1" fillId="0" borderId="0" xfId="3" applyNumberFormat="1"/>
    <xf numFmtId="37" fontId="1" fillId="0" borderId="3" xfId="3" applyNumberFormat="1" applyBorder="1"/>
    <xf numFmtId="164" fontId="5" fillId="0" borderId="3" xfId="5" applyBorder="1"/>
    <xf numFmtId="164" fontId="5" fillId="0" borderId="4" xfId="5" applyBorder="1"/>
    <xf numFmtId="0" fontId="0" fillId="6" borderId="0" xfId="0" applyFill="1" applyAlignment="1">
      <alignment horizontal="left" indent="1"/>
    </xf>
    <xf numFmtId="168" fontId="1" fillId="6" borderId="0" xfId="6" applyFill="1"/>
    <xf numFmtId="164" fontId="1" fillId="0" borderId="7" xfId="3" applyBorder="1"/>
    <xf numFmtId="164" fontId="1" fillId="0" borderId="8" xfId="3" applyBorder="1"/>
    <xf numFmtId="170" fontId="5" fillId="0" borderId="0" xfId="12"/>
    <xf numFmtId="170" fontId="5" fillId="0" borderId="0" xfId="12" applyBorder="1"/>
    <xf numFmtId="170" fontId="5" fillId="0" borderId="2" xfId="12" applyBorder="1"/>
    <xf numFmtId="170" fontId="4" fillId="0" borderId="0" xfId="13"/>
    <xf numFmtId="0" fontId="0" fillId="0" borderId="3" xfId="0" applyBorder="1" applyAlignment="1">
      <alignment horizontal="left" indent="2"/>
    </xf>
    <xf numFmtId="170" fontId="5" fillId="0" borderId="3" xfId="12" applyBorder="1"/>
    <xf numFmtId="170" fontId="5" fillId="0" borderId="4" xfId="12" applyBorder="1"/>
    <xf numFmtId="164" fontId="3" fillId="0" borderId="0" xfId="4" applyFill="1"/>
    <xf numFmtId="0" fontId="11" fillId="0" borderId="0" xfId="0" applyFont="1" applyAlignment="1">
      <alignment horizontal="left"/>
    </xf>
    <xf numFmtId="171" fontId="12" fillId="0" borderId="0" xfId="0" applyNumberFormat="1" applyFont="1"/>
    <xf numFmtId="171" fontId="12" fillId="0" borderId="2" xfId="0" applyNumberFormat="1" applyFont="1" applyBorder="1"/>
    <xf numFmtId="37" fontId="3" fillId="4" borderId="0" xfId="8" applyBorder="1"/>
    <xf numFmtId="168" fontId="1" fillId="0" borderId="4" xfId="6" applyBorder="1"/>
    <xf numFmtId="168" fontId="3" fillId="4" borderId="3" xfId="7" applyBorder="1"/>
    <xf numFmtId="7" fontId="3" fillId="4" borderId="3" xfId="9" applyBorder="1"/>
    <xf numFmtId="7" fontId="4" fillId="0" borderId="3" xfId="14" applyBorder="1"/>
    <xf numFmtId="7" fontId="4" fillId="0" borderId="4" xfId="14" applyBorder="1"/>
    <xf numFmtId="7" fontId="4" fillId="0" borderId="0" xfId="14" applyBorder="1"/>
    <xf numFmtId="0" fontId="0" fillId="7" borderId="0" xfId="0" applyFill="1" applyAlignment="1">
      <alignment horizontal="left" indent="1"/>
    </xf>
    <xf numFmtId="0" fontId="0" fillId="0" borderId="3" xfId="0" applyBorder="1" applyAlignment="1">
      <alignment horizontal="left" indent="3"/>
    </xf>
    <xf numFmtId="0" fontId="0" fillId="0" borderId="0" xfId="0" applyAlignment="1">
      <alignment horizontal="left" indent="3"/>
    </xf>
    <xf numFmtId="164" fontId="2" fillId="0" borderId="0" xfId="3" applyFont="1" applyBorder="1"/>
    <xf numFmtId="164" fontId="2" fillId="0" borderId="2" xfId="3" applyFont="1" applyBorder="1"/>
    <xf numFmtId="168" fontId="3" fillId="4" borderId="3" xfId="4" applyNumberFormat="1" applyBorder="1"/>
    <xf numFmtId="164" fontId="4" fillId="0" borderId="0" xfId="0" applyNumberFormat="1" applyFont="1"/>
    <xf numFmtId="0" fontId="0" fillId="0" borderId="7" xfId="0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quotePrefix="1" applyAlignment="1">
      <alignment horizontal="left" indent="1"/>
    </xf>
    <xf numFmtId="0" fontId="0" fillId="0" borderId="3" xfId="0" quotePrefix="1" applyBorder="1" applyAlignment="1">
      <alignment horizontal="left" indent="1"/>
    </xf>
    <xf numFmtId="0" fontId="11" fillId="0" borderId="0" xfId="0" applyFont="1"/>
    <xf numFmtId="0" fontId="11" fillId="0" borderId="2" xfId="0" applyFont="1" applyBorder="1"/>
    <xf numFmtId="172" fontId="0" fillId="0" borderId="0" xfId="0" applyNumberFormat="1"/>
    <xf numFmtId="173" fontId="4" fillId="0" borderId="0" xfId="13" applyNumberFormat="1"/>
    <xf numFmtId="173" fontId="4" fillId="0" borderId="0" xfId="13" applyNumberFormat="1" applyBorder="1"/>
    <xf numFmtId="173" fontId="4" fillId="0" borderId="2" xfId="13" applyNumberFormat="1" applyBorder="1"/>
    <xf numFmtId="174" fontId="4" fillId="0" borderId="0" xfId="15"/>
    <xf numFmtId="174" fontId="4" fillId="0" borderId="0" xfId="15" applyBorder="1"/>
    <xf numFmtId="174" fontId="4" fillId="0" borderId="2" xfId="15" applyBorder="1"/>
    <xf numFmtId="174" fontId="3" fillId="4" borderId="0" xfId="16"/>
    <xf numFmtId="170" fontId="13" fillId="0" borderId="0" xfId="13" applyFont="1"/>
    <xf numFmtId="170" fontId="13" fillId="0" borderId="0" xfId="13" applyFont="1" applyBorder="1"/>
    <xf numFmtId="170" fontId="13" fillId="0" borderId="2" xfId="13" applyFont="1" applyBorder="1"/>
    <xf numFmtId="37" fontId="2" fillId="0" borderId="0" xfId="0" applyNumberFormat="1" applyFont="1"/>
    <xf numFmtId="37" fontId="2" fillId="0" borderId="2" xfId="0" applyNumberFormat="1" applyFont="1" applyBorder="1"/>
    <xf numFmtId="170" fontId="4" fillId="0" borderId="3" xfId="13" applyBorder="1"/>
    <xf numFmtId="7" fontId="4" fillId="0" borderId="2" xfId="14" applyBorder="1"/>
    <xf numFmtId="39" fontId="3" fillId="4" borderId="0" xfId="8" applyNumberFormat="1"/>
    <xf numFmtId="7" fontId="3" fillId="4" borderId="0" xfId="9"/>
    <xf numFmtId="0" fontId="2" fillId="0" borderId="0" xfId="0" applyFont="1" applyAlignment="1">
      <alignment horizontal="left" indent="1"/>
    </xf>
    <xf numFmtId="175" fontId="4" fillId="0" borderId="3" xfId="14" applyNumberFormat="1" applyBorder="1"/>
    <xf numFmtId="175" fontId="1" fillId="0" borderId="3" xfId="6" applyNumberFormat="1" applyBorder="1"/>
    <xf numFmtId="175" fontId="1" fillId="0" borderId="4" xfId="6" applyNumberFormat="1" applyBorder="1"/>
    <xf numFmtId="164" fontId="10" fillId="4" borderId="0" xfId="4" applyFont="1"/>
    <xf numFmtId="164" fontId="10" fillId="4" borderId="0" xfId="4" applyFont="1" applyBorder="1"/>
    <xf numFmtId="164" fontId="10" fillId="4" borderId="2" xfId="4" applyFont="1" applyBorder="1"/>
    <xf numFmtId="175" fontId="3" fillId="4" borderId="3" xfId="9" applyNumberFormat="1" applyBorder="1"/>
    <xf numFmtId="0" fontId="11" fillId="0" borderId="0" xfId="0" applyFont="1" applyAlignment="1">
      <alignment horizontal="left" indent="2"/>
    </xf>
    <xf numFmtId="0" fontId="11" fillId="0" borderId="3" xfId="0" applyFont="1" applyBorder="1" applyAlignment="1">
      <alignment horizontal="left" indent="2"/>
    </xf>
    <xf numFmtId="0" fontId="2" fillId="0" borderId="3" xfId="0" applyFont="1" applyBorder="1"/>
    <xf numFmtId="0" fontId="2" fillId="0" borderId="4" xfId="0" applyFont="1" applyBorder="1"/>
    <xf numFmtId="168" fontId="3" fillId="4" borderId="9" xfId="7" applyBorder="1"/>
    <xf numFmtId="173" fontId="1" fillId="0" borderId="0" xfId="3" applyNumberFormat="1"/>
    <xf numFmtId="173" fontId="0" fillId="0" borderId="0" xfId="0" applyNumberFormat="1"/>
    <xf numFmtId="173" fontId="0" fillId="0" borderId="2" xfId="0" applyNumberFormat="1" applyBorder="1"/>
    <xf numFmtId="173" fontId="3" fillId="4" borderId="0" xfId="4" applyNumberFormat="1" applyBorder="1"/>
    <xf numFmtId="176" fontId="3" fillId="4" borderId="0" xfId="16" applyNumberFormat="1"/>
    <xf numFmtId="0" fontId="11" fillId="0" borderId="0" xfId="0" applyFont="1" applyAlignment="1">
      <alignment horizontal="left" indent="1"/>
    </xf>
    <xf numFmtId="177" fontId="11" fillId="0" borderId="0" xfId="6" applyNumberFormat="1" applyFont="1"/>
    <xf numFmtId="177" fontId="11" fillId="0" borderId="0" xfId="0" applyNumberFormat="1" applyFont="1"/>
    <xf numFmtId="177" fontId="11" fillId="0" borderId="0" xfId="3" applyNumberFormat="1" applyFont="1"/>
    <xf numFmtId="177" fontId="11" fillId="0" borderId="2" xfId="0" applyNumberFormat="1" applyFont="1" applyBorder="1"/>
    <xf numFmtId="9" fontId="0" fillId="0" borderId="3" xfId="0" applyNumberFormat="1" applyBorder="1" applyAlignment="1">
      <alignment horizontal="left" indent="1"/>
    </xf>
    <xf numFmtId="166" fontId="2" fillId="0" borderId="0" xfId="0" applyNumberFormat="1" applyFont="1"/>
    <xf numFmtId="166" fontId="2" fillId="0" borderId="2" xfId="0" applyNumberFormat="1" applyFont="1" applyBorder="1"/>
    <xf numFmtId="164" fontId="10" fillId="4" borderId="0" xfId="8" applyNumberFormat="1" applyFont="1" applyBorder="1"/>
    <xf numFmtId="164" fontId="10" fillId="4" borderId="2" xfId="8" applyNumberFormat="1" applyFont="1" applyBorder="1"/>
    <xf numFmtId="170" fontId="4" fillId="0" borderId="0" xfId="13" applyBorder="1"/>
    <xf numFmtId="170" fontId="4" fillId="0" borderId="2" xfId="13" applyBorder="1"/>
    <xf numFmtId="167" fontId="2" fillId="0" borderId="0" xfId="0" applyNumberFormat="1" applyFont="1"/>
    <xf numFmtId="167" fontId="2" fillId="0" borderId="2" xfId="0" applyNumberFormat="1" applyFont="1" applyBorder="1"/>
    <xf numFmtId="174" fontId="0" fillId="0" borderId="0" xfId="0" applyNumberFormat="1"/>
    <xf numFmtId="174" fontId="0" fillId="0" borderId="2" xfId="0" applyNumberFormat="1" applyBorder="1"/>
    <xf numFmtId="166" fontId="0" fillId="0" borderId="0" xfId="0" applyNumberFormat="1" applyAlignment="1">
      <alignment horizontal="right"/>
    </xf>
    <xf numFmtId="166" fontId="1" fillId="0" borderId="0" xfId="3" applyNumberFormat="1"/>
    <xf numFmtId="164" fontId="3" fillId="4" borderId="9" xfId="4" applyBorder="1"/>
    <xf numFmtId="164" fontId="1" fillId="2" borderId="0" xfId="3" applyFill="1"/>
    <xf numFmtId="164" fontId="4" fillId="0" borderId="0" xfId="13" applyNumberFormat="1"/>
    <xf numFmtId="164" fontId="4" fillId="0" borderId="0" xfId="13" applyNumberFormat="1" applyBorder="1"/>
    <xf numFmtId="164" fontId="4" fillId="0" borderId="3" xfId="13" applyNumberFormat="1" applyBorder="1"/>
    <xf numFmtId="170" fontId="4" fillId="0" borderId="4" xfId="13" applyBorder="1"/>
    <xf numFmtId="168" fontId="3" fillId="4" borderId="4" xfId="7" applyBorder="1"/>
    <xf numFmtId="168" fontId="5" fillId="0" borderId="0" xfId="17"/>
    <xf numFmtId="168" fontId="5" fillId="0" borderId="2" xfId="17" applyBorder="1"/>
    <xf numFmtId="10" fontId="0" fillId="0" borderId="0" xfId="0" applyNumberFormat="1"/>
    <xf numFmtId="164" fontId="1" fillId="6" borderId="0" xfId="3" applyFill="1"/>
    <xf numFmtId="170" fontId="0" fillId="0" borderId="0" xfId="0" applyNumberFormat="1"/>
    <xf numFmtId="164" fontId="2" fillId="6" borderId="0" xfId="3" applyFont="1" applyFill="1"/>
    <xf numFmtId="170" fontId="2" fillId="0" borderId="0" xfId="0" applyNumberFormat="1" applyFont="1"/>
    <xf numFmtId="0" fontId="8" fillId="8" borderId="0" xfId="0" applyFont="1" applyFill="1"/>
    <xf numFmtId="0" fontId="9" fillId="8" borderId="0" xfId="0" applyFont="1" applyFill="1"/>
    <xf numFmtId="0" fontId="14" fillId="3" borderId="0" xfId="0" applyFont="1" applyFill="1"/>
    <xf numFmtId="0" fontId="15" fillId="8" borderId="0" xfId="0" applyFont="1" applyFill="1"/>
    <xf numFmtId="170" fontId="13" fillId="0" borderId="7" xfId="13" applyFont="1" applyBorder="1"/>
    <xf numFmtId="170" fontId="13" fillId="0" borderId="8" xfId="13" applyFont="1" applyBorder="1"/>
    <xf numFmtId="37" fontId="0" fillId="0" borderId="0" xfId="0" applyNumberFormat="1"/>
    <xf numFmtId="37" fontId="0" fillId="0" borderId="2" xfId="0" applyNumberFormat="1" applyBorder="1"/>
    <xf numFmtId="167" fontId="3" fillId="4" borderId="0" xfId="8" applyNumberFormat="1" applyBorder="1"/>
    <xf numFmtId="167" fontId="3" fillId="4" borderId="3" xfId="8" applyNumberFormat="1" applyBorder="1"/>
    <xf numFmtId="37" fontId="4" fillId="0" borderId="0" xfId="13" applyNumberFormat="1"/>
    <xf numFmtId="164" fontId="3" fillId="4" borderId="0" xfId="4" applyBorder="1" applyAlignment="1">
      <alignment horizontal="right"/>
    </xf>
    <xf numFmtId="37" fontId="3" fillId="4" borderId="0" xfId="8" applyBorder="1" applyAlignment="1">
      <alignment horizontal="right"/>
    </xf>
    <xf numFmtId="37" fontId="3" fillId="4" borderId="2" xfId="8" applyBorder="1" applyAlignment="1">
      <alignment horizontal="right"/>
    </xf>
    <xf numFmtId="37" fontId="3" fillId="4" borderId="3" xfId="8" applyBorder="1" applyAlignment="1">
      <alignment horizontal="right"/>
    </xf>
    <xf numFmtId="37" fontId="3" fillId="4" borderId="4" xfId="8" applyBorder="1" applyAlignment="1">
      <alignment horizontal="right"/>
    </xf>
    <xf numFmtId="164" fontId="1" fillId="0" borderId="0" xfId="3" applyBorder="1" applyAlignment="1">
      <alignment horizontal="right"/>
    </xf>
    <xf numFmtId="164" fontId="1" fillId="0" borderId="2" xfId="3" applyBorder="1" applyAlignment="1">
      <alignment horizontal="right"/>
    </xf>
    <xf numFmtId="37" fontId="0" fillId="0" borderId="3" xfId="0" applyNumberFormat="1" applyBorder="1" applyAlignment="1">
      <alignment horizontal="right"/>
    </xf>
    <xf numFmtId="37" fontId="3" fillId="4" borderId="5" xfId="8" applyBorder="1"/>
    <xf numFmtId="37" fontId="3" fillId="4" borderId="6" xfId="8" applyBorder="1"/>
    <xf numFmtId="170" fontId="4" fillId="0" borderId="5" xfId="13" applyBorder="1"/>
    <xf numFmtId="170" fontId="4" fillId="0" borderId="6" xfId="13" applyBorder="1"/>
    <xf numFmtId="37" fontId="4" fillId="0" borderId="5" xfId="13" applyNumberFormat="1" applyBorder="1"/>
    <xf numFmtId="0" fontId="16" fillId="0" borderId="0" xfId="0" applyFont="1"/>
    <xf numFmtId="37" fontId="2" fillId="0" borderId="7" xfId="0" applyNumberFormat="1" applyFont="1" applyBorder="1"/>
    <xf numFmtId="37" fontId="2" fillId="0" borderId="8" xfId="0" applyNumberFormat="1" applyFont="1" applyBorder="1"/>
    <xf numFmtId="170" fontId="0" fillId="0" borderId="7" xfId="0" applyNumberFormat="1" applyBorder="1"/>
    <xf numFmtId="170" fontId="0" fillId="0" borderId="8" xfId="0" applyNumberFormat="1" applyBorder="1"/>
    <xf numFmtId="164" fontId="4" fillId="0" borderId="2" xfId="13" applyNumberFormat="1" applyBorder="1"/>
    <xf numFmtId="170" fontId="0" fillId="0" borderId="3" xfId="0" applyNumberFormat="1" applyBorder="1"/>
    <xf numFmtId="170" fontId="0" fillId="0" borderId="2" xfId="0" applyNumberFormat="1" applyBorder="1"/>
    <xf numFmtId="170" fontId="0" fillId="0" borderId="4" xfId="0" applyNumberFormat="1" applyBorder="1"/>
    <xf numFmtId="170" fontId="2" fillId="0" borderId="7" xfId="0" applyNumberFormat="1" applyFont="1" applyBorder="1"/>
    <xf numFmtId="170" fontId="2" fillId="0" borderId="8" xfId="0" applyNumberFormat="1" applyFont="1" applyBorder="1"/>
    <xf numFmtId="164" fontId="4" fillId="0" borderId="4" xfId="13" applyNumberFormat="1" applyBorder="1"/>
    <xf numFmtId="173" fontId="3" fillId="4" borderId="3" xfId="4" applyNumberFormat="1" applyBorder="1" applyAlignment="1">
      <alignment horizontal="right"/>
    </xf>
    <xf numFmtId="164" fontId="1" fillId="0" borderId="3" xfId="3" applyBorder="1" applyAlignment="1">
      <alignment horizontal="right"/>
    </xf>
    <xf numFmtId="164" fontId="1" fillId="0" borderId="4" xfId="3" applyBorder="1" applyAlignment="1">
      <alignment horizontal="right"/>
    </xf>
    <xf numFmtId="37" fontId="4" fillId="0" borderId="3" xfId="13" applyNumberFormat="1" applyBorder="1"/>
    <xf numFmtId="10" fontId="0" fillId="0" borderId="2" xfId="0" applyNumberFormat="1" applyBorder="1"/>
    <xf numFmtId="37" fontId="10" fillId="4" borderId="0" xfId="8" applyFont="1" applyBorder="1"/>
    <xf numFmtId="164" fontId="3" fillId="4" borderId="3" xfId="8" applyNumberFormat="1" applyBorder="1"/>
    <xf numFmtId="37" fontId="10" fillId="4" borderId="0" xfId="8" applyFont="1" applyBorder="1" applyAlignment="1">
      <alignment horizontal="right"/>
    </xf>
    <xf numFmtId="37" fontId="10" fillId="4" borderId="3" xfId="8" applyFont="1" applyBorder="1" applyAlignment="1">
      <alignment horizontal="right"/>
    </xf>
    <xf numFmtId="37" fontId="10" fillId="4" borderId="3" xfId="8" applyFont="1" applyBorder="1"/>
    <xf numFmtId="0" fontId="0" fillId="0" borderId="5" xfId="0" applyBorder="1"/>
    <xf numFmtId="0" fontId="0" fillId="6" borderId="0" xfId="0" applyFill="1"/>
    <xf numFmtId="0" fontId="17" fillId="0" borderId="0" xfId="0" applyFont="1"/>
    <xf numFmtId="0" fontId="2" fillId="0" borderId="6" xfId="0" applyFont="1" applyBorder="1"/>
    <xf numFmtId="166" fontId="0" fillId="0" borderId="3" xfId="0" applyNumberFormat="1" applyBorder="1"/>
    <xf numFmtId="166" fontId="0" fillId="0" borderId="4" xfId="0" applyNumberFormat="1" applyBorder="1"/>
    <xf numFmtId="167" fontId="0" fillId="0" borderId="0" xfId="0" applyNumberFormat="1"/>
    <xf numFmtId="0" fontId="11" fillId="0" borderId="0" xfId="3" applyNumberFormat="1" applyFont="1" applyBorder="1"/>
    <xf numFmtId="0" fontId="11" fillId="0" borderId="2" xfId="3" applyNumberFormat="1" applyFont="1" applyBorder="1"/>
    <xf numFmtId="0" fontId="18" fillId="0" borderId="0" xfId="0" applyFont="1"/>
    <xf numFmtId="0" fontId="0" fillId="0" borderId="3" xfId="0" quotePrefix="1" applyBorder="1"/>
    <xf numFmtId="0" fontId="0" fillId="0" borderId="3" xfId="0" quotePrefix="1" applyBorder="1" applyAlignment="1">
      <alignment horizontal="left"/>
    </xf>
    <xf numFmtId="0" fontId="0" fillId="0" borderId="10" xfId="0" quotePrefix="1" applyBorder="1"/>
    <xf numFmtId="0" fontId="0" fillId="0" borderId="10" xfId="0" applyBorder="1"/>
    <xf numFmtId="164" fontId="1" fillId="0" borderId="10" xfId="3" applyBorder="1"/>
    <xf numFmtId="164" fontId="0" fillId="0" borderId="4" xfId="0" applyNumberFormat="1" applyBorder="1"/>
    <xf numFmtId="164" fontId="1" fillId="0" borderId="11" xfId="3" applyBorder="1"/>
    <xf numFmtId="0" fontId="0" fillId="0" borderId="7" xfId="0" quotePrefix="1" applyBorder="1"/>
    <xf numFmtId="5" fontId="4" fillId="0" borderId="0" xfId="14" applyNumberFormat="1" applyBorder="1"/>
    <xf numFmtId="5" fontId="4" fillId="0" borderId="2" xfId="14" applyNumberFormat="1" applyBorder="1"/>
    <xf numFmtId="164" fontId="5" fillId="0" borderId="0" xfId="5" applyAlignment="1">
      <alignment horizontal="right"/>
    </xf>
    <xf numFmtId="178" fontId="0" fillId="0" borderId="2" xfId="0" applyNumberFormat="1" applyBorder="1"/>
    <xf numFmtId="178" fontId="0" fillId="0" borderId="0" xfId="0" applyNumberFormat="1"/>
    <xf numFmtId="167" fontId="2" fillId="0" borderId="0" xfId="0" applyNumberFormat="1" applyFont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7" fontId="0" fillId="0" borderId="4" xfId="0" applyNumberForma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8" fontId="4" fillId="0" borderId="3" xfId="4" applyNumberFormat="1" applyFont="1" applyFill="1" applyBorder="1"/>
    <xf numFmtId="168" fontId="4" fillId="0" borderId="4" xfId="4" applyNumberFormat="1" applyFont="1" applyFill="1" applyBorder="1"/>
    <xf numFmtId="0" fontId="14" fillId="0" borderId="0" xfId="0" applyFont="1"/>
    <xf numFmtId="0" fontId="8" fillId="0" borderId="0" xfId="0" applyFont="1"/>
    <xf numFmtId="0" fontId="9" fillId="0" borderId="0" xfId="0" applyFont="1"/>
    <xf numFmtId="179" fontId="0" fillId="0" borderId="0" xfId="0" applyNumberFormat="1"/>
    <xf numFmtId="179" fontId="0" fillId="0" borderId="2" xfId="0" applyNumberFormat="1" applyBorder="1"/>
    <xf numFmtId="168" fontId="1" fillId="6" borderId="3" xfId="6" applyFill="1" applyBorder="1"/>
    <xf numFmtId="164" fontId="5" fillId="0" borderId="5" xfId="5" applyBorder="1"/>
    <xf numFmtId="164" fontId="5" fillId="0" borderId="6" xfId="5" applyBorder="1"/>
    <xf numFmtId="180" fontId="5" fillId="0" borderId="0" xfId="0" applyNumberFormat="1" applyFont="1"/>
    <xf numFmtId="180" fontId="5" fillId="0" borderId="2" xfId="0" applyNumberFormat="1" applyFont="1" applyBorder="1"/>
    <xf numFmtId="180" fontId="4" fillId="0" borderId="0" xfId="0" applyNumberFormat="1" applyFont="1"/>
    <xf numFmtId="180" fontId="4" fillId="0" borderId="2" xfId="0" applyNumberFormat="1" applyFont="1" applyBorder="1"/>
    <xf numFmtId="9" fontId="5" fillId="0" borderId="0" xfId="5" applyNumberFormat="1"/>
    <xf numFmtId="9" fontId="5" fillId="0" borderId="0" xfId="5" applyNumberFormat="1" applyBorder="1"/>
    <xf numFmtId="9" fontId="5" fillId="0" borderId="2" xfId="5" applyNumberFormat="1" applyBorder="1"/>
    <xf numFmtId="180" fontId="5" fillId="0" borderId="3" xfId="0" applyNumberFormat="1" applyFont="1" applyBorder="1"/>
    <xf numFmtId="180" fontId="5" fillId="0" borderId="4" xfId="0" applyNumberFormat="1" applyFont="1" applyBorder="1"/>
    <xf numFmtId="170" fontId="5" fillId="0" borderId="0" xfId="5" applyNumberFormat="1"/>
    <xf numFmtId="170" fontId="5" fillId="0" borderId="0" xfId="5" applyNumberFormat="1" applyBorder="1"/>
    <xf numFmtId="170" fontId="5" fillId="0" borderId="2" xfId="5" applyNumberFormat="1" applyBorder="1"/>
    <xf numFmtId="173" fontId="4" fillId="0" borderId="0" xfId="5" applyNumberFormat="1" applyFont="1" applyBorder="1" applyAlignment="1">
      <alignment horizontal="right"/>
    </xf>
    <xf numFmtId="173" fontId="4" fillId="0" borderId="2" xfId="5" applyNumberFormat="1" applyFont="1" applyBorder="1" applyAlignment="1">
      <alignment horizontal="right"/>
    </xf>
    <xf numFmtId="173" fontId="4" fillId="0" borderId="0" xfId="5" applyNumberFormat="1" applyFont="1" applyAlignment="1">
      <alignment horizontal="right"/>
    </xf>
    <xf numFmtId="164" fontId="4" fillId="0" borderId="0" xfId="5" applyFont="1" applyBorder="1" applyAlignment="1">
      <alignment horizontal="right"/>
    </xf>
    <xf numFmtId="164" fontId="4" fillId="0" borderId="2" xfId="5" applyFont="1" applyBorder="1" applyAlignment="1">
      <alignment horizontal="right"/>
    </xf>
    <xf numFmtId="164" fontId="4" fillId="0" borderId="0" xfId="5" applyFont="1" applyAlignment="1">
      <alignment horizontal="right"/>
    </xf>
    <xf numFmtId="164" fontId="5" fillId="0" borderId="0" xfId="5" applyBorder="1" applyAlignment="1">
      <alignment horizontal="right"/>
    </xf>
    <xf numFmtId="181" fontId="4" fillId="0" borderId="0" xfId="5" applyNumberFormat="1" applyFont="1" applyBorder="1"/>
    <xf numFmtId="181" fontId="4" fillId="0" borderId="2" xfId="5" applyNumberFormat="1" applyFont="1" applyBorder="1"/>
    <xf numFmtId="181" fontId="4" fillId="0" borderId="0" xfId="5" applyNumberFormat="1" applyFont="1"/>
    <xf numFmtId="173" fontId="1" fillId="0" borderId="0" xfId="3" applyNumberFormat="1" applyBorder="1"/>
    <xf numFmtId="173" fontId="1" fillId="0" borderId="2" xfId="3" applyNumberFormat="1" applyBorder="1"/>
    <xf numFmtId="182" fontId="4" fillId="0" borderId="0" xfId="5" applyNumberFormat="1" applyFont="1"/>
    <xf numFmtId="182" fontId="4" fillId="0" borderId="2" xfId="5" applyNumberFormat="1" applyFont="1" applyBorder="1"/>
    <xf numFmtId="3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39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7" fontId="0" fillId="0" borderId="2" xfId="0" applyNumberFormat="1" applyBorder="1"/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164" fontId="5" fillId="0" borderId="0" xfId="12" applyNumberFormat="1" applyBorder="1" applyAlignment="1">
      <alignment horizontal="right"/>
    </xf>
    <xf numFmtId="164" fontId="5" fillId="0" borderId="2" xfId="12" applyNumberFormat="1" applyBorder="1" applyAlignment="1">
      <alignment horizontal="right"/>
    </xf>
    <xf numFmtId="164" fontId="5" fillId="0" borderId="2" xfId="5" applyBorder="1" applyAlignment="1">
      <alignment horizontal="right"/>
    </xf>
    <xf numFmtId="164" fontId="5" fillId="0" borderId="3" xfId="5" applyBorder="1" applyAlignment="1">
      <alignment horizontal="right"/>
    </xf>
    <xf numFmtId="164" fontId="5" fillId="0" borderId="4" xfId="5" applyBorder="1" applyAlignment="1">
      <alignment horizontal="right"/>
    </xf>
    <xf numFmtId="168" fontId="5" fillId="0" borderId="3" xfId="17" applyBorder="1"/>
    <xf numFmtId="168" fontId="5" fillId="0" borderId="4" xfId="17" applyBorder="1"/>
    <xf numFmtId="168" fontId="5" fillId="0" borderId="0" xfId="17" applyBorder="1"/>
    <xf numFmtId="0" fontId="0" fillId="0" borderId="5" xfId="0" applyBorder="1" applyAlignment="1">
      <alignment horizontal="left" indent="1"/>
    </xf>
    <xf numFmtId="164" fontId="3" fillId="4" borderId="5" xfId="4" applyBorder="1"/>
    <xf numFmtId="164" fontId="3" fillId="4" borderId="6" xfId="4" applyBorder="1"/>
    <xf numFmtId="170" fontId="5" fillId="0" borderId="0" xfId="5" applyNumberFormat="1" applyAlignment="1">
      <alignment horizontal="right"/>
    </xf>
    <xf numFmtId="170" fontId="5" fillId="0" borderId="0" xfId="5" applyNumberFormat="1" applyBorder="1" applyAlignment="1">
      <alignment horizontal="right"/>
    </xf>
    <xf numFmtId="170" fontId="5" fillId="0" borderId="2" xfId="5" applyNumberForma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7" fontId="0" fillId="0" borderId="0" xfId="0" applyNumberFormat="1"/>
    <xf numFmtId="177" fontId="0" fillId="0" borderId="2" xfId="0" applyNumberFormat="1" applyBorder="1"/>
    <xf numFmtId="170" fontId="13" fillId="0" borderId="12" xfId="13" applyFont="1" applyBorder="1"/>
    <xf numFmtId="168" fontId="0" fillId="0" borderId="0" xfId="0" applyNumberFormat="1"/>
    <xf numFmtId="7" fontId="0" fillId="0" borderId="0" xfId="0" applyNumberFormat="1"/>
    <xf numFmtId="183" fontId="0" fillId="0" borderId="0" xfId="0" applyNumberFormat="1"/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8" fontId="4" fillId="0" borderId="0" xfId="13" applyNumberFormat="1"/>
    <xf numFmtId="170" fontId="13" fillId="0" borderId="13" xfId="13" applyFont="1" applyBorder="1"/>
    <xf numFmtId="168" fontId="0" fillId="0" borderId="2" xfId="0" applyNumberFormat="1" applyBorder="1"/>
    <xf numFmtId="7" fontId="0" fillId="0" borderId="2" xfId="0" applyNumberFormat="1" applyBorder="1"/>
    <xf numFmtId="175" fontId="0" fillId="0" borderId="3" xfId="0" applyNumberFormat="1" applyBorder="1"/>
    <xf numFmtId="175" fontId="0" fillId="0" borderId="4" xfId="0" applyNumberFormat="1" applyBorder="1"/>
    <xf numFmtId="167" fontId="2" fillId="0" borderId="13" xfId="0" applyNumberFormat="1" applyFont="1" applyBorder="1" applyAlignment="1">
      <alignment horizontal="right"/>
    </xf>
    <xf numFmtId="168" fontId="0" fillId="0" borderId="13" xfId="0" applyNumberFormat="1" applyBorder="1"/>
    <xf numFmtId="170" fontId="4" fillId="0" borderId="13" xfId="13" applyBorder="1"/>
    <xf numFmtId="5" fontId="0" fillId="0" borderId="2" xfId="0" applyNumberFormat="1" applyBorder="1"/>
    <xf numFmtId="0" fontId="0" fillId="0" borderId="13" xfId="0" applyBorder="1"/>
    <xf numFmtId="0" fontId="0" fillId="0" borderId="14" xfId="0" applyBorder="1"/>
    <xf numFmtId="164" fontId="2" fillId="0" borderId="13" xfId="0" applyNumberFormat="1" applyFont="1" applyBorder="1"/>
    <xf numFmtId="170" fontId="4" fillId="0" borderId="0" xfId="13" applyBorder="1" applyAlignment="1">
      <alignment horizontal="right"/>
    </xf>
    <xf numFmtId="170" fontId="4" fillId="0" borderId="3" xfId="13" applyBorder="1" applyAlignment="1">
      <alignment horizontal="right"/>
    </xf>
    <xf numFmtId="170" fontId="4" fillId="0" borderId="2" xfId="13" applyBorder="1" applyAlignment="1">
      <alignment horizontal="right"/>
    </xf>
    <xf numFmtId="170" fontId="4" fillId="0" borderId="4" xfId="13" applyBorder="1" applyAlignment="1">
      <alignment horizontal="right"/>
    </xf>
    <xf numFmtId="37" fontId="0" fillId="0" borderId="4" xfId="0" applyNumberFormat="1" applyBorder="1" applyAlignment="1">
      <alignment horizontal="right"/>
    </xf>
    <xf numFmtId="37" fontId="4" fillId="0" borderId="6" xfId="13" applyNumberFormat="1" applyBorder="1"/>
    <xf numFmtId="164" fontId="4" fillId="0" borderId="3" xfId="13" applyNumberFormat="1" applyBorder="1" applyAlignment="1">
      <alignment horizontal="right"/>
    </xf>
    <xf numFmtId="164" fontId="4" fillId="0" borderId="4" xfId="13" applyNumberFormat="1" applyBorder="1" applyAlignment="1">
      <alignment horizontal="right"/>
    </xf>
    <xf numFmtId="37" fontId="4" fillId="0" borderId="2" xfId="13" applyNumberFormat="1" applyBorder="1"/>
    <xf numFmtId="37" fontId="4" fillId="0" borderId="13" xfId="13" applyNumberFormat="1" applyBorder="1"/>
    <xf numFmtId="164" fontId="0" fillId="0" borderId="13" xfId="0" applyNumberFormat="1" applyBorder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164" fontId="0" fillId="9" borderId="0" xfId="0" applyNumberFormat="1" applyFill="1"/>
    <xf numFmtId="164" fontId="1" fillId="9" borderId="0" xfId="3" applyFill="1"/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164" fontId="2" fillId="0" borderId="7" xfId="3" applyFont="1" applyBorder="1"/>
    <xf numFmtId="164" fontId="1" fillId="0" borderId="5" xfId="3" applyBorder="1"/>
    <xf numFmtId="164" fontId="1" fillId="0" borderId="6" xfId="3" applyBorder="1"/>
    <xf numFmtId="164" fontId="1" fillId="0" borderId="13" xfId="3" applyBorder="1"/>
    <xf numFmtId="180" fontId="5" fillId="0" borderId="13" xfId="0" applyNumberFormat="1" applyFont="1" applyBorder="1"/>
    <xf numFmtId="168" fontId="3" fillId="4" borderId="0" xfId="7" applyBorder="1"/>
    <xf numFmtId="168" fontId="1" fillId="9" borderId="0" xfId="6" applyFill="1"/>
    <xf numFmtId="164" fontId="1" fillId="0" borderId="0" xfId="6" applyNumberFormat="1"/>
    <xf numFmtId="0" fontId="16" fillId="0" borderId="0" xfId="0" applyFont="1" applyAlignment="1">
      <alignment horizontal="right"/>
    </xf>
    <xf numFmtId="164" fontId="16" fillId="0" borderId="0" xfId="3" applyFont="1"/>
    <xf numFmtId="181" fontId="5" fillId="0" borderId="0" xfId="5" applyNumberFormat="1" applyBorder="1"/>
    <xf numFmtId="173" fontId="5" fillId="0" borderId="0" xfId="5" applyNumberFormat="1" applyBorder="1" applyAlignment="1">
      <alignment horizontal="right"/>
    </xf>
    <xf numFmtId="181" fontId="5" fillId="0" borderId="2" xfId="5" applyNumberFormat="1" applyBorder="1"/>
    <xf numFmtId="181" fontId="5" fillId="0" borderId="0" xfId="0" applyNumberFormat="1" applyFont="1"/>
    <xf numFmtId="173" fontId="5" fillId="0" borderId="0" xfId="5" applyNumberFormat="1" applyBorder="1"/>
    <xf numFmtId="173" fontId="5" fillId="0" borderId="2" xfId="5" applyNumberFormat="1" applyBorder="1"/>
    <xf numFmtId="173" fontId="5" fillId="0" borderId="0" xfId="0" applyNumberFormat="1" applyFont="1"/>
    <xf numFmtId="167" fontId="2" fillId="0" borderId="7" xfId="0" applyNumberFormat="1" applyFont="1" applyBorder="1" applyAlignment="1">
      <alignment horizontal="right"/>
    </xf>
    <xf numFmtId="167" fontId="2" fillId="0" borderId="8" xfId="0" applyNumberFormat="1" applyFont="1" applyBorder="1" applyAlignment="1">
      <alignment horizontal="right"/>
    </xf>
    <xf numFmtId="0" fontId="19" fillId="5" borderId="0" xfId="0" applyFont="1" applyFill="1"/>
    <xf numFmtId="0" fontId="19" fillId="5" borderId="0" xfId="0" applyFont="1" applyFill="1" applyAlignment="1">
      <alignment horizontal="right"/>
    </xf>
    <xf numFmtId="0" fontId="19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</cellXfs>
  <cellStyles count="18">
    <cellStyle name="Curr" xfId="14" xr:uid="{C01C52A0-EEB5-4B63-AAA1-52F3CD6E51BA}"/>
    <cellStyle name="Days" xfId="15" xr:uid="{8B068D6B-478B-457E-BF6B-E03FC9AD5610}"/>
    <cellStyle name="Fin_Num" xfId="3" xr:uid="{49BEA866-CE21-4E44-9F69-E7583B7A250C}"/>
    <cellStyle name="Fin_Num_thou" xfId="10" xr:uid="{7643CA24-4B63-4DC0-B5E2-CF6129696AD7}"/>
    <cellStyle name="Inp_Curr" xfId="9" xr:uid="{87EF5314-A73F-4AA7-B0E9-8321A0D4CD60}"/>
    <cellStyle name="Inp_Days" xfId="16" xr:uid="{3E5501AD-6AA9-4ECD-8637-340DF055F2C5}"/>
    <cellStyle name="Inp_FinNum" xfId="4" xr:uid="{1DE9D55A-6428-4338-BA59-E0085CCB5D1D}"/>
    <cellStyle name="Inp_Pct" xfId="7" xr:uid="{11975309-0070-489F-AC2B-6D55ECDC9267}"/>
    <cellStyle name="Input" xfId="2" builtinId="20" customBuiltin="1"/>
    <cellStyle name="Input_Num" xfId="8" xr:uid="{CE4F849D-B95F-473E-98F8-A6F35E52C350}"/>
    <cellStyle name="Link_FinNum" xfId="5" xr:uid="{0A89613E-51BF-4936-9632-2C87CCBCC00D}"/>
    <cellStyle name="Link_Num" xfId="12" xr:uid="{6E441EC7-93D1-4B8B-992C-156724B9548B}"/>
    <cellStyle name="Link_Pct" xfId="17" xr:uid="{48A724AA-7A67-4E22-BD97-11AEE0C77154}"/>
    <cellStyle name="Normal" xfId="0" builtinId="0"/>
    <cellStyle name="Num" xfId="13" xr:uid="{F1271C84-2D1A-4FCC-B201-B15885205D20}"/>
    <cellStyle name="Output" xfId="11" builtinId="21" customBuiltin="1"/>
    <cellStyle name="Pct" xfId="6" xr:uid="{0125E43E-A5F6-4EC3-A42C-BA58DC7D8968}"/>
    <cellStyle name="Percent" xfId="1" builtinId="5" customBuiltin="1"/>
  </cellStyles>
  <dxfs count="2">
    <dxf>
      <fill>
        <patternFill>
          <bgColor rgb="FFFF8C8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2CC"/>
      <color rgb="FFFF8C8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Revenue!$AZ$49</c:f>
          <c:strCache>
            <c:ptCount val="1"/>
            <c:pt idx="0">
              <c:v>Air Search Rates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Revenue!$AZ$51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Revenue!$BA$51:$BL$51</c:f>
              <c:numCache>
                <c:formatCode>_(0.00%_);\(0.00%\);_("-"_)</c:formatCode>
                <c:ptCount val="12"/>
                <c:pt idx="6">
                  <c:v>0.56870282230015856</c:v>
                </c:pt>
                <c:pt idx="7">
                  <c:v>0.57460185026731714</c:v>
                </c:pt>
                <c:pt idx="8">
                  <c:v>0.53782872662982506</c:v>
                </c:pt>
                <c:pt idx="9">
                  <c:v>0.55227462880468892</c:v>
                </c:pt>
                <c:pt idx="10">
                  <c:v>0.4884710103596227</c:v>
                </c:pt>
                <c:pt idx="11">
                  <c:v>0.48765369515059492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D-4B37-A18B-58AC7265FC40}"/>
            </c:ext>
          </c:extLst>
        </c:ser>
        <c:ser>
          <c:idx val="1"/>
          <c:order val="1"/>
          <c:tx>
            <c:strRef>
              <c:f>Revenue!$AZ$52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Revenue!$BA$52:$BL$52</c:f>
              <c:numCache>
                <c:formatCode>_(0.00%_);\(0.00%\);_("-"_)</c:formatCode>
                <c:ptCount val="12"/>
                <c:pt idx="0">
                  <c:v>0.55426559679814913</c:v>
                </c:pt>
                <c:pt idx="1">
                  <c:v>0.58473849284178181</c:v>
                </c:pt>
                <c:pt idx="2">
                  <c:v>0.56630287251207811</c:v>
                </c:pt>
                <c:pt idx="3">
                  <c:v>0.48666645465207037</c:v>
                </c:pt>
                <c:pt idx="4">
                  <c:v>0.47920063804112484</c:v>
                </c:pt>
                <c:pt idx="5">
                  <c:v>0.47199608552167238</c:v>
                </c:pt>
                <c:pt idx="6">
                  <c:v>0.56870282230015856</c:v>
                </c:pt>
                <c:pt idx="7">
                  <c:v>0.57460185026731714</c:v>
                </c:pt>
                <c:pt idx="8">
                  <c:v>0.53782872662982506</c:v>
                </c:pt>
                <c:pt idx="9">
                  <c:v>0.55227462880468892</c:v>
                </c:pt>
                <c:pt idx="10">
                  <c:v>0.4884710103596227</c:v>
                </c:pt>
                <c:pt idx="11">
                  <c:v>0.48765369515059492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D-4B37-A18B-58AC7265FC40}"/>
            </c:ext>
          </c:extLst>
        </c:ser>
        <c:ser>
          <c:idx val="2"/>
          <c:order val="2"/>
          <c:tx>
            <c:strRef>
              <c:f>Revenue!$AZ$53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Revenue!$BA$53:$BL$53</c:f>
              <c:numCache>
                <c:formatCode>_(0.00%_);\(0.00%\);_("-"_)</c:formatCode>
                <c:ptCount val="12"/>
                <c:pt idx="0">
                  <c:v>0.55426559679814913</c:v>
                </c:pt>
                <c:pt idx="1">
                  <c:v>0.58473849284178181</c:v>
                </c:pt>
                <c:pt idx="2">
                  <c:v>0.56630287251207811</c:v>
                </c:pt>
                <c:pt idx="3">
                  <c:v>0.48666645465207037</c:v>
                </c:pt>
                <c:pt idx="4">
                  <c:v>0.47920063804112484</c:v>
                </c:pt>
                <c:pt idx="5">
                  <c:v>0.47199608552167238</c:v>
                </c:pt>
                <c:pt idx="6">
                  <c:v>0.56870282230015856</c:v>
                </c:pt>
                <c:pt idx="7">
                  <c:v>0.57460185026731714</c:v>
                </c:pt>
                <c:pt idx="8">
                  <c:v>0.53782872662982506</c:v>
                </c:pt>
                <c:pt idx="9">
                  <c:v>0.55227462880468892</c:v>
                </c:pt>
                <c:pt idx="10">
                  <c:v>0.4884710103596227</c:v>
                </c:pt>
                <c:pt idx="11">
                  <c:v>0.48765369515059492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ED-4B37-A18B-58AC7265F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478624"/>
        <c:axId val="1664484864"/>
      </c:lineChart>
      <c:catAx>
        <c:axId val="16644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84864"/>
        <c:crosses val="autoZero"/>
        <c:auto val="1"/>
        <c:lblAlgn val="ctr"/>
        <c:lblOffset val="100"/>
        <c:noMultiLvlLbl val="0"/>
      </c:catAx>
      <c:valAx>
        <c:axId val="1664484864"/>
        <c:scaling>
          <c:orientation val="minMax"/>
          <c:max val="0.70000000000000007"/>
          <c:min val="0.4"/>
        </c:scaling>
        <c:delete val="0"/>
        <c:axPos val="l"/>
        <c:numFmt formatCode="_(0%_);\(0%\);_(&quot;-&quot;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126056276580437"/>
          <c:y val="0.215630766105597"/>
          <c:w val="0.51139225623685747"/>
          <c:h val="0.1209303637830731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Revenue!$AZ$70</c:f>
          <c:strCache>
            <c:ptCount val="1"/>
            <c:pt idx="0">
              <c:v>Air Transactions (thousands)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Revenue!$AZ$72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Revenue!$BA$72:$BL$72</c:f>
              <c:numCache>
                <c:formatCode>_(0.00%_);\(0.00%\);_("-"_)</c:formatCode>
                <c:ptCount val="12"/>
                <c:pt idx="6" formatCode="_(#,##0.0_);\(#,##0.0\);_(&quot;-&quot;_)">
                  <c:v>4877.2527534301125</c:v>
                </c:pt>
                <c:pt idx="7" formatCode="_(#,##0.0_);\(#,##0.0\);_(&quot;-&quot;_)">
                  <c:v>4583.7702769180887</c:v>
                </c:pt>
                <c:pt idx="8" formatCode="_(#,##0.0_);\(#,##0.0\);_(&quot;-&quot;_)">
                  <c:v>3739.3567329588413</c:v>
                </c:pt>
                <c:pt idx="9" formatCode="_(#,##0.0_);\(#,##0.0\);_(&quot;-&quot;_)">
                  <c:v>4462.3931097910117</c:v>
                </c:pt>
                <c:pt idx="10" formatCode="_(#,##0.0_);\(#,##0.0\);_(&quot;-&quot;_)">
                  <c:v>3598.0357694300228</c:v>
                </c:pt>
                <c:pt idx="11" formatCode="_(#,##0.0_);\(#,##0.0\);_(&quot;-&quot;_)">
                  <c:v>3539.7568240696037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A-406C-B639-7EDAA3A752F9}"/>
            </c:ext>
          </c:extLst>
        </c:ser>
        <c:ser>
          <c:idx val="1"/>
          <c:order val="1"/>
          <c:tx>
            <c:strRef>
              <c:f>Revenue!$AZ$73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Revenue!$BA$73:$BL$73</c:f>
              <c:numCache>
                <c:formatCode>_(#,##0.0_);\(#,##0.0\);_("-"_)</c:formatCode>
                <c:ptCount val="12"/>
                <c:pt idx="0">
                  <c:v>5150.2147303921283</c:v>
                </c:pt>
                <c:pt idx="1">
                  <c:v>4745.5823432210127</c:v>
                </c:pt>
                <c:pt idx="2">
                  <c:v>4062.177145539003</c:v>
                </c:pt>
                <c:pt idx="3">
                  <c:v>4318.8117912158823</c:v>
                </c:pt>
                <c:pt idx="4">
                  <c:v>3855.632797846843</c:v>
                </c:pt>
                <c:pt idx="5">
                  <c:v>4122.6554815045574</c:v>
                </c:pt>
                <c:pt idx="6">
                  <c:v>5101.4259447027589</c:v>
                </c:pt>
                <c:pt idx="7">
                  <c:v>4795.4996800296849</c:v>
                </c:pt>
                <c:pt idx="8">
                  <c:v>3912.2950148854047</c:v>
                </c:pt>
                <c:pt idx="9">
                  <c:v>4669.5138128114331</c:v>
                </c:pt>
                <c:pt idx="10">
                  <c:v>3765.2393782980885</c:v>
                </c:pt>
                <c:pt idx="11">
                  <c:v>3703.7103106978839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A-406C-B639-7EDAA3A752F9}"/>
            </c:ext>
          </c:extLst>
        </c:ser>
        <c:ser>
          <c:idx val="2"/>
          <c:order val="2"/>
          <c:tx>
            <c:strRef>
              <c:f>Revenue!$AZ$74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Revenue!$BA$50:$BL$50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Revenue!$BA$74:$BL$74</c:f>
              <c:numCache>
                <c:formatCode>_(#,##0.0_);\(#,##0.0\);_("-"_)</c:formatCode>
                <c:ptCount val="12"/>
                <c:pt idx="0">
                  <c:v>5388.4560229422568</c:v>
                </c:pt>
                <c:pt idx="1">
                  <c:v>4964.8488276248208</c:v>
                </c:pt>
                <c:pt idx="2">
                  <c:v>4249.7207188631419</c:v>
                </c:pt>
                <c:pt idx="3">
                  <c:v>4518.7444425734493</c:v>
                </c:pt>
                <c:pt idx="4">
                  <c:v>4033.3913883090695</c:v>
                </c:pt>
                <c:pt idx="5">
                  <c:v>4313.2283428359515</c:v>
                </c:pt>
                <c:pt idx="6">
                  <c:v>5336.7283352633322</c:v>
                </c:pt>
                <c:pt idx="7">
                  <c:v>5017.7957826707334</c:v>
                </c:pt>
                <c:pt idx="8">
                  <c:v>4093.8852946636916</c:v>
                </c:pt>
                <c:pt idx="9">
                  <c:v>4887.0110913593508</c:v>
                </c:pt>
                <c:pt idx="10">
                  <c:v>3940.8301630761734</c:v>
                </c:pt>
                <c:pt idx="11">
                  <c:v>3875.8685177734424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FA-406C-B639-7EDAA3A7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478624"/>
        <c:axId val="1664484864"/>
      </c:lineChart>
      <c:catAx>
        <c:axId val="16644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84864"/>
        <c:crosses val="autoZero"/>
        <c:auto val="1"/>
        <c:lblAlgn val="ctr"/>
        <c:lblOffset val="100"/>
        <c:noMultiLvlLbl val="0"/>
      </c:catAx>
      <c:valAx>
        <c:axId val="1664484864"/>
        <c:scaling>
          <c:orientation val="minMax"/>
        </c:scaling>
        <c:delete val="0"/>
        <c:axPos val="l"/>
        <c:numFmt formatCode="_(#,##0,\K_);\(#,##0,\K\);_(&quot;-&quot;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462086022802678"/>
          <c:y val="0.14991881253692477"/>
          <c:w val="0.54710849066759748"/>
          <c:h val="0.1209303637830731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Expense!$AZ$141</c:f>
          <c:strCache>
            <c:ptCount val="1"/>
            <c:pt idx="0">
              <c:v>Brand Marketing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Expense!$AZ$142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Expense!$BA$141:$BL$141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Expense!$BA$142:$BL$142</c:f>
              <c:numCache>
                <c:formatCode>_(0.00%_);\(0.00%\);_("-"_)</c:formatCode>
                <c:ptCount val="12"/>
                <c:pt idx="6" formatCode="_(#,##0.0_);\(#,##0.0\);_(&quot;-&quot;_)">
                  <c:v>85</c:v>
                </c:pt>
                <c:pt idx="7" formatCode="_(#,##0.0_);\(#,##0.0\);_(&quot;-&quot;_)">
                  <c:v>73</c:v>
                </c:pt>
                <c:pt idx="8" formatCode="_(#,##0.0_);\(#,##0.0\);_(&quot;-&quot;_)">
                  <c:v>45</c:v>
                </c:pt>
                <c:pt idx="9" formatCode="_(#,##0.0_);\(#,##0.0\);_(&quot;-&quot;_)">
                  <c:v>13</c:v>
                </c:pt>
                <c:pt idx="10" formatCode="_(#,##0.0_);\(#,##0.0\);_(&quot;-&quot;_)">
                  <c:v>13</c:v>
                </c:pt>
                <c:pt idx="11" formatCode="_(#,##0.0_);\(#,##0.0\);_(&quot;-&quot;_)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C-4D11-BC01-F6CEC2D49D1C}"/>
            </c:ext>
          </c:extLst>
        </c:ser>
        <c:ser>
          <c:idx val="1"/>
          <c:order val="1"/>
          <c:tx>
            <c:strRef>
              <c:f>Expense!$AZ$143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Expense!$BA$141:$BL$141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Expense!$BA$143:$BL$143</c:f>
              <c:numCache>
                <c:formatCode>_(#,##0.0_);\(#,##0.0\);_("-"_)</c:formatCode>
                <c:ptCount val="12"/>
                <c:pt idx="0">
                  <c:v>45</c:v>
                </c:pt>
                <c:pt idx="1">
                  <c:v>21</c:v>
                </c:pt>
                <c:pt idx="2">
                  <c:v>21</c:v>
                </c:pt>
                <c:pt idx="3">
                  <c:v>45</c:v>
                </c:pt>
                <c:pt idx="4">
                  <c:v>85</c:v>
                </c:pt>
                <c:pt idx="5">
                  <c:v>125</c:v>
                </c:pt>
                <c:pt idx="6">
                  <c:v>85</c:v>
                </c:pt>
                <c:pt idx="7">
                  <c:v>73</c:v>
                </c:pt>
                <c:pt idx="8">
                  <c:v>45</c:v>
                </c:pt>
                <c:pt idx="9">
                  <c:v>13</c:v>
                </c:pt>
                <c:pt idx="10">
                  <c:v>13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C-4D11-BC01-F6CEC2D49D1C}"/>
            </c:ext>
          </c:extLst>
        </c:ser>
        <c:ser>
          <c:idx val="2"/>
          <c:order val="2"/>
          <c:tx>
            <c:strRef>
              <c:f>Expense!$AZ$144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Expense!$BA$141:$BL$141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Expense!$BA$144:$BL$144</c:f>
              <c:numCache>
                <c:formatCode>_(#,##0.0_);\(#,##0.0\);_("-"_)</c:formatCode>
                <c:ptCount val="12"/>
                <c:pt idx="0">
                  <c:v>45</c:v>
                </c:pt>
                <c:pt idx="1">
                  <c:v>21</c:v>
                </c:pt>
                <c:pt idx="2">
                  <c:v>21</c:v>
                </c:pt>
                <c:pt idx="3">
                  <c:v>45</c:v>
                </c:pt>
                <c:pt idx="4">
                  <c:v>85</c:v>
                </c:pt>
                <c:pt idx="5">
                  <c:v>125</c:v>
                </c:pt>
                <c:pt idx="6">
                  <c:v>85</c:v>
                </c:pt>
                <c:pt idx="7">
                  <c:v>73</c:v>
                </c:pt>
                <c:pt idx="8">
                  <c:v>45</c:v>
                </c:pt>
                <c:pt idx="9">
                  <c:v>13</c:v>
                </c:pt>
                <c:pt idx="10">
                  <c:v>13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C-4D11-BC01-F6CEC2D49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478624"/>
        <c:axId val="1664484864"/>
      </c:lineChart>
      <c:catAx>
        <c:axId val="16644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84864"/>
        <c:crosses val="autoZero"/>
        <c:auto val="1"/>
        <c:lblAlgn val="ctr"/>
        <c:lblOffset val="100"/>
        <c:noMultiLvlLbl val="0"/>
      </c:catAx>
      <c:valAx>
        <c:axId val="1664484864"/>
        <c:scaling>
          <c:orientation val="minMax"/>
        </c:scaling>
        <c:delete val="0"/>
        <c:axPos val="l"/>
        <c:numFmt formatCode="_(#,##0.0_);\(#,##0.0\);_(&quot;-&quot;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462086022802678"/>
          <c:y val="0.14991881253692477"/>
          <c:w val="0.54710849066759748"/>
          <c:h val="0.1209303637830731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Cash_Flow_Stmt!$AZ$14</c:f>
          <c:strCache>
            <c:ptCount val="1"/>
            <c:pt idx="0">
              <c:v>Summary Cash Flow Statement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Cash_Flow_Stmt!$AZ$15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Cash_Flow_Stmt!$BA$14:$BF$14</c:f>
              <c:strCache>
                <c:ptCount val="6"/>
                <c:pt idx="0">
                  <c:v>Jul-20A</c:v>
                </c:pt>
                <c:pt idx="1">
                  <c:v>Aug-20A</c:v>
                </c:pt>
                <c:pt idx="2">
                  <c:v>Sep-20A</c:v>
                </c:pt>
                <c:pt idx="3">
                  <c:v>Oct-20A</c:v>
                </c:pt>
                <c:pt idx="4">
                  <c:v>Nov-20A</c:v>
                </c:pt>
                <c:pt idx="5">
                  <c:v>Dec-20A</c:v>
                </c:pt>
              </c:strCache>
            </c:strRef>
          </c:cat>
          <c:val>
            <c:numRef>
              <c:f>Cash_Flow_Stmt!$BA$15:$BF$15</c:f>
              <c:numCache>
                <c:formatCode>_(#,##0.0_);\(#,##0.0\);_("-"_)</c:formatCode>
                <c:ptCount val="6"/>
                <c:pt idx="0">
                  <c:v>-155.25372102412547</c:v>
                </c:pt>
                <c:pt idx="1">
                  <c:v>-251.8668147243261</c:v>
                </c:pt>
                <c:pt idx="2">
                  <c:v>-395.88963916346086</c:v>
                </c:pt>
                <c:pt idx="3">
                  <c:v>-131.41293780275237</c:v>
                </c:pt>
                <c:pt idx="4">
                  <c:v>160.15425639908091</c:v>
                </c:pt>
                <c:pt idx="5">
                  <c:v>-91.339003056223305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F-4347-82DB-419F3BFB349D}"/>
            </c:ext>
          </c:extLst>
        </c:ser>
        <c:ser>
          <c:idx val="1"/>
          <c:order val="1"/>
          <c:tx>
            <c:strRef>
              <c:f>Cash_Flow_Stmt!$AZ$16</c:f>
              <c:strCache>
                <c:ptCount val="1"/>
                <c:pt idx="0">
                  <c:v>Investing Cash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Cash_Flow_Stmt!$BA$14:$BF$14</c:f>
              <c:strCache>
                <c:ptCount val="6"/>
                <c:pt idx="0">
                  <c:v>Jul-20A</c:v>
                </c:pt>
                <c:pt idx="1">
                  <c:v>Aug-20A</c:v>
                </c:pt>
                <c:pt idx="2">
                  <c:v>Sep-20A</c:v>
                </c:pt>
                <c:pt idx="3">
                  <c:v>Oct-20A</c:v>
                </c:pt>
                <c:pt idx="4">
                  <c:v>Nov-20A</c:v>
                </c:pt>
                <c:pt idx="5">
                  <c:v>Dec-20A</c:v>
                </c:pt>
              </c:strCache>
            </c:strRef>
          </c:cat>
          <c:val>
            <c:numRef>
              <c:f>Cash_Flow_Stmt!$BA$16:$BF$16</c:f>
              <c:numCache>
                <c:formatCode>_(#,##0.0_);\(#,##0.0\);_("-"_)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F-4347-82DB-419F3BFB349D}"/>
            </c:ext>
          </c:extLst>
        </c:ser>
        <c:ser>
          <c:idx val="2"/>
          <c:order val="2"/>
          <c:tx>
            <c:strRef>
              <c:f>Cash_Flow_Stmt!$AZ$17</c:f>
              <c:strCache>
                <c:ptCount val="1"/>
                <c:pt idx="0">
                  <c:v>Financing Cash Flow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Cash_Flow_Stmt!$BA$14:$BF$14</c:f>
              <c:strCache>
                <c:ptCount val="6"/>
                <c:pt idx="0">
                  <c:v>Jul-20A</c:v>
                </c:pt>
                <c:pt idx="1">
                  <c:v>Aug-20A</c:v>
                </c:pt>
                <c:pt idx="2">
                  <c:v>Sep-20A</c:v>
                </c:pt>
                <c:pt idx="3">
                  <c:v>Oct-20A</c:v>
                </c:pt>
                <c:pt idx="4">
                  <c:v>Nov-20A</c:v>
                </c:pt>
                <c:pt idx="5">
                  <c:v>Dec-20A</c:v>
                </c:pt>
              </c:strCache>
            </c:strRef>
          </c:cat>
          <c:val>
            <c:numRef>
              <c:f>Cash_Flow_Stmt!$BA$17:$BF$17</c:f>
              <c:numCache>
                <c:formatCode>_(#,##0.0_);\(#,##0.0\);_("-"_)</c:formatCode>
                <c:ptCount val="6"/>
                <c:pt idx="0">
                  <c:v>0</c:v>
                </c:pt>
                <c:pt idx="1">
                  <c:v>315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-1595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DF-4347-82DB-419F3BFB349D}"/>
            </c:ext>
          </c:extLst>
        </c:ser>
        <c:ser>
          <c:idx val="3"/>
          <c:order val="3"/>
          <c:tx>
            <c:strRef>
              <c:f>Cash_Flow_Stmt!$AZ$19</c:f>
              <c:strCache>
                <c:ptCount val="1"/>
                <c:pt idx="0">
                  <c:v>Label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643C767-EDC8-4B8B-82C0-2828AE6A0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ADF-4347-82DB-419F3BFB34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24C5F4-AFE8-402B-A4B7-DB07B6F91E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ADF-4347-82DB-419F3BFB34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BEE850-2D8D-4A7D-83C6-F59525CB16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ADF-4347-82DB-419F3BFB34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BDD911-2BE1-45E8-BAC0-7F8E9D350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ADF-4347-82DB-419F3BFB34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FADF1D-5CF2-434E-A9B4-6A824B2D2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ADF-4347-82DB-419F3BFB34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9114F1-F450-42BC-9D5F-3B93A5947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ADF-4347-82DB-419F3BFB34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Cash_Flow_Stmt!$BA$14:$BF$14</c:f>
              <c:strCache>
                <c:ptCount val="6"/>
                <c:pt idx="0">
                  <c:v>Jul-20A</c:v>
                </c:pt>
                <c:pt idx="1">
                  <c:v>Aug-20A</c:v>
                </c:pt>
                <c:pt idx="2">
                  <c:v>Sep-20A</c:v>
                </c:pt>
                <c:pt idx="3">
                  <c:v>Oct-20A</c:v>
                </c:pt>
                <c:pt idx="4">
                  <c:v>Nov-20A</c:v>
                </c:pt>
                <c:pt idx="5">
                  <c:v>Dec-20A</c:v>
                </c:pt>
              </c:strCache>
            </c:strRef>
          </c:cat>
          <c:val>
            <c:numRef>
              <c:f>Cash_Flow_Stmt!$BA$19:$BF$19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Cash_Flow_Stmt!$BA$18:$BF$18</c15:f>
                <c15:dlblRangeCache>
                  <c:ptCount val="6"/>
                  <c:pt idx="0">
                    <c:v>(155.3)</c:v>
                  </c:pt>
                  <c:pt idx="1">
                    <c:v> 63.1 </c:v>
                  </c:pt>
                  <c:pt idx="2">
                    <c:v>(395.9)</c:v>
                  </c:pt>
                  <c:pt idx="3">
                    <c:v>(131.4)</c:v>
                  </c:pt>
                  <c:pt idx="4">
                    <c:v> 1,160.2 </c:v>
                  </c:pt>
                  <c:pt idx="5">
                    <c:v>(1,686.3)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ADF-4347-82DB-419F3BFB3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64480704"/>
        <c:axId val="1664490272"/>
      </c:barChart>
      <c:catAx>
        <c:axId val="16644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90272"/>
        <c:crosses val="autoZero"/>
        <c:auto val="1"/>
        <c:lblAlgn val="ctr"/>
        <c:lblOffset val="100"/>
        <c:noMultiLvlLbl val="0"/>
      </c:catAx>
      <c:valAx>
        <c:axId val="1664490272"/>
        <c:scaling>
          <c:orientation val="minMax"/>
        </c:scaling>
        <c:delete val="0"/>
        <c:axPos val="l"/>
        <c:numFmt formatCode="_(#,##0_);\(#,##0\);_(&quot;-&quot;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518646</xdr:colOff>
      <xdr:row>47</xdr:row>
      <xdr:rowOff>84792</xdr:rowOff>
    </xdr:from>
    <xdr:to>
      <xdr:col>59</xdr:col>
      <xdr:colOff>420967</xdr:colOff>
      <xdr:row>57</xdr:row>
      <xdr:rowOff>64061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C5EE0-8761-432C-86AC-7E013253F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476997</xdr:colOff>
      <xdr:row>61</xdr:row>
      <xdr:rowOff>153706</xdr:rowOff>
    </xdr:from>
    <xdr:to>
      <xdr:col>59</xdr:col>
      <xdr:colOff>379318</xdr:colOff>
      <xdr:row>73</xdr:row>
      <xdr:rowOff>128121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E63EAA-A51D-452E-A245-0DD888406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76759</xdr:colOff>
      <xdr:row>138</xdr:row>
      <xdr:rowOff>153705</xdr:rowOff>
    </xdr:from>
    <xdr:to>
      <xdr:col>58</xdr:col>
      <xdr:colOff>584198</xdr:colOff>
      <xdr:row>150</xdr:row>
      <xdr:rowOff>124945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84212-FDBF-420D-A612-404747E73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80869</xdr:colOff>
      <xdr:row>14</xdr:row>
      <xdr:rowOff>149971</xdr:rowOff>
    </xdr:from>
    <xdr:to>
      <xdr:col>58</xdr:col>
      <xdr:colOff>417045</xdr:colOff>
      <xdr:row>30</xdr:row>
      <xdr:rowOff>18115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E73A3-4CAB-4584-9484-659F4F6A5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at\Dropbox\Education\WSP\WSP%20FP&amp;A%20Module\09_Project_Analysis\02_Templates\09_Long_Range_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ror Checks"/>
      <sheetName val="Control"/>
      <sheetName val="Long-Range-Plan"/>
      <sheetName val="Risks&amp;Opps"/>
      <sheetName val="REF"/>
    </sheetNames>
    <sheetDataSet>
      <sheetData sheetId="0"/>
      <sheetData sheetId="1"/>
      <sheetData sheetId="2">
        <row r="10">
          <cell r="F10" t="str">
            <v>Downside</v>
          </cell>
          <cell r="H10" t="str">
            <v>Base</v>
          </cell>
          <cell r="I10" t="str">
            <v>Downside</v>
          </cell>
          <cell r="J10" t="str">
            <v>Optimistic</v>
          </cell>
          <cell r="K10" t="str">
            <v>Worst</v>
          </cell>
          <cell r="L10" t="str">
            <v>Custom</v>
          </cell>
        </row>
      </sheetData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ad Eatinger" id="{E7271DD2-8291-436D-90AB-E310A6D8F557}" userId="Chad Eatinger" providerId="None"/>
</personList>
</file>

<file path=xl/theme/theme1.xml><?xml version="1.0" encoding="utf-8"?>
<a:theme xmlns:a="http://schemas.openxmlformats.org/drawingml/2006/main" name="Office Theme">
  <a:themeElements>
    <a:clrScheme name="WSP Them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B8ECC"/>
      </a:accent1>
      <a:accent2>
        <a:srgbClr val="49C0F5"/>
      </a:accent2>
      <a:accent3>
        <a:srgbClr val="35BDAD"/>
      </a:accent3>
      <a:accent4>
        <a:srgbClr val="EF5008"/>
      </a:accent4>
      <a:accent5>
        <a:srgbClr val="26292D"/>
      </a:accent5>
      <a:accent6>
        <a:srgbClr val="98EF9A"/>
      </a:accent6>
      <a:hlink>
        <a:srgbClr val="0B8ECC"/>
      </a:hlink>
      <a:folHlink>
        <a:srgbClr val="49C0F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36" dT="2021-07-07T15:09:03.26" personId="{E7271DD2-8291-436D-90AB-E310A6D8F557}" id="{CE0D2CC5-5E87-4AF9-8E82-A29B1561C6D9}">
    <text>per lease agreement, rent will increase to 1.8M/month in Jan-22</text>
  </threadedComment>
  <threadedComment ref="W37" dT="2021-07-07T15:09:12.63" personId="{E7271DD2-8291-436D-90AB-E310A6D8F557}" id="{A7EE8F63-6639-4AD9-8AFD-E16EE485BC99}">
    <text>per lease agreement, rent will increase to 2.8M/month in Jan-22</text>
  </threadedComment>
  <threadedComment ref="C47" dT="2021-02-21T02:30:55.37" personId="{E7271DD2-8291-436D-90AB-E310A6D8F557}" id="{AD37FE7D-1D41-4E3E-A572-3323FA5D581F}">
    <text>add link to BS and build depreciation schedule here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4E2C-0932-435F-84A8-79DF9904F223}">
  <sheetPr>
    <tabColor theme="3" tint="0.59999389629810485"/>
  </sheetPr>
  <dimension ref="C3:AT77"/>
  <sheetViews>
    <sheetView showGridLines="0" zoomScale="85" zoomScaleNormal="85" workbookViewId="0">
      <pane xSplit="3" ySplit="14" topLeftCell="S15" activePane="bottomRight" state="frozen"/>
      <selection pane="topRight" activeCell="D1" sqref="D1"/>
      <selection pane="bottomLeft" activeCell="A15" sqref="A15"/>
      <selection pane="bottomRight" activeCell="AC17" sqref="AC17"/>
    </sheetView>
  </sheetViews>
  <sheetFormatPr defaultRowHeight="15" outlineLevelRow="1" x14ac:dyDescent="0.25"/>
  <cols>
    <col min="1" max="2" width="2.5703125" customWidth="1"/>
    <col min="3" max="3" width="39.85546875" bestFit="1" customWidth="1"/>
    <col min="4" max="4" width="2.5703125" customWidth="1"/>
    <col min="5" max="5" width="9.140625" customWidth="1"/>
    <col min="6" max="15" width="9.140625" bestFit="1" customWidth="1"/>
    <col min="16" max="16" width="9.140625" customWidth="1"/>
    <col min="17" max="34" width="9.140625" bestFit="1" customWidth="1"/>
  </cols>
  <sheetData>
    <row r="3" spans="3:46" hidden="1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</row>
    <row r="4" spans="3:46" hidden="1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</row>
    <row r="5" spans="3:46" hidden="1" outlineLevel="1" x14ac:dyDescent="0.25">
      <c r="C5" t="s">
        <v>11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</row>
    <row r="6" spans="3:46" hidden="1" outlineLevel="1" x14ac:dyDescent="0.25">
      <c r="C6" t="s">
        <v>10</v>
      </c>
      <c r="E6" s="5" t="str">
        <f t="shared" ref="E6:AH6" si="1">"Q"&amp;ROUNDUP(E7/3,0)</f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</row>
    <row r="7" spans="3:46" hidden="1" outlineLevel="1" x14ac:dyDescent="0.25">
      <c r="C7" t="s">
        <v>12</v>
      </c>
      <c r="E7" s="5">
        <f t="shared" ref="E7:AH7" si="2">MONTH(E8)</f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</row>
    <row r="8" spans="3:46" hidden="1" outlineLevel="1" x14ac:dyDescent="0.25">
      <c r="C8" t="s">
        <v>9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  <c r="AJ8" s="4">
        <v>1</v>
      </c>
      <c r="AK8" s="3">
        <f>AJ8+1</f>
        <v>2</v>
      </c>
      <c r="AL8" s="3">
        <f>AK8+1</f>
        <v>3</v>
      </c>
      <c r="AM8" s="3">
        <f>AL8+1</f>
        <v>4</v>
      </c>
      <c r="AN8" s="4">
        <v>1</v>
      </c>
      <c r="AO8" s="3">
        <f>AN8+1</f>
        <v>2</v>
      </c>
      <c r="AP8" s="3">
        <f>AO8+1</f>
        <v>3</v>
      </c>
      <c r="AQ8" s="3">
        <f>AP8+1</f>
        <v>4</v>
      </c>
      <c r="AS8" t="s">
        <v>8</v>
      </c>
      <c r="AT8" t="s">
        <v>8</v>
      </c>
    </row>
    <row r="9" spans="3:46" hidden="1" outlineLevel="1" x14ac:dyDescent="0.25">
      <c r="C9" t="s">
        <v>17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  <c r="AS9">
        <f>SUM(AJ12:AM12)</f>
        <v>0</v>
      </c>
    </row>
    <row r="10" spans="3:46" collapsed="1" x14ac:dyDescent="0.25">
      <c r="E10" s="43" t="str">
        <f t="shared" ref="E10:AH10" si="5">E$9</f>
        <v>Jul-20A</v>
      </c>
      <c r="F10" s="43" t="str">
        <f t="shared" si="5"/>
        <v>Aug-20A</v>
      </c>
      <c r="G10" s="43" t="str">
        <f t="shared" si="5"/>
        <v>Sep-20A</v>
      </c>
      <c r="H10" s="43" t="str">
        <f t="shared" si="5"/>
        <v>Oct-20A</v>
      </c>
      <c r="I10" s="43" t="str">
        <f t="shared" si="5"/>
        <v>Nov-20A</v>
      </c>
      <c r="J10" s="43" t="str">
        <f t="shared" si="5"/>
        <v>Dec-20A</v>
      </c>
      <c r="K10" s="43" t="str">
        <f t="shared" si="5"/>
        <v>Jan-21A</v>
      </c>
      <c r="L10" s="43" t="str">
        <f t="shared" si="5"/>
        <v>Feb-21A</v>
      </c>
      <c r="M10" s="43" t="str">
        <f t="shared" si="5"/>
        <v>Mar-21A</v>
      </c>
      <c r="N10" s="43" t="str">
        <f t="shared" si="5"/>
        <v>Apr-21A</v>
      </c>
      <c r="O10" s="43" t="str">
        <f t="shared" si="5"/>
        <v>May-21A</v>
      </c>
      <c r="P10" s="44" t="str">
        <f t="shared" si="5"/>
        <v>Jun-21A</v>
      </c>
      <c r="Q10" s="43" t="str">
        <f t="shared" si="5"/>
        <v>Jul-21F</v>
      </c>
      <c r="R10" s="43" t="str">
        <f t="shared" si="5"/>
        <v>Aug-21F</v>
      </c>
      <c r="S10" s="43" t="str">
        <f t="shared" si="5"/>
        <v>Sep-21F</v>
      </c>
      <c r="T10" s="43" t="str">
        <f t="shared" si="5"/>
        <v>Oct-21F</v>
      </c>
      <c r="U10" s="43" t="str">
        <f t="shared" si="5"/>
        <v>Nov-21F</v>
      </c>
      <c r="V10" s="43" t="str">
        <f t="shared" si="5"/>
        <v>Dec-21F</v>
      </c>
      <c r="W10" s="43" t="str">
        <f t="shared" si="5"/>
        <v>Jan-22F</v>
      </c>
      <c r="X10" s="43" t="str">
        <f t="shared" si="5"/>
        <v>Feb-22F</v>
      </c>
      <c r="Y10" s="43" t="str">
        <f t="shared" si="5"/>
        <v>Mar-22F</v>
      </c>
      <c r="Z10" s="43" t="str">
        <f t="shared" si="5"/>
        <v>Apr-22F</v>
      </c>
      <c r="AA10" s="43" t="str">
        <f t="shared" si="5"/>
        <v>May-22F</v>
      </c>
      <c r="AB10" s="43" t="str">
        <f t="shared" si="5"/>
        <v>Jun-22F</v>
      </c>
      <c r="AC10" s="43" t="str">
        <f t="shared" si="5"/>
        <v>Jul-22F</v>
      </c>
      <c r="AD10" s="43" t="str">
        <f t="shared" si="5"/>
        <v>Aug-22F</v>
      </c>
      <c r="AE10" s="43" t="str">
        <f t="shared" si="5"/>
        <v>Sep-22F</v>
      </c>
      <c r="AF10" s="43" t="str">
        <f t="shared" si="5"/>
        <v>Oct-22F</v>
      </c>
      <c r="AG10" s="43" t="str">
        <f t="shared" si="5"/>
        <v>Nov-22F</v>
      </c>
      <c r="AH10" s="43" t="str">
        <f t="shared" si="5"/>
        <v>Dec-22F</v>
      </c>
    </row>
    <row r="12" spans="3:46" ht="18.75" x14ac:dyDescent="0.3">
      <c r="C12" s="181" t="s">
        <v>487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3:46" ht="18.75" x14ac:dyDescent="0.3">
      <c r="C13" s="262"/>
      <c r="D13" s="263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</row>
    <row r="14" spans="3:46" x14ac:dyDescent="0.25">
      <c r="C14" s="225" t="s">
        <v>488</v>
      </c>
      <c r="D14" s="225"/>
      <c r="E14" s="45" t="str">
        <f t="shared" ref="E14:AH14" si="6">E$9</f>
        <v>Jul-20A</v>
      </c>
      <c r="F14" s="45" t="str">
        <f t="shared" si="6"/>
        <v>Aug-20A</v>
      </c>
      <c r="G14" s="45" t="str">
        <f t="shared" si="6"/>
        <v>Sep-20A</v>
      </c>
      <c r="H14" s="45" t="str">
        <f t="shared" si="6"/>
        <v>Oct-20A</v>
      </c>
      <c r="I14" s="45" t="str">
        <f t="shared" si="6"/>
        <v>Nov-20A</v>
      </c>
      <c r="J14" s="45" t="str">
        <f t="shared" si="6"/>
        <v>Dec-20A</v>
      </c>
      <c r="K14" s="45" t="str">
        <f t="shared" si="6"/>
        <v>Jan-21A</v>
      </c>
      <c r="L14" s="45" t="str">
        <f t="shared" si="6"/>
        <v>Feb-21A</v>
      </c>
      <c r="M14" s="45" t="str">
        <f t="shared" si="6"/>
        <v>Mar-21A</v>
      </c>
      <c r="N14" s="45" t="str">
        <f t="shared" si="6"/>
        <v>Apr-21A</v>
      </c>
      <c r="O14" s="45" t="str">
        <f t="shared" si="6"/>
        <v>May-21A</v>
      </c>
      <c r="P14" s="46" t="str">
        <f t="shared" si="6"/>
        <v>Jun-21A</v>
      </c>
      <c r="Q14" s="45" t="str">
        <f t="shared" si="6"/>
        <v>Jul-21F</v>
      </c>
      <c r="R14" s="45" t="str">
        <f t="shared" si="6"/>
        <v>Aug-21F</v>
      </c>
      <c r="S14" s="45" t="str">
        <f t="shared" si="6"/>
        <v>Sep-21F</v>
      </c>
      <c r="T14" s="45" t="str">
        <f t="shared" si="6"/>
        <v>Oct-21F</v>
      </c>
      <c r="U14" s="45" t="str">
        <f t="shared" si="6"/>
        <v>Nov-21F</v>
      </c>
      <c r="V14" s="45" t="str">
        <f t="shared" si="6"/>
        <v>Dec-21F</v>
      </c>
      <c r="W14" s="45" t="str">
        <f t="shared" si="6"/>
        <v>Jan-22F</v>
      </c>
      <c r="X14" s="45" t="str">
        <f t="shared" si="6"/>
        <v>Feb-22F</v>
      </c>
      <c r="Y14" s="45" t="str">
        <f t="shared" si="6"/>
        <v>Mar-22F</v>
      </c>
      <c r="Z14" s="45" t="str">
        <f t="shared" si="6"/>
        <v>Apr-22F</v>
      </c>
      <c r="AA14" s="45" t="str">
        <f t="shared" si="6"/>
        <v>May-22F</v>
      </c>
      <c r="AB14" s="45" t="str">
        <f t="shared" si="6"/>
        <v>Jun-22F</v>
      </c>
      <c r="AC14" s="45" t="str">
        <f t="shared" si="6"/>
        <v>Jul-22F</v>
      </c>
      <c r="AD14" s="45" t="str">
        <f t="shared" si="6"/>
        <v>Aug-22F</v>
      </c>
      <c r="AE14" s="45" t="str">
        <f t="shared" si="6"/>
        <v>Sep-22F</v>
      </c>
      <c r="AF14" s="45" t="str">
        <f t="shared" si="6"/>
        <v>Oct-22F</v>
      </c>
      <c r="AG14" s="45" t="str">
        <f t="shared" si="6"/>
        <v>Nov-22F</v>
      </c>
      <c r="AH14" s="45" t="str">
        <f t="shared" si="6"/>
        <v>Dec-22F</v>
      </c>
    </row>
    <row r="15" spans="3:46" x14ac:dyDescent="0.25">
      <c r="C15" s="1" t="s">
        <v>479</v>
      </c>
      <c r="E15" t="b">
        <f>Summary_Income_Stmt!E18=Revenue!E21</f>
        <v>1</v>
      </c>
      <c r="F15" t="b">
        <f>Summary_Income_Stmt!F18=Revenue!F21</f>
        <v>1</v>
      </c>
      <c r="G15" t="b">
        <f>Summary_Income_Stmt!G18=Revenue!G21</f>
        <v>1</v>
      </c>
      <c r="H15" t="b">
        <f>Summary_Income_Stmt!H18=Revenue!H21</f>
        <v>1</v>
      </c>
      <c r="I15" t="b">
        <f>Summary_Income_Stmt!I18=Revenue!I21</f>
        <v>1</v>
      </c>
      <c r="J15" t="b">
        <f>Summary_Income_Stmt!J18=Revenue!J21</f>
        <v>1</v>
      </c>
      <c r="K15" t="b">
        <f>Summary_Income_Stmt!K18=Revenue!K21</f>
        <v>1</v>
      </c>
      <c r="L15" t="b">
        <f>Summary_Income_Stmt!L18=Revenue!L21</f>
        <v>1</v>
      </c>
      <c r="M15" t="b">
        <f>Summary_Income_Stmt!M18=Revenue!M21</f>
        <v>1</v>
      </c>
      <c r="N15" t="b">
        <f>Summary_Income_Stmt!N18=Revenue!N21</f>
        <v>1</v>
      </c>
      <c r="O15" t="b">
        <f>Summary_Income_Stmt!O18=Revenue!O21</f>
        <v>1</v>
      </c>
      <c r="P15" s="8" t="b">
        <f>Summary_Income_Stmt!P18=Revenue!P21</f>
        <v>1</v>
      </c>
      <c r="Q15" t="b">
        <f>Summary_Income_Stmt!Q18=Revenue!Q21</f>
        <v>1</v>
      </c>
      <c r="R15" t="b">
        <f>Summary_Income_Stmt!R18=Revenue!R21</f>
        <v>1</v>
      </c>
      <c r="S15" t="b">
        <f>Summary_Income_Stmt!S18=Revenue!S21</f>
        <v>1</v>
      </c>
      <c r="T15" t="b">
        <f>Summary_Income_Stmt!T18=Revenue!T21</f>
        <v>1</v>
      </c>
      <c r="U15" t="b">
        <f>Summary_Income_Stmt!U18=Revenue!U21</f>
        <v>1</v>
      </c>
      <c r="V15" t="b">
        <f>Summary_Income_Stmt!V18=Revenue!V21</f>
        <v>1</v>
      </c>
      <c r="W15" t="b">
        <f>Summary_Income_Stmt!W18=Revenue!W21</f>
        <v>1</v>
      </c>
      <c r="X15" t="b">
        <f>Summary_Income_Stmt!X18=Revenue!X21</f>
        <v>1</v>
      </c>
      <c r="Y15" t="b">
        <f>Summary_Income_Stmt!Y18=Revenue!Y21</f>
        <v>1</v>
      </c>
      <c r="Z15" t="b">
        <f>Summary_Income_Stmt!Z18=Revenue!Z21</f>
        <v>1</v>
      </c>
      <c r="AA15" t="b">
        <f>Summary_Income_Stmt!AA18=Revenue!AA21</f>
        <v>1</v>
      </c>
      <c r="AB15" t="b">
        <f>Summary_Income_Stmt!AB18=Revenue!AB21</f>
        <v>1</v>
      </c>
      <c r="AC15" t="b">
        <f>Summary_Income_Stmt!AC18=Revenue!AC21</f>
        <v>1</v>
      </c>
      <c r="AD15" t="b">
        <f>Summary_Income_Stmt!AD18=Revenue!AD21</f>
        <v>1</v>
      </c>
      <c r="AE15" t="b">
        <f>Summary_Income_Stmt!AE18=Revenue!AE21</f>
        <v>1</v>
      </c>
      <c r="AF15" t="b">
        <f>Summary_Income_Stmt!AF18=Revenue!AF21</f>
        <v>1</v>
      </c>
      <c r="AG15" t="b">
        <f>Summary_Income_Stmt!AG18=Revenue!AG21</f>
        <v>1</v>
      </c>
      <c r="AH15" t="b">
        <f>Summary_Income_Stmt!AH18=Revenue!AH21</f>
        <v>1</v>
      </c>
    </row>
    <row r="16" spans="3:46" x14ac:dyDescent="0.25">
      <c r="C16" s="1" t="s">
        <v>480</v>
      </c>
      <c r="E16" t="b">
        <f>Summary_Income_Stmt!E27=Expense!E97</f>
        <v>1</v>
      </c>
      <c r="F16" t="b">
        <f>Summary_Income_Stmt!F27=Expense!F97</f>
        <v>1</v>
      </c>
      <c r="G16" t="b">
        <f>Summary_Income_Stmt!G27=Expense!G97</f>
        <v>1</v>
      </c>
      <c r="H16" t="b">
        <f>Summary_Income_Stmt!H27=Expense!H97</f>
        <v>1</v>
      </c>
      <c r="I16" t="b">
        <f>Summary_Income_Stmt!I27=Expense!I97</f>
        <v>1</v>
      </c>
      <c r="J16" t="b">
        <f>Summary_Income_Stmt!J27=Expense!J97</f>
        <v>1</v>
      </c>
      <c r="K16" t="b">
        <f>Summary_Income_Stmt!K27=Expense!K97</f>
        <v>1</v>
      </c>
      <c r="L16" t="b">
        <f>Summary_Income_Stmt!L27=Expense!L97</f>
        <v>1</v>
      </c>
      <c r="M16" t="b">
        <f>Summary_Income_Stmt!M27=Expense!M97</f>
        <v>1</v>
      </c>
      <c r="N16" t="b">
        <f>Summary_Income_Stmt!N27=Expense!N97</f>
        <v>1</v>
      </c>
      <c r="O16" t="b">
        <f>Summary_Income_Stmt!O27=Expense!O97</f>
        <v>1</v>
      </c>
      <c r="P16" s="8" t="b">
        <f>Summary_Income_Stmt!P27=Expense!P97</f>
        <v>1</v>
      </c>
      <c r="Q16" t="b">
        <f>Summary_Income_Stmt!Q27=Expense!Q97</f>
        <v>1</v>
      </c>
      <c r="R16" t="b">
        <f>Summary_Income_Stmt!R27=Expense!R97</f>
        <v>1</v>
      </c>
      <c r="S16" t="b">
        <f>Summary_Income_Stmt!S27=Expense!S97</f>
        <v>1</v>
      </c>
      <c r="T16" t="b">
        <f>Summary_Income_Stmt!T27=Expense!T97</f>
        <v>1</v>
      </c>
      <c r="U16" t="b">
        <f>Summary_Income_Stmt!U27=Expense!U97</f>
        <v>1</v>
      </c>
      <c r="V16" t="b">
        <f>Summary_Income_Stmt!V27=Expense!V97</f>
        <v>1</v>
      </c>
      <c r="W16" t="b">
        <f>Summary_Income_Stmt!W27=Expense!W97</f>
        <v>1</v>
      </c>
      <c r="X16" t="b">
        <f>Summary_Income_Stmt!X27=Expense!X97</f>
        <v>1</v>
      </c>
      <c r="Y16" t="b">
        <f>Summary_Income_Stmt!Y27=Expense!Y97</f>
        <v>1</v>
      </c>
      <c r="Z16" t="b">
        <f>Summary_Income_Stmt!Z27=Expense!Z97</f>
        <v>1</v>
      </c>
      <c r="AA16" t="b">
        <f>Summary_Income_Stmt!AA27=Expense!AA97</f>
        <v>1</v>
      </c>
      <c r="AB16" t="b">
        <f>Summary_Income_Stmt!AB27=Expense!AB97</f>
        <v>1</v>
      </c>
      <c r="AC16" t="b">
        <f>Summary_Income_Stmt!AC27=Expense!AC97</f>
        <v>1</v>
      </c>
      <c r="AD16" t="b">
        <f>Summary_Income_Stmt!AD27=Expense!AD97</f>
        <v>1</v>
      </c>
      <c r="AE16" t="b">
        <f>Summary_Income_Stmt!AE27=Expense!AE97</f>
        <v>1</v>
      </c>
      <c r="AF16" t="b">
        <f>Summary_Income_Stmt!AF27=Expense!AF97</f>
        <v>1</v>
      </c>
      <c r="AG16" t="b">
        <f>Summary_Income_Stmt!AG27=Expense!AG97</f>
        <v>1</v>
      </c>
      <c r="AH16" t="b">
        <f>Summary_Income_Stmt!AH27=Expense!AH97</f>
        <v>1</v>
      </c>
    </row>
    <row r="17" spans="3:34" x14ac:dyDescent="0.25">
      <c r="C17" s="1" t="s">
        <v>481</v>
      </c>
      <c r="E17" s="319" t="str">
        <f>IF(ABS(Summary_Income_Stmt!E47-Expense!E27)&gt;0.01, "FALSE", "TRUE")</f>
        <v>TRUE</v>
      </c>
      <c r="F17" s="319" t="str">
        <f>IF(ABS(Summary_Income_Stmt!F47-Expense!F27)&gt;0.01, "FALSE", "TRUE")</f>
        <v>TRUE</v>
      </c>
      <c r="G17" s="319" t="str">
        <f>IF(ABS(Summary_Income_Stmt!G47-Expense!G27)&gt;0.01, "FALSE", "TRUE")</f>
        <v>TRUE</v>
      </c>
      <c r="H17" s="319" t="str">
        <f>IF(ABS(Summary_Income_Stmt!H47-Expense!H27)&gt;0.01, "FALSE", "TRUE")</f>
        <v>TRUE</v>
      </c>
      <c r="I17" s="319" t="str">
        <f>IF(ABS(Summary_Income_Stmt!I47-Expense!I27)&gt;0.01, "FALSE", "TRUE")</f>
        <v>TRUE</v>
      </c>
      <c r="J17" s="319" t="str">
        <f>IF(ABS(Summary_Income_Stmt!J47-Expense!J27)&gt;0.01, "FALSE", "TRUE")</f>
        <v>TRUE</v>
      </c>
      <c r="K17" s="319" t="str">
        <f>IF(ABS(Summary_Income_Stmt!K47-Expense!K27)&gt;0.01, "FALSE", "TRUE")</f>
        <v>TRUE</v>
      </c>
      <c r="L17" s="319" t="str">
        <f>IF(ABS(Summary_Income_Stmt!L47-Expense!L27)&gt;0.01, "FALSE", "TRUE")</f>
        <v>TRUE</v>
      </c>
      <c r="M17" s="319" t="str">
        <f>IF(ABS(Summary_Income_Stmt!M47-Expense!M27)&gt;0.01, "FALSE", "TRUE")</f>
        <v>TRUE</v>
      </c>
      <c r="N17" s="319" t="str">
        <f>IF(ABS(Summary_Income_Stmt!N47-Expense!N27)&gt;0.01, "FALSE", "TRUE")</f>
        <v>TRUE</v>
      </c>
      <c r="O17" s="319" t="str">
        <f>IF(ABS(Summary_Income_Stmt!O47-Expense!O27)&gt;0.01, "FALSE", "TRUE")</f>
        <v>TRUE</v>
      </c>
      <c r="P17" s="381" t="str">
        <f>IF(ABS(Summary_Income_Stmt!P47-Expense!P27)&gt;0.01, "FALSE", "TRUE")</f>
        <v>TRUE</v>
      </c>
      <c r="Q17" s="319" t="str">
        <f>IF(ABS(Summary_Income_Stmt!Q47-Expense!Q27)&gt;0.01, "FALSE", "TRUE")</f>
        <v>TRUE</v>
      </c>
      <c r="R17" s="319" t="str">
        <f>IF(ABS(Summary_Income_Stmt!R47-Expense!R27)&gt;0.01, "FALSE", "TRUE")</f>
        <v>TRUE</v>
      </c>
      <c r="S17" s="319" t="str">
        <f>IF(ABS(Summary_Income_Stmt!S47-Expense!S27)&gt;0.01, "FALSE", "TRUE")</f>
        <v>TRUE</v>
      </c>
      <c r="T17" s="319" t="str">
        <f>IF(ABS(Summary_Income_Stmt!T47-Expense!T27)&gt;0.01, "FALSE", "TRUE")</f>
        <v>TRUE</v>
      </c>
      <c r="U17" s="319" t="str">
        <f>IF(ABS(Summary_Income_Stmt!U47-Expense!U27)&gt;0.01, "FALSE", "TRUE")</f>
        <v>TRUE</v>
      </c>
      <c r="V17" s="319" t="str">
        <f>IF(ABS(Summary_Income_Stmt!V47-Expense!V27)&gt;0.01, "FALSE", "TRUE")</f>
        <v>TRUE</v>
      </c>
      <c r="W17" s="319" t="str">
        <f>IF(ABS(Summary_Income_Stmt!W47-Expense!W27)&gt;0.01, "FALSE", "TRUE")</f>
        <v>TRUE</v>
      </c>
      <c r="X17" s="319" t="str">
        <f>IF(ABS(Summary_Income_Stmt!X47-Expense!X27)&gt;0.01, "FALSE", "TRUE")</f>
        <v>TRUE</v>
      </c>
      <c r="Y17" s="319" t="str">
        <f>IF(ABS(Summary_Income_Stmt!Y47-Expense!Y27)&gt;0.01, "FALSE", "TRUE")</f>
        <v>TRUE</v>
      </c>
      <c r="Z17" s="319" t="str">
        <f>IF(ABS(Summary_Income_Stmt!Z47-Expense!Z27)&gt;0.01, "FALSE", "TRUE")</f>
        <v>TRUE</v>
      </c>
      <c r="AA17" s="319" t="str">
        <f>IF(ABS(Summary_Income_Stmt!AA47-Expense!AA27)&gt;0.01, "FALSE", "TRUE")</f>
        <v>TRUE</v>
      </c>
      <c r="AB17" s="319" t="str">
        <f>IF(ABS(Summary_Income_Stmt!AB47-Expense!AB27)&gt;0.01, "FALSE", "TRUE")</f>
        <v>TRUE</v>
      </c>
      <c r="AC17" s="319" t="str">
        <f>IF(ABS(Summary_Income_Stmt!AC47-Expense!AC27)&gt;0.01, "FALSE", "TRUE")</f>
        <v>TRUE</v>
      </c>
      <c r="AD17" s="319" t="str">
        <f>IF(ABS(Summary_Income_Stmt!AD47-Expense!AD27)&gt;0.01, "FALSE", "TRUE")</f>
        <v>TRUE</v>
      </c>
      <c r="AE17" s="319" t="str">
        <f>IF(ABS(Summary_Income_Stmt!AE47-Expense!AE27)&gt;0.01, "FALSE", "TRUE")</f>
        <v>TRUE</v>
      </c>
      <c r="AF17" s="319" t="str">
        <f>IF(ABS(Summary_Income_Stmt!AF47-Expense!AF27)&gt;0.01, "FALSE", "TRUE")</f>
        <v>TRUE</v>
      </c>
      <c r="AG17" s="319" t="str">
        <f>IF(ABS(Summary_Income_Stmt!AG47-Expense!AG27)&gt;0.01, "FALSE", "TRUE")</f>
        <v>TRUE</v>
      </c>
      <c r="AH17" s="319" t="str">
        <f>IF(ABS(Summary_Income_Stmt!AH47-Expense!AH27)&gt;0.01, "FALSE", "TRUE")</f>
        <v>TRUE</v>
      </c>
    </row>
    <row r="18" spans="3:34" x14ac:dyDescent="0.25">
      <c r="C18" s="1" t="s">
        <v>482</v>
      </c>
      <c r="E18" t="b">
        <f>Balance_Sheet!E210</f>
        <v>1</v>
      </c>
      <c r="F18" t="b">
        <f>Balance_Sheet!F210</f>
        <v>1</v>
      </c>
      <c r="G18" t="b">
        <f>Balance_Sheet!G210</f>
        <v>1</v>
      </c>
      <c r="H18" t="b">
        <f>Balance_Sheet!H210</f>
        <v>1</v>
      </c>
      <c r="I18" t="b">
        <f>Balance_Sheet!I210</f>
        <v>1</v>
      </c>
      <c r="J18" t="b">
        <f>Balance_Sheet!J210</f>
        <v>1</v>
      </c>
      <c r="K18" t="b">
        <f>Balance_Sheet!K210</f>
        <v>1</v>
      </c>
      <c r="L18" t="b">
        <f>Balance_Sheet!L210</f>
        <v>1</v>
      </c>
      <c r="M18" t="b">
        <f>Balance_Sheet!M210</f>
        <v>1</v>
      </c>
      <c r="N18" t="b">
        <f>Balance_Sheet!N210</f>
        <v>1</v>
      </c>
      <c r="O18" t="b">
        <f>Balance_Sheet!O210</f>
        <v>1</v>
      </c>
      <c r="P18" s="8" t="b">
        <f>Balance_Sheet!P210</f>
        <v>1</v>
      </c>
      <c r="Q18" t="b">
        <f>Balance_Sheet!Q210</f>
        <v>1</v>
      </c>
      <c r="R18" t="b">
        <f>Balance_Sheet!R210</f>
        <v>1</v>
      </c>
      <c r="S18" t="b">
        <f>Balance_Sheet!S210</f>
        <v>1</v>
      </c>
      <c r="T18" t="b">
        <f>Balance_Sheet!T210</f>
        <v>1</v>
      </c>
      <c r="U18" t="b">
        <f>Balance_Sheet!U210</f>
        <v>1</v>
      </c>
      <c r="V18" t="b">
        <f>Balance_Sheet!V210</f>
        <v>1</v>
      </c>
      <c r="W18" t="b">
        <f>Balance_Sheet!W210</f>
        <v>1</v>
      </c>
      <c r="X18" t="b">
        <f>Balance_Sheet!X210</f>
        <v>1</v>
      </c>
      <c r="Y18" t="b">
        <f>Balance_Sheet!Y210</f>
        <v>1</v>
      </c>
      <c r="Z18" t="b">
        <f>Balance_Sheet!Z210</f>
        <v>1</v>
      </c>
      <c r="AA18" t="b">
        <f>Balance_Sheet!AA210</f>
        <v>1</v>
      </c>
      <c r="AB18" t="b">
        <f>Balance_Sheet!AB210</f>
        <v>1</v>
      </c>
      <c r="AC18" t="b">
        <f>Balance_Sheet!AC210</f>
        <v>1</v>
      </c>
      <c r="AD18" t="b">
        <f>Balance_Sheet!AD210</f>
        <v>1</v>
      </c>
      <c r="AE18" t="b">
        <f>Balance_Sheet!AE210</f>
        <v>1</v>
      </c>
      <c r="AF18" t="b">
        <f>Balance_Sheet!AF210</f>
        <v>1</v>
      </c>
      <c r="AG18" t="b">
        <f>Balance_Sheet!AG210</f>
        <v>1</v>
      </c>
      <c r="AH18" t="b">
        <f>Balance_Sheet!AH210</f>
        <v>1</v>
      </c>
    </row>
    <row r="19" spans="3:34" x14ac:dyDescent="0.25">
      <c r="C19" s="1" t="s">
        <v>483</v>
      </c>
      <c r="E19" t="b">
        <f>Balance_Sheet!E211</f>
        <v>1</v>
      </c>
      <c r="F19" t="b">
        <f>Balance_Sheet!F211</f>
        <v>1</v>
      </c>
      <c r="G19" t="b">
        <f>Balance_Sheet!G211</f>
        <v>1</v>
      </c>
      <c r="H19" t="b">
        <f>Balance_Sheet!H211</f>
        <v>1</v>
      </c>
      <c r="I19" t="b">
        <f>Balance_Sheet!I211</f>
        <v>1</v>
      </c>
      <c r="J19" t="b">
        <f>Balance_Sheet!J211</f>
        <v>1</v>
      </c>
      <c r="K19" t="b">
        <f>Balance_Sheet!K211</f>
        <v>1</v>
      </c>
      <c r="L19" t="b">
        <f>Balance_Sheet!L211</f>
        <v>1</v>
      </c>
      <c r="M19" t="b">
        <f>Balance_Sheet!M211</f>
        <v>1</v>
      </c>
      <c r="N19" t="b">
        <f>Balance_Sheet!N211</f>
        <v>1</v>
      </c>
      <c r="O19" t="b">
        <f>Balance_Sheet!O211</f>
        <v>1</v>
      </c>
      <c r="P19" s="8" t="b">
        <f>Balance_Sheet!P211</f>
        <v>1</v>
      </c>
      <c r="Q19" t="b">
        <f>Balance_Sheet!Q211</f>
        <v>1</v>
      </c>
      <c r="R19" t="b">
        <f>Balance_Sheet!R211</f>
        <v>1</v>
      </c>
      <c r="S19" t="b">
        <f>Balance_Sheet!S211</f>
        <v>1</v>
      </c>
      <c r="T19" t="b">
        <f>Balance_Sheet!T211</f>
        <v>1</v>
      </c>
      <c r="U19" t="b">
        <f>Balance_Sheet!U211</f>
        <v>1</v>
      </c>
      <c r="V19" t="b">
        <f>Balance_Sheet!V211</f>
        <v>1</v>
      </c>
      <c r="W19" t="b">
        <f>Balance_Sheet!W211</f>
        <v>1</v>
      </c>
      <c r="X19" t="b">
        <f>Balance_Sheet!X211</f>
        <v>1</v>
      </c>
      <c r="Y19" t="b">
        <f>Balance_Sheet!Y211</f>
        <v>1</v>
      </c>
      <c r="Z19" t="b">
        <f>Balance_Sheet!Z211</f>
        <v>1</v>
      </c>
      <c r="AA19" t="b">
        <f>Balance_Sheet!AA211</f>
        <v>1</v>
      </c>
      <c r="AB19" t="b">
        <f>Balance_Sheet!AB211</f>
        <v>1</v>
      </c>
      <c r="AC19" t="b">
        <f>Balance_Sheet!AC211</f>
        <v>1</v>
      </c>
      <c r="AD19" t="b">
        <f>Balance_Sheet!AD211</f>
        <v>1</v>
      </c>
      <c r="AE19" t="b">
        <f>Balance_Sheet!AE211</f>
        <v>1</v>
      </c>
      <c r="AF19" t="b">
        <f>Balance_Sheet!AF211</f>
        <v>1</v>
      </c>
      <c r="AG19" t="b">
        <f>Balance_Sheet!AG211</f>
        <v>1</v>
      </c>
      <c r="AH19" t="b">
        <f>Balance_Sheet!AH211</f>
        <v>1</v>
      </c>
    </row>
    <row r="20" spans="3:34" x14ac:dyDescent="0.25">
      <c r="C20" s="1" t="s">
        <v>484</v>
      </c>
      <c r="E20" t="b">
        <f>Balance_Sheet!E53</f>
        <v>1</v>
      </c>
      <c r="F20" t="b">
        <f>Balance_Sheet!F53</f>
        <v>1</v>
      </c>
      <c r="G20" t="b">
        <f>Balance_Sheet!G53</f>
        <v>1</v>
      </c>
      <c r="H20" t="b">
        <f>Balance_Sheet!H53</f>
        <v>1</v>
      </c>
      <c r="I20" t="b">
        <f>Balance_Sheet!I53</f>
        <v>1</v>
      </c>
      <c r="J20" t="b">
        <f>Balance_Sheet!J53</f>
        <v>1</v>
      </c>
      <c r="K20" t="b">
        <f>Balance_Sheet!K53</f>
        <v>1</v>
      </c>
      <c r="L20" t="b">
        <f>Balance_Sheet!L53</f>
        <v>1</v>
      </c>
      <c r="M20" t="b">
        <f>Balance_Sheet!M53</f>
        <v>1</v>
      </c>
      <c r="N20" t="b">
        <f>Balance_Sheet!N53</f>
        <v>1</v>
      </c>
      <c r="O20" t="b">
        <f>Balance_Sheet!O53</f>
        <v>1</v>
      </c>
      <c r="P20" s="8" t="b">
        <f>Balance_Sheet!P53</f>
        <v>1</v>
      </c>
      <c r="Q20" t="b">
        <f>Balance_Sheet!Q53</f>
        <v>1</v>
      </c>
      <c r="R20" t="b">
        <f>Balance_Sheet!R53</f>
        <v>1</v>
      </c>
      <c r="S20" t="b">
        <f>Balance_Sheet!S53</f>
        <v>1</v>
      </c>
      <c r="T20" t="b">
        <f>Balance_Sheet!T53</f>
        <v>1</v>
      </c>
      <c r="U20" t="b">
        <f>Balance_Sheet!U53</f>
        <v>1</v>
      </c>
      <c r="V20" t="b">
        <f>Balance_Sheet!V53</f>
        <v>1</v>
      </c>
      <c r="W20" t="b">
        <f>Balance_Sheet!W53</f>
        <v>1</v>
      </c>
      <c r="X20" t="b">
        <f>Balance_Sheet!X53</f>
        <v>1</v>
      </c>
      <c r="Y20" t="b">
        <f>Balance_Sheet!Y53</f>
        <v>1</v>
      </c>
      <c r="Z20" t="b">
        <f>Balance_Sheet!Z53</f>
        <v>1</v>
      </c>
      <c r="AA20" t="b">
        <f>Balance_Sheet!AA53</f>
        <v>1</v>
      </c>
      <c r="AB20" t="b">
        <f>Balance_Sheet!AB53</f>
        <v>1</v>
      </c>
      <c r="AC20" t="b">
        <f>Balance_Sheet!AC53</f>
        <v>1</v>
      </c>
      <c r="AD20" t="b">
        <f>Balance_Sheet!AD53</f>
        <v>1</v>
      </c>
      <c r="AE20" t="b">
        <f>Balance_Sheet!AE53</f>
        <v>1</v>
      </c>
      <c r="AF20" t="b">
        <f>Balance_Sheet!AF53</f>
        <v>1</v>
      </c>
      <c r="AG20" t="b">
        <f>Balance_Sheet!AG53</f>
        <v>1</v>
      </c>
      <c r="AH20" t="b">
        <f>Balance_Sheet!AH53</f>
        <v>1</v>
      </c>
    </row>
    <row r="21" spans="3:34" x14ac:dyDescent="0.25">
      <c r="C21" s="1" t="s">
        <v>415</v>
      </c>
      <c r="E21" t="b">
        <f>Cash_Flow_Stmt!E77</f>
        <v>1</v>
      </c>
      <c r="F21" t="b">
        <f>Cash_Flow_Stmt!F77</f>
        <v>1</v>
      </c>
      <c r="G21" t="b">
        <f>Cash_Flow_Stmt!G77</f>
        <v>1</v>
      </c>
      <c r="H21" t="b">
        <f>Cash_Flow_Stmt!H77</f>
        <v>1</v>
      </c>
      <c r="I21" t="b">
        <f>Cash_Flow_Stmt!I77</f>
        <v>1</v>
      </c>
      <c r="J21" t="b">
        <f>Cash_Flow_Stmt!J77</f>
        <v>1</v>
      </c>
      <c r="K21" t="b">
        <f>Cash_Flow_Stmt!K77</f>
        <v>1</v>
      </c>
      <c r="L21" t="b">
        <f>Cash_Flow_Stmt!L77</f>
        <v>1</v>
      </c>
      <c r="M21" t="b">
        <f>Cash_Flow_Stmt!M77</f>
        <v>1</v>
      </c>
      <c r="N21" t="b">
        <f>Cash_Flow_Stmt!N77</f>
        <v>1</v>
      </c>
      <c r="O21" t="b">
        <f>Cash_Flow_Stmt!O77</f>
        <v>1</v>
      </c>
      <c r="P21" s="8" t="b">
        <f>Cash_Flow_Stmt!P77</f>
        <v>1</v>
      </c>
      <c r="Q21" t="b">
        <f>Cash_Flow_Stmt!Q77</f>
        <v>1</v>
      </c>
      <c r="R21" t="b">
        <f>Cash_Flow_Stmt!R77</f>
        <v>1</v>
      </c>
      <c r="S21" t="b">
        <f>Cash_Flow_Stmt!S77</f>
        <v>1</v>
      </c>
      <c r="T21" t="b">
        <f>Cash_Flow_Stmt!T77</f>
        <v>1</v>
      </c>
      <c r="U21" t="b">
        <f>Cash_Flow_Stmt!U77</f>
        <v>1</v>
      </c>
      <c r="V21" t="b">
        <f>Cash_Flow_Stmt!V77</f>
        <v>1</v>
      </c>
      <c r="W21" t="b">
        <f>Cash_Flow_Stmt!W77</f>
        <v>1</v>
      </c>
      <c r="X21" t="b">
        <f>Cash_Flow_Stmt!X77</f>
        <v>1</v>
      </c>
      <c r="Y21" t="b">
        <f>Cash_Flow_Stmt!Y77</f>
        <v>1</v>
      </c>
      <c r="Z21" t="b">
        <f>Cash_Flow_Stmt!Z77</f>
        <v>1</v>
      </c>
      <c r="AA21" t="b">
        <f>Cash_Flow_Stmt!AA77</f>
        <v>1</v>
      </c>
      <c r="AB21" t="b">
        <f>Cash_Flow_Stmt!AB77</f>
        <v>1</v>
      </c>
      <c r="AC21" t="b">
        <f>Cash_Flow_Stmt!AC77</f>
        <v>1</v>
      </c>
      <c r="AD21" t="b">
        <f>Cash_Flow_Stmt!AD77</f>
        <v>1</v>
      </c>
      <c r="AE21" t="b">
        <f>Cash_Flow_Stmt!AE77</f>
        <v>1</v>
      </c>
      <c r="AF21" t="b">
        <f>Cash_Flow_Stmt!AF77</f>
        <v>1</v>
      </c>
      <c r="AG21" t="b">
        <f>Cash_Flow_Stmt!AG77</f>
        <v>1</v>
      </c>
      <c r="AH21" t="b">
        <f>Cash_Flow_Stmt!AH77</f>
        <v>1</v>
      </c>
    </row>
    <row r="22" spans="3:34" x14ac:dyDescent="0.25">
      <c r="P22" s="8"/>
    </row>
    <row r="23" spans="3:34" x14ac:dyDescent="0.25">
      <c r="P23" s="8"/>
    </row>
    <row r="24" spans="3:34" x14ac:dyDescent="0.25">
      <c r="P24" s="8"/>
    </row>
    <row r="25" spans="3:34" x14ac:dyDescent="0.25">
      <c r="P25" s="8"/>
    </row>
    <row r="26" spans="3:34" x14ac:dyDescent="0.25">
      <c r="P26" s="8"/>
    </row>
    <row r="27" spans="3:34" x14ac:dyDescent="0.25">
      <c r="P27" s="8"/>
    </row>
    <row r="28" spans="3:34" x14ac:dyDescent="0.25">
      <c r="P28" s="8"/>
    </row>
    <row r="29" spans="3:34" x14ac:dyDescent="0.25">
      <c r="P29" s="8"/>
    </row>
    <row r="30" spans="3:34" x14ac:dyDescent="0.25">
      <c r="P30" s="8"/>
    </row>
    <row r="31" spans="3:34" x14ac:dyDescent="0.25">
      <c r="P31" s="8"/>
    </row>
    <row r="32" spans="3:34" x14ac:dyDescent="0.25">
      <c r="P32" s="8"/>
    </row>
    <row r="33" spans="16:16" x14ac:dyDescent="0.25">
      <c r="P33" s="8"/>
    </row>
    <row r="34" spans="16:16" x14ac:dyDescent="0.25">
      <c r="P34" s="8"/>
    </row>
    <row r="35" spans="16:16" x14ac:dyDescent="0.25">
      <c r="P35" s="8"/>
    </row>
    <row r="36" spans="16:16" x14ac:dyDescent="0.25">
      <c r="P36" s="8"/>
    </row>
    <row r="37" spans="16:16" x14ac:dyDescent="0.25">
      <c r="P37" s="8"/>
    </row>
    <row r="38" spans="16:16" x14ac:dyDescent="0.25">
      <c r="P38" s="8"/>
    </row>
    <row r="39" spans="16:16" x14ac:dyDescent="0.25">
      <c r="P39" s="8"/>
    </row>
    <row r="40" spans="16:16" x14ac:dyDescent="0.25">
      <c r="P40" s="8"/>
    </row>
    <row r="41" spans="16:16" x14ac:dyDescent="0.25">
      <c r="P41" s="8"/>
    </row>
    <row r="42" spans="16:16" x14ac:dyDescent="0.25">
      <c r="P42" s="8"/>
    </row>
    <row r="43" spans="16:16" x14ac:dyDescent="0.25">
      <c r="P43" s="8"/>
    </row>
    <row r="44" spans="16:16" x14ac:dyDescent="0.25">
      <c r="P44" s="8"/>
    </row>
    <row r="45" spans="16:16" x14ac:dyDescent="0.25">
      <c r="P45" s="8"/>
    </row>
    <row r="46" spans="16:16" x14ac:dyDescent="0.25">
      <c r="P46" s="8"/>
    </row>
    <row r="47" spans="16:16" x14ac:dyDescent="0.25">
      <c r="P47" s="8"/>
    </row>
    <row r="48" spans="16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  <row r="57" spans="16:16" x14ac:dyDescent="0.25">
      <c r="P57" s="8"/>
    </row>
    <row r="58" spans="16:16" x14ac:dyDescent="0.25">
      <c r="P58" s="8"/>
    </row>
    <row r="59" spans="16:16" x14ac:dyDescent="0.25">
      <c r="P59" s="8"/>
    </row>
    <row r="60" spans="16:16" x14ac:dyDescent="0.25">
      <c r="P60" s="8"/>
    </row>
    <row r="61" spans="16:16" x14ac:dyDescent="0.25">
      <c r="P61" s="8"/>
    </row>
    <row r="62" spans="16:16" x14ac:dyDescent="0.25">
      <c r="P62" s="8"/>
    </row>
    <row r="63" spans="16:16" x14ac:dyDescent="0.25">
      <c r="P63" s="8"/>
    </row>
    <row r="64" spans="16:16" x14ac:dyDescent="0.25">
      <c r="P64" s="8"/>
    </row>
    <row r="65" spans="16:16" x14ac:dyDescent="0.25">
      <c r="P65" s="8"/>
    </row>
    <row r="66" spans="16:16" x14ac:dyDescent="0.25">
      <c r="P66" s="8"/>
    </row>
    <row r="67" spans="16:16" x14ac:dyDescent="0.25">
      <c r="P67" s="8"/>
    </row>
    <row r="68" spans="16:16" x14ac:dyDescent="0.25">
      <c r="P68" s="8"/>
    </row>
    <row r="69" spans="16:16" x14ac:dyDescent="0.25">
      <c r="P69" s="8"/>
    </row>
    <row r="70" spans="16:16" x14ac:dyDescent="0.25">
      <c r="P70" s="8"/>
    </row>
    <row r="71" spans="16:16" x14ac:dyDescent="0.25">
      <c r="P71" s="8"/>
    </row>
    <row r="72" spans="16:16" x14ac:dyDescent="0.25">
      <c r="P72" s="8"/>
    </row>
    <row r="73" spans="16:16" x14ac:dyDescent="0.25">
      <c r="P73" s="8"/>
    </row>
    <row r="74" spans="16:16" x14ac:dyDescent="0.25">
      <c r="P74" s="8"/>
    </row>
    <row r="75" spans="16:16" x14ac:dyDescent="0.25">
      <c r="P75" s="8"/>
    </row>
    <row r="76" spans="16:16" x14ac:dyDescent="0.25">
      <c r="P76" s="8"/>
    </row>
    <row r="77" spans="16:16" x14ac:dyDescent="0.25">
      <c r="P77" s="8"/>
    </row>
  </sheetData>
  <conditionalFormatting sqref="E15:AH21">
    <cfRule type="containsText" dxfId="1" priority="1" operator="containsText" text="False">
      <formula>NOT(ISERROR(SEARCH("False",E15)))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B1B1-C5B0-48D3-B719-BD512EFABA14}">
  <sheetPr>
    <tabColor theme="3"/>
  </sheetPr>
  <dimension ref="A1:AX67"/>
  <sheetViews>
    <sheetView showGridLines="0" zoomScale="85" zoomScaleNormal="85" workbookViewId="0">
      <pane xSplit="3" ySplit="10" topLeftCell="K32" activePane="bottomRight" state="frozen"/>
      <selection activeCell="G47" sqref="G47"/>
      <selection pane="topRight" activeCell="G47" sqref="G47"/>
      <selection pane="bottomLeft" activeCell="G47" sqref="G47"/>
      <selection pane="bottomRight" activeCell="U47" sqref="U47"/>
    </sheetView>
  </sheetViews>
  <sheetFormatPr defaultRowHeight="15" outlineLevelRow="1" outlineLevelCol="1" x14ac:dyDescent="0.25"/>
  <cols>
    <col min="1" max="2" width="2.5703125" customWidth="1"/>
    <col min="3" max="3" width="26.28515625" bestFit="1" customWidth="1"/>
    <col min="4" max="4" width="2.5703125" customWidth="1" outlineLevel="1"/>
    <col min="5" max="10" width="9.140625" customWidth="1" outlineLevel="1"/>
    <col min="11" max="15" width="9.140625" bestFit="1" customWidth="1"/>
    <col min="16" max="16" width="9.140625" customWidth="1"/>
    <col min="17" max="22" width="9.140625" bestFit="1" customWidth="1"/>
    <col min="23" max="34" width="9.140625" bestFit="1" customWidth="1" outlineLevel="1"/>
    <col min="35" max="35" width="2.5703125" customWidth="1"/>
    <col min="36" max="45" width="8.7109375" outlineLevel="1"/>
    <col min="46" max="46" width="2.5703125" customWidth="1"/>
    <col min="47" max="47" width="8.7109375" outlineLevel="1"/>
    <col min="48" max="49" width="9.140625" bestFit="1" customWidth="1" outlineLevel="1"/>
    <col min="50" max="50" width="17.140625" bestFit="1" customWidth="1"/>
  </cols>
  <sheetData>
    <row r="1" spans="1:50" x14ac:dyDescent="0.25">
      <c r="AT1" t="s">
        <v>583</v>
      </c>
      <c r="AX1" t="s">
        <v>584</v>
      </c>
    </row>
    <row r="3" spans="1:50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1:50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1:50" outlineLevel="1" x14ac:dyDescent="0.25">
      <c r="C5" t="s">
        <v>11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1:50" outlineLevel="1" x14ac:dyDescent="0.25">
      <c r="C6" t="s">
        <v>10</v>
      </c>
      <c r="E6" s="5" t="str">
        <f t="shared" ref="E6:AH6" si="1">"Q"&amp;ROUNDUP(E7/3,0)</f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1:50" outlineLevel="1" x14ac:dyDescent="0.25">
      <c r="C7" t="s">
        <v>12</v>
      </c>
      <c r="E7" s="5">
        <f t="shared" ref="E7:AH7" si="2">MONTH(E8)</f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  <c r="AJ7" s="5"/>
      <c r="AM7" s="8"/>
    </row>
    <row r="8" spans="1:50" outlineLevel="1" x14ac:dyDescent="0.25">
      <c r="C8" t="s">
        <v>9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  <c r="AM8" s="8"/>
    </row>
    <row r="9" spans="1:50" outlineLevel="1" x14ac:dyDescent="0.25">
      <c r="C9" t="s">
        <v>17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  <c r="AM9" s="8"/>
      <c r="AU9" s="319" t="str">
        <f ca="1">COUNTIF($E$5:$AH$5,AU$5)&amp;"m"</f>
        <v>6m</v>
      </c>
      <c r="AV9" s="319" t="str">
        <f t="shared" ref="AV9:AW9" ca="1" si="5">COUNTIF($E$5:$AH$5,AV$5)&amp;"m"</f>
        <v>12m</v>
      </c>
      <c r="AW9" s="319" t="str">
        <f t="shared" ca="1" si="5"/>
        <v>12m</v>
      </c>
    </row>
    <row r="10" spans="1:50" x14ac:dyDescent="0.25">
      <c r="E10" s="43" t="str">
        <f t="shared" ref="E10:AH10" si="6">E$9</f>
        <v>Jul-20A</v>
      </c>
      <c r="F10" s="43" t="str">
        <f t="shared" si="6"/>
        <v>Aug-20A</v>
      </c>
      <c r="G10" s="43" t="str">
        <f t="shared" si="6"/>
        <v>Sep-20A</v>
      </c>
      <c r="H10" s="43" t="str">
        <f t="shared" si="6"/>
        <v>Oct-20A</v>
      </c>
      <c r="I10" s="43" t="str">
        <f t="shared" si="6"/>
        <v>Nov-20A</v>
      </c>
      <c r="J10" s="43" t="str">
        <f t="shared" si="6"/>
        <v>Dec-20A</v>
      </c>
      <c r="K10" s="43" t="str">
        <f t="shared" si="6"/>
        <v>Jan-21A</v>
      </c>
      <c r="L10" s="43" t="str">
        <f t="shared" si="6"/>
        <v>Feb-21A</v>
      </c>
      <c r="M10" s="43" t="str">
        <f t="shared" si="6"/>
        <v>Mar-21A</v>
      </c>
      <c r="N10" s="43" t="str">
        <f t="shared" si="6"/>
        <v>Apr-21A</v>
      </c>
      <c r="O10" s="43" t="str">
        <f t="shared" si="6"/>
        <v>May-21A</v>
      </c>
      <c r="P10" s="44" t="str">
        <f t="shared" si="6"/>
        <v>Jun-21A</v>
      </c>
      <c r="Q10" s="43" t="str">
        <f t="shared" si="6"/>
        <v>Jul-21F</v>
      </c>
      <c r="R10" s="43" t="str">
        <f t="shared" si="6"/>
        <v>Aug-21F</v>
      </c>
      <c r="S10" s="43" t="str">
        <f t="shared" si="6"/>
        <v>Sep-21F</v>
      </c>
      <c r="T10" s="43" t="str">
        <f t="shared" si="6"/>
        <v>Oct-21F</v>
      </c>
      <c r="U10" s="43" t="str">
        <f t="shared" si="6"/>
        <v>Nov-21F</v>
      </c>
      <c r="V10" s="43" t="str">
        <f t="shared" si="6"/>
        <v>Dec-21F</v>
      </c>
      <c r="W10" s="43" t="str">
        <f t="shared" si="6"/>
        <v>Jan-22F</v>
      </c>
      <c r="X10" s="43" t="str">
        <f t="shared" si="6"/>
        <v>Feb-22F</v>
      </c>
      <c r="Y10" s="43" t="str">
        <f t="shared" si="6"/>
        <v>Mar-22F</v>
      </c>
      <c r="Z10" s="43" t="str">
        <f t="shared" si="6"/>
        <v>Apr-22F</v>
      </c>
      <c r="AA10" s="43" t="str">
        <f t="shared" si="6"/>
        <v>May-22F</v>
      </c>
      <c r="AB10" s="43" t="str">
        <f t="shared" si="6"/>
        <v>Jun-22F</v>
      </c>
      <c r="AC10" s="43" t="str">
        <f t="shared" si="6"/>
        <v>Jul-22F</v>
      </c>
      <c r="AD10" s="43" t="str">
        <f t="shared" si="6"/>
        <v>Aug-22F</v>
      </c>
      <c r="AE10" s="43" t="str">
        <f t="shared" si="6"/>
        <v>Sep-22F</v>
      </c>
      <c r="AF10" s="43" t="str">
        <f t="shared" si="6"/>
        <v>Oct-22F</v>
      </c>
      <c r="AG10" s="43" t="str">
        <f t="shared" si="6"/>
        <v>Nov-22F</v>
      </c>
      <c r="AH10" s="43" t="str">
        <f t="shared" si="6"/>
        <v>Dec-22F</v>
      </c>
      <c r="AJ10" s="5" t="str">
        <f ca="1">AJ6&amp;"'"&amp;RIGHT(AJ5,2)&amp;LEFT(AJ3,1)</f>
        <v>Q3'20A</v>
      </c>
      <c r="AK10" s="5" t="str">
        <f t="shared" ref="AK10:AS10" ca="1" si="7">AK6&amp;"'"&amp;RIGHT(AK5,2)&amp;LEFT(AK3,1)</f>
        <v>Q4'20A</v>
      </c>
      <c r="AL10" s="5" t="str">
        <f t="shared" ca="1" si="7"/>
        <v>Q1'21A</v>
      </c>
      <c r="AM10" s="9" t="str">
        <f t="shared" ca="1" si="7"/>
        <v>Q2'21A</v>
      </c>
      <c r="AN10" s="5" t="str">
        <f t="shared" ca="1" si="7"/>
        <v>Q3'21F</v>
      </c>
      <c r="AO10" s="5" t="str">
        <f t="shared" ca="1" si="7"/>
        <v>Q4'21F</v>
      </c>
      <c r="AP10" s="5" t="str">
        <f t="shared" ca="1" si="7"/>
        <v>Q1'22F</v>
      </c>
      <c r="AQ10" s="5" t="str">
        <f t="shared" ca="1" si="7"/>
        <v>Q2'22F</v>
      </c>
      <c r="AR10" s="5" t="str">
        <f t="shared" ca="1" si="7"/>
        <v>Q3'22F</v>
      </c>
      <c r="AS10" s="5" t="str">
        <f t="shared" ca="1" si="7"/>
        <v>Q4'22F</v>
      </c>
      <c r="AU10" s="319" t="str">
        <f ca="1">"FY"&amp;RIGHT(AU5,2)</f>
        <v>FY20</v>
      </c>
      <c r="AV10" s="319" t="str">
        <f t="shared" ref="AV10:AW10" ca="1" si="8">"FY"&amp;RIGHT(AV5,2)</f>
        <v>FY21</v>
      </c>
      <c r="AW10" s="319" t="str">
        <f t="shared" ca="1" si="8"/>
        <v>FY22</v>
      </c>
    </row>
    <row r="11" spans="1:50" x14ac:dyDescent="0.25">
      <c r="A11" t="s">
        <v>231</v>
      </c>
      <c r="C11" s="11" t="s">
        <v>0</v>
      </c>
      <c r="D11" s="11"/>
      <c r="P11" s="8"/>
      <c r="AM11" s="8"/>
    </row>
    <row r="12" spans="1:50" outlineLevel="1" x14ac:dyDescent="0.25">
      <c r="C12" s="1" t="s">
        <v>1</v>
      </c>
      <c r="D12" s="1"/>
      <c r="E12" s="56">
        <f>Revenue!E15</f>
        <v>126.49694374548794</v>
      </c>
      <c r="F12" s="56">
        <f>Revenue!F15</f>
        <v>126.24186671451648</v>
      </c>
      <c r="G12" s="56">
        <f>Revenue!G15</f>
        <v>99.184384559310431</v>
      </c>
      <c r="H12" s="56">
        <f>Revenue!H15</f>
        <v>93.614415516835408</v>
      </c>
      <c r="I12" s="56">
        <f>Revenue!I15</f>
        <v>73.484537385297614</v>
      </c>
      <c r="J12" s="56">
        <f>Revenue!J15</f>
        <v>76.704122790040472</v>
      </c>
      <c r="K12" s="56">
        <f>Revenue!K15</f>
        <v>145.72832049513997</v>
      </c>
      <c r="L12" s="56">
        <f>Revenue!L15</f>
        <v>133.00946954302947</v>
      </c>
      <c r="M12" s="56">
        <f>Revenue!M15</f>
        <v>116.0901999762811</v>
      </c>
      <c r="N12" s="56">
        <f>Revenue!N15</f>
        <v>122.17325759457495</v>
      </c>
      <c r="O12" s="56">
        <f>Revenue!O15</f>
        <v>104.10087461813215</v>
      </c>
      <c r="P12" s="34">
        <f>Revenue!P15</f>
        <v>105.89713077189775</v>
      </c>
      <c r="Q12" s="33">
        <f>Revenue!Q15</f>
        <v>131.16592604770841</v>
      </c>
      <c r="R12" s="33">
        <f>Revenue!R15</f>
        <v>132.78522489278171</v>
      </c>
      <c r="S12" s="33">
        <f>Revenue!S15</f>
        <v>106.24635764813253</v>
      </c>
      <c r="T12" s="33">
        <f>Revenue!T15</f>
        <v>99.381190637998728</v>
      </c>
      <c r="U12" s="33">
        <f>Revenue!U15</f>
        <v>77.237364789311584</v>
      </c>
      <c r="V12" s="33">
        <f>Revenue!V15</f>
        <v>79.969053049806718</v>
      </c>
      <c r="W12" s="33">
        <f>Revenue!W15</f>
        <v>155.50196821526066</v>
      </c>
      <c r="X12" s="33">
        <f>Revenue!X15</f>
        <v>138.92485509502552</v>
      </c>
      <c r="Y12" s="33">
        <f>Revenue!Y15</f>
        <v>120.2006070705694</v>
      </c>
      <c r="Z12" s="33">
        <f>Revenue!Z15</f>
        <v>127.68953533137095</v>
      </c>
      <c r="AA12" s="33">
        <f>Revenue!AA15</f>
        <v>107.74207002636595</v>
      </c>
      <c r="AB12" s="33">
        <f>Revenue!AB15</f>
        <v>110.53740355793188</v>
      </c>
      <c r="AC12" s="33">
        <f>Revenue!AC15</f>
        <v>137.21593173115176</v>
      </c>
      <c r="AD12" s="33">
        <f>Revenue!AD15</f>
        <v>138.94050378997429</v>
      </c>
      <c r="AE12" s="33">
        <f>Revenue!AE15</f>
        <v>111.17781239204669</v>
      </c>
      <c r="AF12" s="33">
        <f>Revenue!AF15</f>
        <v>104.01018187115719</v>
      </c>
      <c r="AG12" s="33">
        <f>Revenue!AG15</f>
        <v>80.839305631563306</v>
      </c>
      <c r="AH12" s="33">
        <f>Revenue!AH15</f>
        <v>83.686225193324276</v>
      </c>
      <c r="AJ12" s="15" cm="1">
        <f t="array" aca="1" ref="AJ12" ca="1">SUMPRODUCT(($E12:$AH12)*(AJ$3&amp;AJ$4&amp;AJ$5&amp;AJ$6=$E$3:$AH$3&amp;$E$4:$AH$4&amp;$E$5:$AH$5&amp;$E$6:$AH$6))</f>
        <v>351.92319501931485</v>
      </c>
      <c r="AK12" s="15" cm="1">
        <f t="array" aca="1" ref="AK12" ca="1">SUMPRODUCT(($E12:$AH12)*(AK$3=$E$3:$AH$3)*(AK$4=$E$4:$AH$4)*(AK$5=$E$5:$AH$5)*(AK$6=$E$6:$AH$6))</f>
        <v>243.80307569217348</v>
      </c>
      <c r="AL12" s="15" cm="1">
        <f t="array" aca="1" ref="AL12" ca="1">SUMPRODUCT(($E12:$AH12)*(AL$3=$E$3:$AH$3)*(AL$4=$E$4:$AH$4)*(AL$5=$E$5:$AH$5)*(AL$6=$E$6:$AH$6))</f>
        <v>394.82799001445056</v>
      </c>
      <c r="AM12" s="16" cm="1">
        <f t="array" aca="1" ref="AM12" ca="1">SUMPRODUCT(($E12:$AH12)*(AM$3=$E$3:$AH$3)*(AM$4=$E$4:$AH$4)*(AM$5=$E$5:$AH$5)*(AM$6=$E$6:$AH$6))</f>
        <v>332.17126298460488</v>
      </c>
      <c r="AN12" s="15" cm="1">
        <f t="array" aca="1" ref="AN12" ca="1">SUMPRODUCT(($E12:$AH12)*(AN$3=$E$3:$AH$3)*(AN$4=$E$4:$AH$4)*(AN$5=$E$5:$AH$5)*(AN$6=$E$6:$AH$6))</f>
        <v>370.19750858862267</v>
      </c>
      <c r="AO12" s="15" cm="1">
        <f t="array" aca="1" ref="AO12" ca="1">SUMPRODUCT(($E12:$AH12)*(AO$3=$E$3:$AH$3)*(AO$4=$E$4:$AH$4)*(AO$5=$E$5:$AH$5)*(AO$6=$E$6:$AH$6))</f>
        <v>256.58760847711699</v>
      </c>
      <c r="AP12" s="15" cm="1">
        <f t="array" aca="1" ref="AP12" ca="1">SUMPRODUCT(($E12:$AH12)*(AP$3=$E$3:$AH$3)*(AP$4=$E$4:$AH$4)*(AP$5=$E$5:$AH$5)*(AP$6=$E$6:$AH$6))</f>
        <v>414.62743038085557</v>
      </c>
      <c r="AQ12" s="15" cm="1">
        <f t="array" aca="1" ref="AQ12" ca="1">SUMPRODUCT(($E12:$AH12)*(AQ$3=$E$3:$AH$3)*(AQ$4=$E$4:$AH$4)*(AQ$5=$E$5:$AH$5)*(AQ$6=$E$6:$AH$6))</f>
        <v>345.96900891566878</v>
      </c>
      <c r="AR12" s="15" cm="1">
        <f t="array" aca="1" ref="AR12" ca="1">SUMPRODUCT(($E12:$AH12)*(AR$3=$E$3:$AH$3)*(AR$4=$E$4:$AH$4)*(AR$5=$E$5:$AH$5)*(AR$6=$E$6:$AH$6))</f>
        <v>387.3342479131727</v>
      </c>
      <c r="AS12" s="15" cm="1">
        <f t="array" aca="1" ref="AS12" ca="1">SUMPRODUCT(($E12:$AH12)*(AS$3=$E$3:$AH$3)*(AS$4=$E$4:$AH$4)*(AS$5=$E$5:$AH$5)*(AS$6=$E$6:$AH$6))</f>
        <v>268.53571269604475</v>
      </c>
      <c r="AU12" s="15" cm="1">
        <f t="array" aca="1" ref="AU12" ca="1">SUMPRODUCT(($E12:$AH12)*(AU$5=$E$5:$AH$5))</f>
        <v>595.72627071148838</v>
      </c>
      <c r="AV12" s="15" cm="1">
        <f t="array" aca="1" ref="AV12" ca="1">SUMPRODUCT(($E12:$AH12)*(AV$5=$E$5:$AH$5))</f>
        <v>1353.7843700647952</v>
      </c>
      <c r="AW12" s="15" cm="1">
        <f t="array" aca="1" ref="AW12" ca="1">SUMPRODUCT(($E12:$AH12)*(AW$5=$E$5:$AH$5))</f>
        <v>1416.4663999057416</v>
      </c>
    </row>
    <row r="13" spans="1:50" outlineLevel="1" x14ac:dyDescent="0.25">
      <c r="C13" s="1" t="s">
        <v>2</v>
      </c>
      <c r="D13" s="1"/>
      <c r="E13" s="56">
        <f>Revenue!E16</f>
        <v>527.50890422961891</v>
      </c>
      <c r="F13" s="56">
        <f>Revenue!F16</f>
        <v>379.30105315649905</v>
      </c>
      <c r="G13" s="56">
        <f>Revenue!G16</f>
        <v>390.89814306965133</v>
      </c>
      <c r="H13" s="56">
        <f>Revenue!H16</f>
        <v>410.91385254641801</v>
      </c>
      <c r="I13" s="56">
        <f>Revenue!I16</f>
        <v>413.70899176726823</v>
      </c>
      <c r="J13" s="56">
        <f>Revenue!J16</f>
        <v>663.35709408499349</v>
      </c>
      <c r="K13" s="56">
        <f>Revenue!K16</f>
        <v>437.32852660626969</v>
      </c>
      <c r="L13" s="56">
        <f>Revenue!L16</f>
        <v>373.17233891405198</v>
      </c>
      <c r="M13" s="56">
        <f>Revenue!M16</f>
        <v>394.71661686681392</v>
      </c>
      <c r="N13" s="56">
        <f>Revenue!N16</f>
        <v>595.98625770862611</v>
      </c>
      <c r="O13" s="56">
        <f>Revenue!O16</f>
        <v>603.64078888479889</v>
      </c>
      <c r="P13" s="34">
        <f>Revenue!P16</f>
        <v>628.47035153436047</v>
      </c>
      <c r="Q13" s="33">
        <f>Revenue!Q16</f>
        <v>564.65644530317206</v>
      </c>
      <c r="R13" s="33">
        <f>Revenue!R16</f>
        <v>411.29719344727386</v>
      </c>
      <c r="S13" s="33">
        <f>Revenue!S16</f>
        <v>406.33133643707646</v>
      </c>
      <c r="T13" s="33">
        <f>Revenue!T16</f>
        <v>424.91629301857392</v>
      </c>
      <c r="U13" s="33">
        <f>Revenue!U16</f>
        <v>430.09004599072688</v>
      </c>
      <c r="V13" s="33">
        <f>Revenue!V16</f>
        <v>667.73566023969579</v>
      </c>
      <c r="W13" s="33">
        <f>Revenue!W16</f>
        <v>456.55337897607859</v>
      </c>
      <c r="X13" s="33">
        <f>Revenue!X16</f>
        <v>393.22316373853022</v>
      </c>
      <c r="Y13" s="33">
        <f>Revenue!Y16</f>
        <v>411.24291387381072</v>
      </c>
      <c r="Z13" s="33">
        <f>Revenue!Z16</f>
        <v>643.97008597424031</v>
      </c>
      <c r="AA13" s="33">
        <f>Revenue!AA16</f>
        <v>604.76483390884709</v>
      </c>
      <c r="AB13" s="33">
        <f>Revenue!AB16</f>
        <v>663.73245638528749</v>
      </c>
      <c r="AC13" s="33">
        <f>Revenue!AC16</f>
        <v>590.70112631304471</v>
      </c>
      <c r="AD13" s="33">
        <f>Revenue!AD16</f>
        <v>430.36293617086932</v>
      </c>
      <c r="AE13" s="33">
        <f>Revenue!AE16</f>
        <v>425.19132035586466</v>
      </c>
      <c r="AF13" s="33">
        <f>Revenue!AF16</f>
        <v>444.7081045533526</v>
      </c>
      <c r="AG13" s="33">
        <f>Revenue!AG16</f>
        <v>450.14716351054057</v>
      </c>
      <c r="AH13" s="33">
        <f>Revenue!AH16</f>
        <v>698.77377186933325</v>
      </c>
      <c r="AJ13" s="15" cm="1">
        <f t="array" aca="1" ref="AJ13" ca="1">SUMPRODUCT(($E13:$AH13)*(AJ$3=$E$3:$AH$3)*(AJ$4=$E$4:$AH$4)*(AJ$5=$E$5:$AH$5)*(AJ$6=$E$6:$AH$6))</f>
        <v>1297.7081004557692</v>
      </c>
      <c r="AK13" s="15" cm="1">
        <f t="array" aca="1" ref="AK13" ca="1">SUMPRODUCT(($E13:$AH13)*(AK$3=$E$3:$AH$3)*(AK$4=$E$4:$AH$4)*(AK$5=$E$5:$AH$5)*(AK$6=$E$6:$AH$6))</f>
        <v>1487.9799383986797</v>
      </c>
      <c r="AL13" s="15" cm="1">
        <f t="array" aca="1" ref="AL13" ca="1">SUMPRODUCT(($E13:$AH13)*(AL$3=$E$3:$AH$3)*(AL$4=$E$4:$AH$4)*(AL$5=$E$5:$AH$5)*(AL$6=$E$6:$AH$6))</f>
        <v>1205.2174823871355</v>
      </c>
      <c r="AM13" s="16" cm="1">
        <f t="array" aca="1" ref="AM13" ca="1">SUMPRODUCT(($E13:$AH13)*(AM$3=$E$3:$AH$3)*(AM$4=$E$4:$AH$4)*(AM$5=$E$5:$AH$5)*(AM$6=$E$6:$AH$6))</f>
        <v>1828.0973981277853</v>
      </c>
      <c r="AN13" s="15" cm="1">
        <f t="array" aca="1" ref="AN13" ca="1">SUMPRODUCT(($E13:$AH13)*(AN$3=$E$3:$AH$3)*(AN$4=$E$4:$AH$4)*(AN$5=$E$5:$AH$5)*(AN$6=$E$6:$AH$6))</f>
        <v>1382.2849751875224</v>
      </c>
      <c r="AO13" s="15" cm="1">
        <f t="array" aca="1" ref="AO13" ca="1">SUMPRODUCT(($E13:$AH13)*(AO$3=$E$3:$AH$3)*(AO$4=$E$4:$AH$4)*(AO$5=$E$5:$AH$5)*(AO$6=$E$6:$AH$6))</f>
        <v>1522.7419992489965</v>
      </c>
      <c r="AP13" s="15" cm="1">
        <f t="array" aca="1" ref="AP13" ca="1">SUMPRODUCT(($E13:$AH13)*(AP$3=$E$3:$AH$3)*(AP$4=$E$4:$AH$4)*(AP$5=$E$5:$AH$5)*(AP$6=$E$6:$AH$6))</f>
        <v>1261.0194565884194</v>
      </c>
      <c r="AQ13" s="15" cm="1">
        <f t="array" aca="1" ref="AQ13" ca="1">SUMPRODUCT(($E13:$AH13)*(AQ$3=$E$3:$AH$3)*(AQ$4=$E$4:$AH$4)*(AQ$5=$E$5:$AH$5)*(AQ$6=$E$6:$AH$6))</f>
        <v>1912.4673762683751</v>
      </c>
      <c r="AR13" s="15" cm="1">
        <f t="array" aca="1" ref="AR13" ca="1">SUMPRODUCT(($E13:$AH13)*(AR$3=$E$3:$AH$3)*(AR$4=$E$4:$AH$4)*(AR$5=$E$5:$AH$5)*(AR$6=$E$6:$AH$6))</f>
        <v>1446.2553828397788</v>
      </c>
      <c r="AS13" s="15" cm="1">
        <f t="array" aca="1" ref="AS13" ca="1">SUMPRODUCT(($E13:$AH13)*(AS$3=$E$3:$AH$3)*(AS$4=$E$4:$AH$4)*(AS$5=$E$5:$AH$5)*(AS$6=$E$6:$AH$6))</f>
        <v>1593.6290399332265</v>
      </c>
      <c r="AU13" s="15" cm="1">
        <f t="array" aca="1" ref="AU13" ca="1">SUMPRODUCT(($E13:$AH13)*(AU$5=$E$5:$AH$5))</f>
        <v>2785.6880388544491</v>
      </c>
      <c r="AV13" s="15" cm="1">
        <f t="array" aca="1" ref="AV13" ca="1">SUMPRODUCT(($E13:$AH13)*(AV$5=$E$5:$AH$5))</f>
        <v>5938.3418549514399</v>
      </c>
      <c r="AW13" s="15" cm="1">
        <f t="array" aca="1" ref="AW13" ca="1">SUMPRODUCT(($E13:$AH13)*(AW$5=$E$5:$AH$5))</f>
        <v>6213.3712556297987</v>
      </c>
    </row>
    <row r="14" spans="1:50" outlineLevel="1" x14ac:dyDescent="0.25">
      <c r="C14" s="1" t="s">
        <v>3</v>
      </c>
      <c r="D14" s="1"/>
      <c r="E14" s="56">
        <f>Revenue!E17</f>
        <v>294.36954445743783</v>
      </c>
      <c r="F14" s="56">
        <f>Revenue!F17</f>
        <v>227.2343908897204</v>
      </c>
      <c r="G14" s="56">
        <f>Revenue!G17</f>
        <v>212.88001164241982</v>
      </c>
      <c r="H14" s="56">
        <f>Revenue!H17</f>
        <v>236.12171792905923</v>
      </c>
      <c r="I14" s="56">
        <f>Revenue!I17</f>
        <v>264.79243388910254</v>
      </c>
      <c r="J14" s="56">
        <f>Revenue!J17</f>
        <v>318.19731307875105</v>
      </c>
      <c r="K14" s="56">
        <f>Revenue!K17</f>
        <v>266.11520358221486</v>
      </c>
      <c r="L14" s="56">
        <f>Revenue!L17</f>
        <v>230.11683996994111</v>
      </c>
      <c r="M14" s="56">
        <f>Revenue!M17</f>
        <v>249.61969453859246</v>
      </c>
      <c r="N14" s="56">
        <f>Revenue!N17</f>
        <v>313.00518692325039</v>
      </c>
      <c r="O14" s="56">
        <f>Revenue!O17</f>
        <v>314.66972015002392</v>
      </c>
      <c r="P14" s="34">
        <f>Revenue!P17</f>
        <v>339.60857344205402</v>
      </c>
      <c r="Q14" s="33">
        <f>Revenue!Q17</f>
        <v>312.18915202199798</v>
      </c>
      <c r="R14" s="33">
        <f>Revenue!R17</f>
        <v>248.95014141908544</v>
      </c>
      <c r="S14" s="33">
        <f>Revenue!S17</f>
        <v>222.56774250056887</v>
      </c>
      <c r="T14" s="33">
        <f>Revenue!T17</f>
        <v>244.13342038752592</v>
      </c>
      <c r="U14" s="33">
        <f>Revenue!U17</f>
        <v>290.13927115348713</v>
      </c>
      <c r="V14" s="33">
        <f>Revenue!V17</f>
        <v>316.96644246822842</v>
      </c>
      <c r="W14" s="33">
        <f>Revenue!W17</f>
        <v>285.33218715508337</v>
      </c>
      <c r="X14" s="33">
        <f>Revenue!X17</f>
        <v>240.71748567434619</v>
      </c>
      <c r="Y14" s="33">
        <f>Revenue!Y17</f>
        <v>250.03195893849954</v>
      </c>
      <c r="Z14" s="33">
        <f>Revenue!Z17</f>
        <v>327.33340311283666</v>
      </c>
      <c r="AA14" s="33">
        <f>Revenue!AA17</f>
        <v>336.13411964646139</v>
      </c>
      <c r="AB14" s="33">
        <f>Revenue!AB17</f>
        <v>352.74922107235341</v>
      </c>
      <c r="AC14" s="33">
        <f>Revenue!AC17</f>
        <v>326.58882273644451</v>
      </c>
      <c r="AD14" s="33">
        <f>Revenue!AD17</f>
        <v>260.49026234117832</v>
      </c>
      <c r="AE14" s="33">
        <f>Revenue!AE17</f>
        <v>232.89828722598594</v>
      </c>
      <c r="AF14" s="33">
        <f>Revenue!AF17</f>
        <v>255.50470156699237</v>
      </c>
      <c r="AG14" s="33">
        <f>Revenue!AG17</f>
        <v>303.66982716817813</v>
      </c>
      <c r="AH14" s="33">
        <f>Revenue!AH17</f>
        <v>331.69987728380556</v>
      </c>
      <c r="AJ14" s="15" cm="1">
        <f t="array" aca="1" ref="AJ14" ca="1">SUMPRODUCT(($E14:$AH14)*(AJ$3=$E$3:$AH$3)*(AJ$4=$E$4:$AH$4)*(AJ$5=$E$5:$AH$5)*(AJ$6=$E$6:$AH$6))</f>
        <v>734.48394698957804</v>
      </c>
      <c r="AK14" s="15" cm="1">
        <f t="array" aca="1" ref="AK14" ca="1">SUMPRODUCT(($E14:$AH14)*(AK$3=$E$3:$AH$3)*(AK$4=$E$4:$AH$4)*(AK$5=$E$5:$AH$5)*(AK$6=$E$6:$AH$6))</f>
        <v>819.11146489691282</v>
      </c>
      <c r="AL14" s="15" cm="1">
        <f t="array" aca="1" ref="AL14" ca="1">SUMPRODUCT(($E14:$AH14)*(AL$3=$E$3:$AH$3)*(AL$4=$E$4:$AH$4)*(AL$5=$E$5:$AH$5)*(AL$6=$E$6:$AH$6))</f>
        <v>745.85173809074843</v>
      </c>
      <c r="AM14" s="16" cm="1">
        <f t="array" aca="1" ref="AM14" ca="1">SUMPRODUCT(($E14:$AH14)*(AM$3=$E$3:$AH$3)*(AM$4=$E$4:$AH$4)*(AM$5=$E$5:$AH$5)*(AM$6=$E$6:$AH$6))</f>
        <v>967.28348051532839</v>
      </c>
      <c r="AN14" s="15" cm="1">
        <f t="array" aca="1" ref="AN14" ca="1">SUMPRODUCT(($E14:$AH14)*(AN$3=$E$3:$AH$3)*(AN$4=$E$4:$AH$4)*(AN$5=$E$5:$AH$5)*(AN$6=$E$6:$AH$6))</f>
        <v>783.70703594165229</v>
      </c>
      <c r="AO14" s="15" cm="1">
        <f t="array" aca="1" ref="AO14" ca="1">SUMPRODUCT(($E14:$AH14)*(AO$3=$E$3:$AH$3)*(AO$4=$E$4:$AH$4)*(AO$5=$E$5:$AH$5)*(AO$6=$E$6:$AH$6))</f>
        <v>851.23913400924152</v>
      </c>
      <c r="AP14" s="15" cm="1">
        <f t="array" aca="1" ref="AP14" ca="1">SUMPRODUCT(($E14:$AH14)*(AP$3=$E$3:$AH$3)*(AP$4=$E$4:$AH$4)*(AP$5=$E$5:$AH$5)*(AP$6=$E$6:$AH$6))</f>
        <v>776.08163176792914</v>
      </c>
      <c r="AQ14" s="15" cm="1">
        <f t="array" aca="1" ref="AQ14" ca="1">SUMPRODUCT(($E14:$AH14)*(AQ$3=$E$3:$AH$3)*(AQ$4=$E$4:$AH$4)*(AQ$5=$E$5:$AH$5)*(AQ$6=$E$6:$AH$6))</f>
        <v>1016.2167438316515</v>
      </c>
      <c r="AR14" s="15" cm="1">
        <f t="array" aca="1" ref="AR14" ca="1">SUMPRODUCT(($E14:$AH14)*(AR$3=$E$3:$AH$3)*(AR$4=$E$4:$AH$4)*(AR$5=$E$5:$AH$5)*(AR$6=$E$6:$AH$6))</f>
        <v>819.97737230360872</v>
      </c>
      <c r="AS14" s="15" cm="1">
        <f t="array" aca="1" ref="AS14" ca="1">SUMPRODUCT(($E14:$AH14)*(AS$3=$E$3:$AH$3)*(AS$4=$E$4:$AH$4)*(AS$5=$E$5:$AH$5)*(AS$6=$E$6:$AH$6))</f>
        <v>890.87440601897606</v>
      </c>
      <c r="AU14" s="15" cm="1">
        <f t="array" aca="1" ref="AU14" ca="1">SUMPRODUCT(($E14:$AH14)*(AU$5=$E$5:$AH$5))</f>
        <v>1553.5954118864909</v>
      </c>
      <c r="AV14" s="15" cm="1">
        <f t="array" aca="1" ref="AV14" ca="1">SUMPRODUCT(($E14:$AH14)*(AV$5=$E$5:$AH$5))</f>
        <v>3348.0813885569701</v>
      </c>
      <c r="AW14" s="15" cm="1">
        <f t="array" aca="1" ref="AW14" ca="1">SUMPRODUCT(($E14:$AH14)*(AW$5=$E$5:$AH$5))</f>
        <v>3503.1501539221649</v>
      </c>
    </row>
    <row r="15" spans="1:50" outlineLevel="1" x14ac:dyDescent="0.25">
      <c r="C15" s="1" t="s">
        <v>4</v>
      </c>
      <c r="D15" s="1"/>
      <c r="E15" s="56">
        <f>Revenue!E18</f>
        <v>59.460392518849993</v>
      </c>
      <c r="F15" s="56">
        <f>Revenue!F18</f>
        <v>66.802574429821618</v>
      </c>
      <c r="G15" s="56">
        <f>Revenue!G18</f>
        <v>81.45240976778463</v>
      </c>
      <c r="H15" s="56">
        <f>Revenue!H18</f>
        <v>59.957736804239026</v>
      </c>
      <c r="I15" s="56">
        <f>Revenue!I18</f>
        <v>52.608312372633691</v>
      </c>
      <c r="J15" s="56">
        <f>Revenue!J18</f>
        <v>68.168473883173377</v>
      </c>
      <c r="K15" s="56">
        <f>Revenue!K18</f>
        <v>81.564772871577333</v>
      </c>
      <c r="L15" s="56">
        <f>Revenue!L18</f>
        <v>78.899595791337902</v>
      </c>
      <c r="M15" s="56">
        <f>Revenue!M18</f>
        <v>62.499694378206499</v>
      </c>
      <c r="N15" s="56">
        <f>Revenue!N18</f>
        <v>95.41855749264586</v>
      </c>
      <c r="O15" s="56">
        <f>Revenue!O18</f>
        <v>84.406246624552253</v>
      </c>
      <c r="P15" s="34">
        <f>Revenue!P18</f>
        <v>93.574691092192339</v>
      </c>
      <c r="Q15" s="33">
        <f>Revenue!Q18</f>
        <v>55.696002206426911</v>
      </c>
      <c r="R15" s="33">
        <f>Revenue!R18</f>
        <v>67.959826126290835</v>
      </c>
      <c r="S15" s="33">
        <f>Revenue!S18</f>
        <v>88.678979621988802</v>
      </c>
      <c r="T15" s="33">
        <f>Revenue!T18</f>
        <v>67.24566467340162</v>
      </c>
      <c r="U15" s="33">
        <f>Revenue!U18</f>
        <v>55.174566267553367</v>
      </c>
      <c r="V15" s="33">
        <f>Revenue!V18</f>
        <v>64.723389077560256</v>
      </c>
      <c r="W15" s="33">
        <f>Revenue!W18</f>
        <v>90.256864434212986</v>
      </c>
      <c r="X15" s="33">
        <f>Revenue!X18</f>
        <v>76.367482605815141</v>
      </c>
      <c r="Y15" s="33">
        <f>Revenue!Y18</f>
        <v>60.804249665677403</v>
      </c>
      <c r="Z15" s="33">
        <f>Revenue!Z18</f>
        <v>107.26639268095136</v>
      </c>
      <c r="AA15" s="33">
        <f>Revenue!AA18</f>
        <v>80.474664450670119</v>
      </c>
      <c r="AB15" s="33">
        <f>Revenue!AB18</f>
        <v>104.13414727600639</v>
      </c>
      <c r="AC15" s="33">
        <f>Revenue!AC18</f>
        <v>58.264970688160474</v>
      </c>
      <c r="AD15" s="33">
        <f>Revenue!AD18</f>
        <v>71.110113998678784</v>
      </c>
      <c r="AE15" s="33">
        <f>Revenue!AE18</f>
        <v>92.795039545573488</v>
      </c>
      <c r="AF15" s="33">
        <f>Revenue!AF18</f>
        <v>70.37784280733986</v>
      </c>
      <c r="AG15" s="33">
        <f>Revenue!AG18</f>
        <v>57.747615260547072</v>
      </c>
      <c r="AH15" s="33">
        <f>Revenue!AH18</f>
        <v>67.73190261795834</v>
      </c>
      <c r="AJ15" s="15" cm="1">
        <f t="array" aca="1" ref="AJ15" ca="1">SUMPRODUCT(($E15:$AH15)*(AJ$3=$E$3:$AH$3)*(AJ$4=$E$4:$AH$4)*(AJ$5=$E$5:$AH$5)*(AJ$6=$E$6:$AH$6))</f>
        <v>207.71537671645626</v>
      </c>
      <c r="AK15" s="15" cm="1">
        <f t="array" aca="1" ref="AK15" ca="1">SUMPRODUCT(($E15:$AH15)*(AK$3=$E$3:$AH$3)*(AK$4=$E$4:$AH$4)*(AK$5=$E$5:$AH$5)*(AK$6=$E$6:$AH$6))</f>
        <v>180.73452306004612</v>
      </c>
      <c r="AL15" s="15" cm="1">
        <f t="array" aca="1" ref="AL15" ca="1">SUMPRODUCT(($E15:$AH15)*(AL$3=$E$3:$AH$3)*(AL$4=$E$4:$AH$4)*(AL$5=$E$5:$AH$5)*(AL$6=$E$6:$AH$6))</f>
        <v>222.96406304112173</v>
      </c>
      <c r="AM15" s="16" cm="1">
        <f t="array" aca="1" ref="AM15" ca="1">SUMPRODUCT(($E15:$AH15)*(AM$3=$E$3:$AH$3)*(AM$4=$E$4:$AH$4)*(AM$5=$E$5:$AH$5)*(AM$6=$E$6:$AH$6))</f>
        <v>273.39949520939047</v>
      </c>
      <c r="AN15" s="15" cm="1">
        <f t="array" aca="1" ref="AN15" ca="1">SUMPRODUCT(($E15:$AH15)*(AN$3=$E$3:$AH$3)*(AN$4=$E$4:$AH$4)*(AN$5=$E$5:$AH$5)*(AN$6=$E$6:$AH$6))</f>
        <v>212.33480795470655</v>
      </c>
      <c r="AO15" s="15" cm="1">
        <f t="array" aca="1" ref="AO15" ca="1">SUMPRODUCT(($E15:$AH15)*(AO$3=$E$3:$AH$3)*(AO$4=$E$4:$AH$4)*(AO$5=$E$5:$AH$5)*(AO$6=$E$6:$AH$6))</f>
        <v>187.14362001851524</v>
      </c>
      <c r="AP15" s="15" cm="1">
        <f t="array" aca="1" ref="AP15" ca="1">SUMPRODUCT(($E15:$AH15)*(AP$3=$E$3:$AH$3)*(AP$4=$E$4:$AH$4)*(AP$5=$E$5:$AH$5)*(AP$6=$E$6:$AH$6))</f>
        <v>227.4285967057055</v>
      </c>
      <c r="AQ15" s="15" cm="1">
        <f t="array" aca="1" ref="AQ15" ca="1">SUMPRODUCT(($E15:$AH15)*(AQ$3=$E$3:$AH$3)*(AQ$4=$E$4:$AH$4)*(AQ$5=$E$5:$AH$5)*(AQ$6=$E$6:$AH$6))</f>
        <v>291.87520440762785</v>
      </c>
      <c r="AR15" s="15" cm="1">
        <f t="array" aca="1" ref="AR15" ca="1">SUMPRODUCT(($E15:$AH15)*(AR$3=$E$3:$AH$3)*(AR$4=$E$4:$AH$4)*(AR$5=$E$5:$AH$5)*(AR$6=$E$6:$AH$6))</f>
        <v>222.17012423241277</v>
      </c>
      <c r="AS15" s="15" cm="1">
        <f t="array" aca="1" ref="AS15" ca="1">SUMPRODUCT(($E15:$AH15)*(AS$3=$E$3:$AH$3)*(AS$4=$E$4:$AH$4)*(AS$5=$E$5:$AH$5)*(AS$6=$E$6:$AH$6))</f>
        <v>195.85736068584526</v>
      </c>
      <c r="AU15" s="15" cm="1">
        <f t="array" aca="1" ref="AU15" ca="1">SUMPRODUCT(($E15:$AH15)*(AU$5=$E$5:$AH$5))</f>
        <v>388.44989977650232</v>
      </c>
      <c r="AV15" s="15" cm="1">
        <f t="array" aca="1" ref="AV15" ca="1">SUMPRODUCT(($E15:$AH15)*(AV$5=$E$5:$AH$5))</f>
        <v>895.8419862237339</v>
      </c>
      <c r="AW15" s="15" cm="1">
        <f t="array" aca="1" ref="AW15" ca="1">SUMPRODUCT(($E15:$AH15)*(AW$5=$E$5:$AH$5))</f>
        <v>937.33128603159128</v>
      </c>
    </row>
    <row r="16" spans="1:50" outlineLevel="1" x14ac:dyDescent="0.25">
      <c r="C16" s="1" t="s">
        <v>5</v>
      </c>
      <c r="D16" s="1"/>
      <c r="E16" s="56">
        <f>Revenue!E19</f>
        <v>51.886249999999997</v>
      </c>
      <c r="F16" s="56">
        <f>Revenue!F19</f>
        <v>44.89875</v>
      </c>
      <c r="G16" s="56">
        <f>Revenue!G19</f>
        <v>39.178750000000001</v>
      </c>
      <c r="H16" s="56">
        <f>Revenue!H19</f>
        <v>41.746250000000003</v>
      </c>
      <c r="I16" s="56">
        <f>Revenue!I19</f>
        <v>50.716250000000002</v>
      </c>
      <c r="J16" s="56">
        <f>Revenue!J19</f>
        <v>61.798749999999998</v>
      </c>
      <c r="K16" s="56">
        <f>Revenue!K19</f>
        <v>52.536250000000003</v>
      </c>
      <c r="L16" s="56">
        <f>Revenue!L19</f>
        <v>42.152500000000003</v>
      </c>
      <c r="M16" s="56">
        <f>Revenue!M19</f>
        <v>36.887500000000003</v>
      </c>
      <c r="N16" s="56">
        <f>Revenue!N19</f>
        <v>54.697499999999998</v>
      </c>
      <c r="O16" s="56">
        <f>Revenue!O19</f>
        <v>61.34375</v>
      </c>
      <c r="P16" s="34">
        <f>Revenue!P19</f>
        <v>66.267499999999998</v>
      </c>
      <c r="Q16" s="33">
        <f>Revenue!Q19</f>
        <v>52.048749999999998</v>
      </c>
      <c r="R16" s="33">
        <f>Revenue!R19</f>
        <v>47.823749999999997</v>
      </c>
      <c r="S16" s="33">
        <f>Revenue!S19</f>
        <v>44.134999999999998</v>
      </c>
      <c r="T16" s="33">
        <f>Revenue!T19</f>
        <v>47.45</v>
      </c>
      <c r="U16" s="33">
        <f>Revenue!U19</f>
        <v>50.277500000000003</v>
      </c>
      <c r="V16" s="33">
        <f>Revenue!V19</f>
        <v>60.352499999999999</v>
      </c>
      <c r="W16" s="33">
        <f>Revenue!W19</f>
        <v>52.715000000000003</v>
      </c>
      <c r="X16" s="33">
        <f>Revenue!X19</f>
        <v>44.89875</v>
      </c>
      <c r="Y16" s="33">
        <f>Revenue!Y19</f>
        <v>41.567500000000003</v>
      </c>
      <c r="Z16" s="33">
        <f>Revenue!Z19</f>
        <v>62.172499999999999</v>
      </c>
      <c r="AA16" s="33">
        <f>Revenue!AA19</f>
        <v>60.774999999999999</v>
      </c>
      <c r="AB16" s="33">
        <f>Revenue!AB19</f>
        <v>64.723749999999995</v>
      </c>
      <c r="AC16" s="33">
        <f>Revenue!AC19</f>
        <v>54.453749999999999</v>
      </c>
      <c r="AD16" s="33">
        <f>Revenue!AD19</f>
        <v>50.05</v>
      </c>
      <c r="AE16" s="33">
        <f>Revenue!AE19</f>
        <v>46.182499999999997</v>
      </c>
      <c r="AF16" s="33">
        <f>Revenue!AF19</f>
        <v>49.66</v>
      </c>
      <c r="AG16" s="33">
        <f>Revenue!AG19</f>
        <v>52.6175</v>
      </c>
      <c r="AH16" s="33">
        <f>Revenue!AH19</f>
        <v>63.16375</v>
      </c>
      <c r="AJ16" s="15" cm="1">
        <f t="array" aca="1" ref="AJ16" ca="1">SUMPRODUCT(($E16:$AH16)*(AJ$3=$E$3:$AH$3)*(AJ$4=$E$4:$AH$4)*(AJ$5=$E$5:$AH$5)*(AJ$6=$E$6:$AH$6))</f>
        <v>135.96375</v>
      </c>
      <c r="AK16" s="15" cm="1">
        <f t="array" aca="1" ref="AK16" ca="1">SUMPRODUCT(($E16:$AH16)*(AK$3=$E$3:$AH$3)*(AK$4=$E$4:$AH$4)*(AK$5=$E$5:$AH$5)*(AK$6=$E$6:$AH$6))</f>
        <v>154.26125000000002</v>
      </c>
      <c r="AL16" s="15" cm="1">
        <f t="array" aca="1" ref="AL16" ca="1">SUMPRODUCT(($E16:$AH16)*(AL$3=$E$3:$AH$3)*(AL$4=$E$4:$AH$4)*(AL$5=$E$5:$AH$5)*(AL$6=$E$6:$AH$6))</f>
        <v>131.57625000000002</v>
      </c>
      <c r="AM16" s="16" cm="1">
        <f t="array" aca="1" ref="AM16" ca="1">SUMPRODUCT(($E16:$AH16)*(AM$3=$E$3:$AH$3)*(AM$4=$E$4:$AH$4)*(AM$5=$E$5:$AH$5)*(AM$6=$E$6:$AH$6))</f>
        <v>182.30874999999997</v>
      </c>
      <c r="AN16" s="15" cm="1">
        <f t="array" aca="1" ref="AN16" ca="1">SUMPRODUCT(($E16:$AH16)*(AN$3=$E$3:$AH$3)*(AN$4=$E$4:$AH$4)*(AN$5=$E$5:$AH$5)*(AN$6=$E$6:$AH$6))</f>
        <v>144.00749999999999</v>
      </c>
      <c r="AO16" s="15" cm="1">
        <f t="array" aca="1" ref="AO16" ca="1">SUMPRODUCT(($E16:$AH16)*(AO$3=$E$3:$AH$3)*(AO$4=$E$4:$AH$4)*(AO$5=$E$5:$AH$5)*(AO$6=$E$6:$AH$6))</f>
        <v>158.08000000000001</v>
      </c>
      <c r="AP16" s="15" cm="1">
        <f t="array" aca="1" ref="AP16" ca="1">SUMPRODUCT(($E16:$AH16)*(AP$3=$E$3:$AH$3)*(AP$4=$E$4:$AH$4)*(AP$5=$E$5:$AH$5)*(AP$6=$E$6:$AH$6))</f>
        <v>139.18125000000001</v>
      </c>
      <c r="AQ16" s="15" cm="1">
        <f t="array" aca="1" ref="AQ16" ca="1">SUMPRODUCT(($E16:$AH16)*(AQ$3=$E$3:$AH$3)*(AQ$4=$E$4:$AH$4)*(AQ$5=$E$5:$AH$5)*(AQ$6=$E$6:$AH$6))</f>
        <v>187.67124999999999</v>
      </c>
      <c r="AR16" s="15" cm="1">
        <f t="array" aca="1" ref="AR16" ca="1">SUMPRODUCT(($E16:$AH16)*(AR$3=$E$3:$AH$3)*(AR$4=$E$4:$AH$4)*(AR$5=$E$5:$AH$5)*(AR$6=$E$6:$AH$6))</f>
        <v>150.68625</v>
      </c>
      <c r="AS16" s="15" cm="1">
        <f t="array" aca="1" ref="AS16" ca="1">SUMPRODUCT(($E16:$AH16)*(AS$3=$E$3:$AH$3)*(AS$4=$E$4:$AH$4)*(AS$5=$E$5:$AH$5)*(AS$6=$E$6:$AH$6))</f>
        <v>165.44125</v>
      </c>
      <c r="AU16" s="15" cm="1">
        <f t="array" aca="1" ref="AU16" ca="1">SUMPRODUCT(($E16:$AH16)*(AU$5=$E$5:$AH$5))</f>
        <v>290.22500000000002</v>
      </c>
      <c r="AV16" s="15" cm="1">
        <f t="array" aca="1" ref="AV16" ca="1">SUMPRODUCT(($E16:$AH16)*(AV$5=$E$5:$AH$5))</f>
        <v>615.97249999999997</v>
      </c>
      <c r="AW16" s="15" cm="1">
        <f t="array" aca="1" ref="AW16" ca="1">SUMPRODUCT(($E16:$AH16)*(AW$5=$E$5:$AH$5))</f>
        <v>642.98</v>
      </c>
    </row>
    <row r="17" spans="1:49" outlineLevel="1" x14ac:dyDescent="0.25">
      <c r="C17" s="23" t="s">
        <v>6</v>
      </c>
      <c r="D17" s="23"/>
      <c r="E17" s="74">
        <f>Revenue!E20</f>
        <v>16.302528175795736</v>
      </c>
      <c r="F17" s="74">
        <f>Revenue!F20</f>
        <v>14.790564918819666</v>
      </c>
      <c r="G17" s="74">
        <f>Revenue!G20</f>
        <v>12.928781959499311</v>
      </c>
      <c r="H17" s="74">
        <f>Revenue!H20</f>
        <v>13.989558365598441</v>
      </c>
      <c r="I17" s="74">
        <f>Revenue!I20</f>
        <v>12.653488931208924</v>
      </c>
      <c r="J17" s="74">
        <f>Revenue!J20</f>
        <v>14.497808732520122</v>
      </c>
      <c r="K17" s="74">
        <f>Revenue!K20</f>
        <v>16.030202718433344</v>
      </c>
      <c r="L17" s="74">
        <f>Revenue!L20</f>
        <v>14.534165396825035</v>
      </c>
      <c r="M17" s="74">
        <f>Revenue!M20</f>
        <v>12.960863527441751</v>
      </c>
      <c r="N17" s="74">
        <f>Revenue!N20</f>
        <v>15.875509971251191</v>
      </c>
      <c r="O17" s="74">
        <f>Revenue!O20</f>
        <v>15.316703825418095</v>
      </c>
      <c r="P17" s="75">
        <f>Revenue!P20</f>
        <v>16.368945401238197</v>
      </c>
      <c r="Q17" s="74">
        <f>Revenue!Q20</f>
        <v>17.051841355107623</v>
      </c>
      <c r="R17" s="74">
        <f>Revenue!R20</f>
        <v>15.473757420353698</v>
      </c>
      <c r="S17" s="74">
        <f>Revenue!S20</f>
        <v>13.526714036899634</v>
      </c>
      <c r="T17" s="74">
        <f>Revenue!T20</f>
        <v>14.638879725760649</v>
      </c>
      <c r="U17" s="74">
        <f>Revenue!U20</f>
        <v>13.241506713590621</v>
      </c>
      <c r="V17" s="74">
        <f>Revenue!V20</f>
        <v>15.169314264765651</v>
      </c>
      <c r="W17" s="74">
        <f>Revenue!W20</f>
        <v>16.771736113719442</v>
      </c>
      <c r="X17" s="74">
        <f>Revenue!X20</f>
        <v>15.205706868412328</v>
      </c>
      <c r="Y17" s="74">
        <f>Revenue!Y20</f>
        <v>13.559243797975324</v>
      </c>
      <c r="Z17" s="74">
        <f>Revenue!Z20</f>
        <v>16.610441927920725</v>
      </c>
      <c r="AA17" s="74">
        <f>Revenue!AA20</f>
        <v>16.022859163668713</v>
      </c>
      <c r="AB17" s="74">
        <f>Revenue!AB20</f>
        <v>17.125612257366782</v>
      </c>
      <c r="AC17" s="74">
        <f>Revenue!AC20</f>
        <v>17.838354592349223</v>
      </c>
      <c r="AD17" s="74">
        <f>Revenue!AD20</f>
        <v>16.191045752596132</v>
      </c>
      <c r="AE17" s="74">
        <f>Revenue!AE20</f>
        <v>14.154560295194507</v>
      </c>
      <c r="AF17" s="74">
        <f>Revenue!AF20</f>
        <v>15.32073154780853</v>
      </c>
      <c r="AG17" s="74">
        <f>Revenue!AG20</f>
        <v>13.859020322123691</v>
      </c>
      <c r="AH17" s="74">
        <f>Revenue!AH20</f>
        <v>15.874423932453366</v>
      </c>
      <c r="AJ17" s="29" cm="1">
        <f t="array" aca="1" ref="AJ17" ca="1">SUMPRODUCT(($E17:$AH17)*(AJ$3=$E$3:$AH$3)*(AJ$4=$E$4:$AH$4)*(AJ$5=$E$5:$AH$5)*(AJ$6=$E$6:$AH$6))</f>
        <v>44.021875054114716</v>
      </c>
      <c r="AK17" s="29" cm="1">
        <f t="array" aca="1" ref="AK17" ca="1">SUMPRODUCT(($E17:$AH17)*(AK$3=$E$3:$AH$3)*(AK$4=$E$4:$AH$4)*(AK$5=$E$5:$AH$5)*(AK$6=$E$6:$AH$6))</f>
        <v>41.140856029327487</v>
      </c>
      <c r="AL17" s="29" cm="1">
        <f t="array" aca="1" ref="AL17" ca="1">SUMPRODUCT(($E17:$AH17)*(AL$3=$E$3:$AH$3)*(AL$4=$E$4:$AH$4)*(AL$5=$E$5:$AH$5)*(AL$6=$E$6:$AH$6))</f>
        <v>43.525231642700128</v>
      </c>
      <c r="AM17" s="240" cm="1">
        <f t="array" aca="1" ref="AM17" ca="1">SUMPRODUCT(($E17:$AH17)*(AM$3=$E$3:$AH$3)*(AM$4=$E$4:$AH$4)*(AM$5=$E$5:$AH$5)*(AM$6=$E$6:$AH$6))</f>
        <v>47.561159197907486</v>
      </c>
      <c r="AN17" s="29" cm="1">
        <f t="array" aca="1" ref="AN17" ca="1">SUMPRODUCT(($E17:$AH17)*(AN$3=$E$3:$AH$3)*(AN$4=$E$4:$AH$4)*(AN$5=$E$5:$AH$5)*(AN$6=$E$6:$AH$6))</f>
        <v>46.052312812360952</v>
      </c>
      <c r="AO17" s="29" cm="1">
        <f t="array" aca="1" ref="AO17" ca="1">SUMPRODUCT(($E17:$AH17)*(AO$3=$E$3:$AH$3)*(AO$4=$E$4:$AH$4)*(AO$5=$E$5:$AH$5)*(AO$6=$E$6:$AH$6))</f>
        <v>43.049700704116923</v>
      </c>
      <c r="AP17" s="29" cm="1">
        <f t="array" aca="1" ref="AP17" ca="1">SUMPRODUCT(($E17:$AH17)*(AP$3=$E$3:$AH$3)*(AP$4=$E$4:$AH$4)*(AP$5=$E$5:$AH$5)*(AP$6=$E$6:$AH$6))</f>
        <v>45.53668678010709</v>
      </c>
      <c r="AQ17" s="29" cm="1">
        <f t="array" aca="1" ref="AQ17" ca="1">SUMPRODUCT(($E17:$AH17)*(AQ$3=$E$3:$AH$3)*(AQ$4=$E$4:$AH$4)*(AQ$5=$E$5:$AH$5)*(AQ$6=$E$6:$AH$6))</f>
        <v>49.75891334895622</v>
      </c>
      <c r="AR17" s="29" cm="1">
        <f t="array" aca="1" ref="AR17" ca="1">SUMPRODUCT(($E17:$AH17)*(AR$3=$E$3:$AH$3)*(AR$4=$E$4:$AH$4)*(AR$5=$E$5:$AH$5)*(AR$6=$E$6:$AH$6))</f>
        <v>48.183960640139865</v>
      </c>
      <c r="AS17" s="29" cm="1">
        <f t="array" aca="1" ref="AS17" ca="1">SUMPRODUCT(($E17:$AH17)*(AS$3=$E$3:$AH$3)*(AS$4=$E$4:$AH$4)*(AS$5=$E$5:$AH$5)*(AS$6=$E$6:$AH$6))</f>
        <v>45.054175802385586</v>
      </c>
      <c r="AU17" s="29" cm="1">
        <f t="array" aca="1" ref="AU17" ca="1">SUMPRODUCT(($E17:$AH17)*(AU$5=$E$5:$AH$5))</f>
        <v>85.16273108344221</v>
      </c>
      <c r="AV17" s="29" cm="1">
        <f t="array" aca="1" ref="AV17" ca="1">SUMPRODUCT(($E17:$AH17)*(AV$5=$E$5:$AH$5))</f>
        <v>180.18840435708549</v>
      </c>
      <c r="AW17" s="29" cm="1">
        <f t="array" aca="1" ref="AW17" ca="1">SUMPRODUCT(($E17:$AH17)*(AW$5=$E$5:$AH$5))</f>
        <v>188.53373657158872</v>
      </c>
    </row>
    <row r="18" spans="1:49" x14ac:dyDescent="0.25">
      <c r="A18" t="s">
        <v>231</v>
      </c>
      <c r="C18" s="25" t="s">
        <v>7</v>
      </c>
      <c r="D18" s="25"/>
      <c r="E18" s="14">
        <f>SUM(E12:E17)</f>
        <v>1076.0245631271903</v>
      </c>
      <c r="F18" s="21">
        <f t="shared" ref="F18:AH18" si="9">SUM(F12:F17)</f>
        <v>859.26920010937727</v>
      </c>
      <c r="G18" s="21">
        <f t="shared" si="9"/>
        <v>836.52248099866563</v>
      </c>
      <c r="H18" s="21">
        <f t="shared" si="9"/>
        <v>856.34353116215016</v>
      </c>
      <c r="I18" s="21">
        <f t="shared" si="9"/>
        <v>867.96401434551092</v>
      </c>
      <c r="J18" s="21">
        <f t="shared" si="9"/>
        <v>1202.7235625694784</v>
      </c>
      <c r="K18" s="14">
        <f t="shared" si="9"/>
        <v>999.30327627363522</v>
      </c>
      <c r="L18" s="21">
        <f t="shared" si="9"/>
        <v>871.88490961518551</v>
      </c>
      <c r="M18" s="21">
        <f t="shared" si="9"/>
        <v>872.77456928733591</v>
      </c>
      <c r="N18" s="21">
        <f t="shared" si="9"/>
        <v>1197.1562696903486</v>
      </c>
      <c r="O18" s="21">
        <f t="shared" si="9"/>
        <v>1183.4780841029253</v>
      </c>
      <c r="P18" s="22">
        <f t="shared" si="9"/>
        <v>1250.1871922417429</v>
      </c>
      <c r="Q18" s="21">
        <f t="shared" si="9"/>
        <v>1132.808116934413</v>
      </c>
      <c r="R18" s="21">
        <f t="shared" si="9"/>
        <v>924.28989330578554</v>
      </c>
      <c r="S18" s="21">
        <f t="shared" si="9"/>
        <v>881.48613024466636</v>
      </c>
      <c r="T18" s="21">
        <f t="shared" si="9"/>
        <v>897.76544844326088</v>
      </c>
      <c r="U18" s="21">
        <f t="shared" si="9"/>
        <v>916.16025491466962</v>
      </c>
      <c r="V18" s="21">
        <f t="shared" si="9"/>
        <v>1204.916359100057</v>
      </c>
      <c r="W18" s="21">
        <f t="shared" si="9"/>
        <v>1057.131134894355</v>
      </c>
      <c r="X18" s="21">
        <f t="shared" si="9"/>
        <v>909.33744398212934</v>
      </c>
      <c r="Y18" s="21">
        <f t="shared" si="9"/>
        <v>897.40647334653238</v>
      </c>
      <c r="Z18" s="21">
        <f t="shared" si="9"/>
        <v>1285.0423590273199</v>
      </c>
      <c r="AA18" s="21">
        <f t="shared" si="9"/>
        <v>1205.9135471960133</v>
      </c>
      <c r="AB18" s="21">
        <f t="shared" si="9"/>
        <v>1313.002590548946</v>
      </c>
      <c r="AC18" s="21">
        <f t="shared" si="9"/>
        <v>1185.0629560611505</v>
      </c>
      <c r="AD18" s="21">
        <f t="shared" si="9"/>
        <v>967.14486205329683</v>
      </c>
      <c r="AE18" s="21">
        <f t="shared" si="9"/>
        <v>922.39951981466538</v>
      </c>
      <c r="AF18" s="21">
        <f t="shared" si="9"/>
        <v>939.58156234665057</v>
      </c>
      <c r="AG18" s="21">
        <f t="shared" si="9"/>
        <v>958.88043189295263</v>
      </c>
      <c r="AH18" s="21">
        <f t="shared" si="9"/>
        <v>1260.9299508968747</v>
      </c>
      <c r="AJ18" s="21">
        <f t="shared" ref="AJ18:AS18" ca="1" si="10">SUM(AJ12:AJ17)</f>
        <v>2771.8162442352332</v>
      </c>
      <c r="AK18" s="21">
        <f t="shared" ca="1" si="10"/>
        <v>2927.0311080771398</v>
      </c>
      <c r="AL18" s="21">
        <f t="shared" ca="1" si="10"/>
        <v>2743.9627551761564</v>
      </c>
      <c r="AM18" s="22">
        <f t="shared" ca="1" si="10"/>
        <v>3630.8215460350161</v>
      </c>
      <c r="AN18" s="21">
        <f t="shared" ca="1" si="10"/>
        <v>2938.5841404848652</v>
      </c>
      <c r="AO18" s="21">
        <f t="shared" ca="1" si="10"/>
        <v>3018.8420624579867</v>
      </c>
      <c r="AP18" s="21">
        <f t="shared" ca="1" si="10"/>
        <v>2863.8750522230166</v>
      </c>
      <c r="AQ18" s="21">
        <f t="shared" ca="1" si="10"/>
        <v>3803.9584967722794</v>
      </c>
      <c r="AR18" s="21">
        <f t="shared" ca="1" si="10"/>
        <v>3074.6073379291133</v>
      </c>
      <c r="AS18" s="21">
        <f t="shared" ca="1" si="10"/>
        <v>3159.3919451364782</v>
      </c>
      <c r="AU18" s="21">
        <f t="shared" ref="AU18:AW18" ca="1" si="11">SUM(AU12:AU17)</f>
        <v>5698.847352312373</v>
      </c>
      <c r="AV18" s="21">
        <f t="shared" ca="1" si="11"/>
        <v>12332.210504154025</v>
      </c>
      <c r="AW18" s="21">
        <f t="shared" ca="1" si="11"/>
        <v>12901.832832060885</v>
      </c>
    </row>
    <row r="19" spans="1:49" x14ac:dyDescent="0.25">
      <c r="P19" s="8"/>
      <c r="AM19" s="8"/>
    </row>
    <row r="20" spans="1:49" x14ac:dyDescent="0.25">
      <c r="C20" s="11" t="s">
        <v>56</v>
      </c>
      <c r="D20" s="11"/>
      <c r="P20" s="8"/>
      <c r="AM20" s="8"/>
    </row>
    <row r="21" spans="1:49" outlineLevel="1" x14ac:dyDescent="0.25">
      <c r="C21" s="1" t="s">
        <v>1</v>
      </c>
      <c r="D21" s="1"/>
      <c r="E21" s="56">
        <f>Expense!E91</f>
        <v>49.142897138700178</v>
      </c>
      <c r="F21" s="56">
        <f>Expense!F91</f>
        <v>48.549854381037072</v>
      </c>
      <c r="G21" s="56">
        <f>Expense!G91</f>
        <v>37.112469678042544</v>
      </c>
      <c r="H21" s="56">
        <f>Expense!H91</f>
        <v>32.625258303612746</v>
      </c>
      <c r="I21" s="56">
        <f>Expense!I91</f>
        <v>31.489746883993607</v>
      </c>
      <c r="J21" s="56">
        <f>Expense!J91</f>
        <v>33.128154907243605</v>
      </c>
      <c r="K21" s="56">
        <f>Expense!K91</f>
        <v>51.874954524871136</v>
      </c>
      <c r="L21" s="56">
        <f>Expense!L91</f>
        <v>49.758223889617994</v>
      </c>
      <c r="M21" s="56">
        <f>Expense!M91</f>
        <v>40.221983985746</v>
      </c>
      <c r="N21" s="56">
        <f>Expense!N91</f>
        <v>46.560875342335628</v>
      </c>
      <c r="O21" s="56">
        <f>Expense!O91</f>
        <v>45.296703135421915</v>
      </c>
      <c r="P21" s="34">
        <f>Expense!P91</f>
        <v>40.194648375156618</v>
      </c>
      <c r="Q21" s="33">
        <f>Expense!Q91</f>
        <v>53.788379854298469</v>
      </c>
      <c r="R21" s="33">
        <f>Expense!R91</f>
        <v>52.094598038829346</v>
      </c>
      <c r="S21" s="33">
        <f>Expense!S91</f>
        <v>40.422141398905403</v>
      </c>
      <c r="T21" s="33">
        <f>Expense!T91</f>
        <v>35.669683007307242</v>
      </c>
      <c r="U21" s="33">
        <f>Expense!U91</f>
        <v>33.959350007100824</v>
      </c>
      <c r="V21" s="33">
        <f>Expense!V91</f>
        <v>37.695352318278566</v>
      </c>
      <c r="W21" s="33">
        <f>Expense!W91</f>
        <v>52.752199178489398</v>
      </c>
      <c r="X21" s="33">
        <f>Expense!X91</f>
        <v>51.330056712738504</v>
      </c>
      <c r="Y21" s="33">
        <f>Expense!Y91</f>
        <v>41.766700919060568</v>
      </c>
      <c r="Z21" s="33">
        <f>Expense!Z91</f>
        <v>51.406739481333574</v>
      </c>
      <c r="AA21" s="33">
        <f>Expense!AA91</f>
        <v>46.000720738666438</v>
      </c>
      <c r="AB21" s="33">
        <f>Expense!AB91</f>
        <v>41.984808562046211</v>
      </c>
      <c r="AC21" s="33">
        <f>Expense!AC91</f>
        <v>56.018623872489208</v>
      </c>
      <c r="AD21" s="33">
        <f>Expense!AD91</f>
        <v>54.229311787780951</v>
      </c>
      <c r="AE21" s="33">
        <f>Expense!AE91</f>
        <v>42.060797464930843</v>
      </c>
      <c r="AF21" s="33">
        <f>Expense!AF91</f>
        <v>37.122253719643652</v>
      </c>
      <c r="AG21" s="33">
        <f>Expense!AG91</f>
        <v>35.340953559490579</v>
      </c>
      <c r="AH21" s="33">
        <f>Expense!AH91</f>
        <v>39.27333615890803</v>
      </c>
      <c r="AJ21" s="15" cm="1">
        <f t="array" aca="1" ref="AJ21" ca="1">SUMPRODUCT(($E21:$AH21)*(AJ$3=$E$3:$AH$3)*(AJ$4=$E$4:$AH$4)*(AJ$5=$E$5:$AH$5)*(AJ$6=$E$6:$AH$6))</f>
        <v>134.80522119777979</v>
      </c>
      <c r="AK21" s="15" cm="1">
        <f t="array" aca="1" ref="AK21" ca="1">SUMPRODUCT(($E21:$AH21)*(AK$3=$E$3:$AH$3)*(AK$4=$E$4:$AH$4)*(AK$5=$E$5:$AH$5)*(AK$6=$E$6:$AH$6))</f>
        <v>97.243160094849969</v>
      </c>
      <c r="AL21" s="15" cm="1">
        <f t="array" aca="1" ref="AL21" ca="1">SUMPRODUCT(($E21:$AH21)*(AL$3=$E$3:$AH$3)*(AL$4=$E$4:$AH$4)*(AL$5=$E$5:$AH$5)*(AL$6=$E$6:$AH$6))</f>
        <v>141.85516240023512</v>
      </c>
      <c r="AM21" s="16" cm="1">
        <f t="array" aca="1" ref="AM21" ca="1">SUMPRODUCT(($E21:$AH21)*(AM$3=$E$3:$AH$3)*(AM$4=$E$4:$AH$4)*(AM$5=$E$5:$AH$5)*(AM$6=$E$6:$AH$6))</f>
        <v>132.05222685291415</v>
      </c>
      <c r="AN21" s="15" cm="1">
        <f t="array" aca="1" ref="AN21" ca="1">SUMPRODUCT(($E21:$AH21)*(AN$3=$E$3:$AH$3)*(AN$4=$E$4:$AH$4)*(AN$5=$E$5:$AH$5)*(AN$6=$E$6:$AH$6))</f>
        <v>146.30511929203323</v>
      </c>
      <c r="AO21" s="15" cm="1">
        <f t="array" aca="1" ref="AO21" ca="1">SUMPRODUCT(($E21:$AH21)*(AO$3=$E$3:$AH$3)*(AO$4=$E$4:$AH$4)*(AO$5=$E$5:$AH$5)*(AO$6=$E$6:$AH$6))</f>
        <v>107.32438533268663</v>
      </c>
      <c r="AP21" s="15" cm="1">
        <f t="array" aca="1" ref="AP21" ca="1">SUMPRODUCT(($E21:$AH21)*(AP$3=$E$3:$AH$3)*(AP$4=$E$4:$AH$4)*(AP$5=$E$5:$AH$5)*(AP$6=$E$6:$AH$6))</f>
        <v>145.84895681028848</v>
      </c>
      <c r="AQ21" s="15" cm="1">
        <f t="array" aca="1" ref="AQ21" ca="1">SUMPRODUCT(($E21:$AH21)*(AQ$3=$E$3:$AH$3)*(AQ$4=$E$4:$AH$4)*(AQ$5=$E$5:$AH$5)*(AQ$6=$E$6:$AH$6))</f>
        <v>139.39226878204624</v>
      </c>
      <c r="AR21" s="15" cm="1">
        <f t="array" aca="1" ref="AR21" ca="1">SUMPRODUCT(($E21:$AH21)*(AR$3=$E$3:$AH$3)*(AR$4=$E$4:$AH$4)*(AR$5=$E$5:$AH$5)*(AR$6=$E$6:$AH$6))</f>
        <v>152.308733125201</v>
      </c>
      <c r="AS21" s="15" cm="1">
        <f t="array" aca="1" ref="AS21" ca="1">SUMPRODUCT(($E21:$AH21)*(AS$3=$E$3:$AH$3)*(AS$4=$E$4:$AH$4)*(AS$5=$E$5:$AH$5)*(AS$6=$E$6:$AH$6))</f>
        <v>111.73654343804225</v>
      </c>
      <c r="AU21" s="15" cm="1">
        <f t="array" aca="1" ref="AU21" ca="1">SUMPRODUCT(($E21:$AH21)*(AU$5=$E$5:$AH$5))</f>
        <v>232.04838129262976</v>
      </c>
      <c r="AV21" s="15" cm="1">
        <f t="array" aca="1" ref="AV21" ca="1">SUMPRODUCT(($E21:$AH21)*(AV$5=$E$5:$AH$5))</f>
        <v>527.53689387786915</v>
      </c>
      <c r="AW21" s="15" cm="1">
        <f t="array" aca="1" ref="AW21" ca="1">SUMPRODUCT(($E21:$AH21)*(AW$5=$E$5:$AH$5))</f>
        <v>549.28650215557798</v>
      </c>
    </row>
    <row r="22" spans="1:49" outlineLevel="1" x14ac:dyDescent="0.25">
      <c r="C22" s="1" t="s">
        <v>2</v>
      </c>
      <c r="D22" s="1"/>
      <c r="E22" s="56">
        <f>Expense!E92</f>
        <v>78.002943362859909</v>
      </c>
      <c r="F22" s="56">
        <f>Expense!F92</f>
        <v>64.085807782968942</v>
      </c>
      <c r="G22" s="56">
        <f>Expense!G92</f>
        <v>61.966186305637571</v>
      </c>
      <c r="H22" s="56">
        <f>Expense!H92</f>
        <v>67.487677176616089</v>
      </c>
      <c r="I22" s="56">
        <f>Expense!I92</f>
        <v>67.090846570492602</v>
      </c>
      <c r="J22" s="56">
        <f>Expense!J92</f>
        <v>87.584489438524884</v>
      </c>
      <c r="K22" s="56">
        <f>Expense!K92</f>
        <v>82.027943102216</v>
      </c>
      <c r="L22" s="56">
        <f>Expense!L92</f>
        <v>67.258055552522038</v>
      </c>
      <c r="M22" s="56">
        <f>Expense!M92</f>
        <v>68.632084017431595</v>
      </c>
      <c r="N22" s="56">
        <f>Expense!N92</f>
        <v>93.033733907086514</v>
      </c>
      <c r="O22" s="56">
        <f>Expense!O92</f>
        <v>94.356930566961978</v>
      </c>
      <c r="P22" s="34">
        <f>Expense!P92</f>
        <v>105.60678391211108</v>
      </c>
      <c r="Q22" s="33">
        <f>Expense!Q92</f>
        <v>85.376568978281711</v>
      </c>
      <c r="R22" s="33">
        <f>Expense!R92</f>
        <v>68.764869411254736</v>
      </c>
      <c r="S22" s="33">
        <f>Expense!S92</f>
        <v>67.492300203329151</v>
      </c>
      <c r="T22" s="33">
        <f>Expense!T92</f>
        <v>73.785287135115567</v>
      </c>
      <c r="U22" s="33">
        <f>Expense!U92</f>
        <v>72.352488235405929</v>
      </c>
      <c r="V22" s="33">
        <f>Expense!V92</f>
        <v>99.659283659044078</v>
      </c>
      <c r="W22" s="33">
        <f>Expense!W92</f>
        <v>83.415097562259376</v>
      </c>
      <c r="X22" s="33">
        <f>Expense!X92</f>
        <v>69.382697693512426</v>
      </c>
      <c r="Y22" s="33">
        <f>Expense!Y92</f>
        <v>71.267884936351095</v>
      </c>
      <c r="Z22" s="33">
        <f>Expense!Z92</f>
        <v>102.7163017613792</v>
      </c>
      <c r="AA22" s="33">
        <f>Expense!AA92</f>
        <v>95.823459817637513</v>
      </c>
      <c r="AB22" s="33">
        <f>Expense!AB92</f>
        <v>110.3102224957849</v>
      </c>
      <c r="AC22" s="33">
        <f>Expense!AC92</f>
        <v>88.916563727579685</v>
      </c>
      <c r="AD22" s="33">
        <f>Expense!AD92</f>
        <v>71.582691559870852</v>
      </c>
      <c r="AE22" s="33">
        <f>Expense!AE92</f>
        <v>70.228341969320056</v>
      </c>
      <c r="AF22" s="33">
        <f>Expense!AF92</f>
        <v>76.790033408634301</v>
      </c>
      <c r="AG22" s="33">
        <f>Expense!AG92</f>
        <v>75.296079757309982</v>
      </c>
      <c r="AH22" s="33">
        <f>Expense!AH92</f>
        <v>103.83117036419695</v>
      </c>
      <c r="AJ22" s="15" cm="1">
        <f t="array" aca="1" ref="AJ22" ca="1">SUMPRODUCT(($E22:$AH22)*(AJ$3=$E$3:$AH$3)*(AJ$4=$E$4:$AH$4)*(AJ$5=$E$5:$AH$5)*(AJ$6=$E$6:$AH$6))</f>
        <v>204.0549374514664</v>
      </c>
      <c r="AK22" s="15" cm="1">
        <f t="array" aca="1" ref="AK22" ca="1">SUMPRODUCT(($E22:$AH22)*(AK$3=$E$3:$AH$3)*(AK$4=$E$4:$AH$4)*(AK$5=$E$5:$AH$5)*(AK$6=$E$6:$AH$6))</f>
        <v>222.16301318563359</v>
      </c>
      <c r="AL22" s="15" cm="1">
        <f t="array" aca="1" ref="AL22" ca="1">SUMPRODUCT(($E22:$AH22)*(AL$3=$E$3:$AH$3)*(AL$4=$E$4:$AH$4)*(AL$5=$E$5:$AH$5)*(AL$6=$E$6:$AH$6))</f>
        <v>217.91808267216962</v>
      </c>
      <c r="AM22" s="16" cm="1">
        <f t="array" aca="1" ref="AM22" ca="1">SUMPRODUCT(($E22:$AH22)*(AM$3=$E$3:$AH$3)*(AM$4=$E$4:$AH$4)*(AM$5=$E$5:$AH$5)*(AM$6=$E$6:$AH$6))</f>
        <v>292.99744838615959</v>
      </c>
      <c r="AN22" s="15" cm="1">
        <f t="array" aca="1" ref="AN22" ca="1">SUMPRODUCT(($E22:$AH22)*(AN$3=$E$3:$AH$3)*(AN$4=$E$4:$AH$4)*(AN$5=$E$5:$AH$5)*(AN$6=$E$6:$AH$6))</f>
        <v>221.6337385928656</v>
      </c>
      <c r="AO22" s="15" cm="1">
        <f t="array" aca="1" ref="AO22" ca="1">SUMPRODUCT(($E22:$AH22)*(AO$3=$E$3:$AH$3)*(AO$4=$E$4:$AH$4)*(AO$5=$E$5:$AH$5)*(AO$6=$E$6:$AH$6))</f>
        <v>245.79705902956556</v>
      </c>
      <c r="AP22" s="15" cm="1">
        <f t="array" aca="1" ref="AP22" ca="1">SUMPRODUCT(($E22:$AH22)*(AP$3=$E$3:$AH$3)*(AP$4=$E$4:$AH$4)*(AP$5=$E$5:$AH$5)*(AP$6=$E$6:$AH$6))</f>
        <v>224.0656801921229</v>
      </c>
      <c r="AQ22" s="15" cm="1">
        <f t="array" aca="1" ref="AQ22" ca="1">SUMPRODUCT(($E22:$AH22)*(AQ$3=$E$3:$AH$3)*(AQ$4=$E$4:$AH$4)*(AQ$5=$E$5:$AH$5)*(AQ$6=$E$6:$AH$6))</f>
        <v>308.84998407480163</v>
      </c>
      <c r="AR22" s="15" cm="1">
        <f t="array" aca="1" ref="AR22" ca="1">SUMPRODUCT(($E22:$AH22)*(AR$3=$E$3:$AH$3)*(AR$4=$E$4:$AH$4)*(AR$5=$E$5:$AH$5)*(AR$6=$E$6:$AH$6))</f>
        <v>230.72759725677059</v>
      </c>
      <c r="AS22" s="15" cm="1">
        <f t="array" aca="1" ref="AS22" ca="1">SUMPRODUCT(($E22:$AH22)*(AS$3=$E$3:$AH$3)*(AS$4=$E$4:$AH$4)*(AS$5=$E$5:$AH$5)*(AS$6=$E$6:$AH$6))</f>
        <v>255.91728353014122</v>
      </c>
      <c r="AU22" s="15" cm="1">
        <f t="array" aca="1" ref="AU22" ca="1">SUMPRODUCT(($E22:$AH22)*(AU$5=$E$5:$AH$5))</f>
        <v>426.21795063709999</v>
      </c>
      <c r="AV22" s="15" cm="1">
        <f t="array" aca="1" ref="AV22" ca="1">SUMPRODUCT(($E22:$AH22)*(AV$5=$E$5:$AH$5))</f>
        <v>978.34632868076039</v>
      </c>
      <c r="AW22" s="15" cm="1">
        <f t="array" aca="1" ref="AW22" ca="1">SUMPRODUCT(($E22:$AH22)*(AW$5=$E$5:$AH$5))</f>
        <v>1019.5605450538362</v>
      </c>
    </row>
    <row r="23" spans="1:49" outlineLevel="1" x14ac:dyDescent="0.25">
      <c r="C23" s="1" t="s">
        <v>3</v>
      </c>
      <c r="D23" s="1"/>
      <c r="E23" s="56">
        <f>Expense!E93</f>
        <v>35.586235859058746</v>
      </c>
      <c r="F23" s="56">
        <f>Expense!F93</f>
        <v>29.73165730264073</v>
      </c>
      <c r="G23" s="56">
        <f>Expense!G93</f>
        <v>28.603757117710831</v>
      </c>
      <c r="H23" s="56">
        <f>Expense!H93</f>
        <v>31.050960125152706</v>
      </c>
      <c r="I23" s="56">
        <f>Expense!I93</f>
        <v>31.030377855780717</v>
      </c>
      <c r="J23" s="56">
        <f>Expense!J93</f>
        <v>40.296364191434137</v>
      </c>
      <c r="K23" s="56">
        <f>Expense!K93</f>
        <v>37.99330261526535</v>
      </c>
      <c r="L23" s="56">
        <f>Expense!L93</f>
        <v>31.123118337190107</v>
      </c>
      <c r="M23" s="56">
        <f>Expense!M93</f>
        <v>30.677309984953109</v>
      </c>
      <c r="N23" s="56">
        <f>Expense!N93</f>
        <v>44.125744495824058</v>
      </c>
      <c r="O23" s="56">
        <f>Expense!O93</f>
        <v>43.078912032352292</v>
      </c>
      <c r="P23" s="34">
        <f>Expense!P93</f>
        <v>48.326671922446479</v>
      </c>
      <c r="Q23" s="33">
        <f>Expense!Q93</f>
        <v>38.950206101388545</v>
      </c>
      <c r="R23" s="33">
        <f>Expense!R93</f>
        <v>31.902438348285912</v>
      </c>
      <c r="S23" s="33">
        <f>Expense!S93</f>
        <v>31.154626053790501</v>
      </c>
      <c r="T23" s="33">
        <f>Expense!T93</f>
        <v>33.94847925584353</v>
      </c>
      <c r="U23" s="33">
        <f>Expense!U93</f>
        <v>33.463954675122693</v>
      </c>
      <c r="V23" s="33">
        <f>Expense!V93</f>
        <v>45.851803385815543</v>
      </c>
      <c r="W23" s="33">
        <f>Expense!W93</f>
        <v>38.635798052568582</v>
      </c>
      <c r="X23" s="33">
        <f>Expense!X93</f>
        <v>32.106279212642228</v>
      </c>
      <c r="Y23" s="33">
        <f>Expense!Y93</f>
        <v>31.855465697488089</v>
      </c>
      <c r="Z23" s="33">
        <f>Expense!Z93</f>
        <v>48.718170245699874</v>
      </c>
      <c r="AA23" s="33">
        <f>Expense!AA93</f>
        <v>43.748459930986918</v>
      </c>
      <c r="AB23" s="33">
        <f>Expense!AB93</f>
        <v>50.4790102942858</v>
      </c>
      <c r="AC23" s="33">
        <f>Expense!AC93</f>
        <v>40.565210390423218</v>
      </c>
      <c r="AD23" s="33">
        <f>Expense!AD93</f>
        <v>33.209725021587545</v>
      </c>
      <c r="AE23" s="33">
        <f>Expense!AE93</f>
        <v>32.417590241263767</v>
      </c>
      <c r="AF23" s="33">
        <f>Expense!AF93</f>
        <v>35.330957667140211</v>
      </c>
      <c r="AG23" s="33">
        <f>Expense!AG93</f>
        <v>34.825403544034842</v>
      </c>
      <c r="AH23" s="33">
        <f>Expense!AH93</f>
        <v>47.771228470256318</v>
      </c>
      <c r="AJ23" s="15" cm="1">
        <f t="array" aca="1" ref="AJ23" ca="1">SUMPRODUCT(($E23:$AH23)*(AJ$3=$E$3:$AH$3)*(AJ$4=$E$4:$AH$4)*(AJ$5=$E$5:$AH$5)*(AJ$6=$E$6:$AH$6))</f>
        <v>93.921650279410301</v>
      </c>
      <c r="AK23" s="15" cm="1">
        <f t="array" aca="1" ref="AK23" ca="1">SUMPRODUCT(($E23:$AH23)*(AK$3=$E$3:$AH$3)*(AK$4=$E$4:$AH$4)*(AK$5=$E$5:$AH$5)*(AK$6=$E$6:$AH$6))</f>
        <v>102.37770217236756</v>
      </c>
      <c r="AL23" s="15" cm="1">
        <f t="array" aca="1" ref="AL23" ca="1">SUMPRODUCT(($E23:$AH23)*(AL$3=$E$3:$AH$3)*(AL$4=$E$4:$AH$4)*(AL$5=$E$5:$AH$5)*(AL$6=$E$6:$AH$6))</f>
        <v>99.793730937408569</v>
      </c>
      <c r="AM23" s="16" cm="1">
        <f t="array" aca="1" ref="AM23" ca="1">SUMPRODUCT(($E23:$AH23)*(AM$3=$E$3:$AH$3)*(AM$4=$E$4:$AH$4)*(AM$5=$E$5:$AH$5)*(AM$6=$E$6:$AH$6))</f>
        <v>135.53132845062282</v>
      </c>
      <c r="AN23" s="15" cm="1">
        <f t="array" aca="1" ref="AN23" ca="1">SUMPRODUCT(($E23:$AH23)*(AN$3=$E$3:$AH$3)*(AN$4=$E$4:$AH$4)*(AN$5=$E$5:$AH$5)*(AN$6=$E$6:$AH$6))</f>
        <v>102.00727050346495</v>
      </c>
      <c r="AO23" s="15" cm="1">
        <f t="array" aca="1" ref="AO23" ca="1">SUMPRODUCT(($E23:$AH23)*(AO$3=$E$3:$AH$3)*(AO$4=$E$4:$AH$4)*(AO$5=$E$5:$AH$5)*(AO$6=$E$6:$AH$6))</f>
        <v>113.26423731678176</v>
      </c>
      <c r="AP23" s="15" cm="1">
        <f t="array" aca="1" ref="AP23" ca="1">SUMPRODUCT(($E23:$AH23)*(AP$3=$E$3:$AH$3)*(AP$4=$E$4:$AH$4)*(AP$5=$E$5:$AH$5)*(AP$6=$E$6:$AH$6))</f>
        <v>102.5975429626989</v>
      </c>
      <c r="AQ23" s="15" cm="1">
        <f t="array" aca="1" ref="AQ23" ca="1">SUMPRODUCT(($E23:$AH23)*(AQ$3=$E$3:$AH$3)*(AQ$4=$E$4:$AH$4)*(AQ$5=$E$5:$AH$5)*(AQ$6=$E$6:$AH$6))</f>
        <v>142.94564047097259</v>
      </c>
      <c r="AR23" s="15" cm="1">
        <f t="array" aca="1" ref="AR23" ca="1">SUMPRODUCT(($E23:$AH23)*(AR$3=$E$3:$AH$3)*(AR$4=$E$4:$AH$4)*(AR$5=$E$5:$AH$5)*(AR$6=$E$6:$AH$6))</f>
        <v>106.19252565327453</v>
      </c>
      <c r="AS23" s="15" cm="1">
        <f t="array" aca="1" ref="AS23" ca="1">SUMPRODUCT(($E23:$AH23)*(AS$3=$E$3:$AH$3)*(AS$4=$E$4:$AH$4)*(AS$5=$E$5:$AH$5)*(AS$6=$E$6:$AH$6))</f>
        <v>117.92758968143137</v>
      </c>
      <c r="AU23" s="15" cm="1">
        <f t="array" aca="1" ref="AU23" ca="1">SUMPRODUCT(($E23:$AH23)*(AU$5=$E$5:$AH$5))</f>
        <v>196.29935245177785</v>
      </c>
      <c r="AV23" s="15" cm="1">
        <f t="array" aca="1" ref="AV23" ca="1">SUMPRODUCT(($E23:$AH23)*(AV$5=$E$5:$AH$5))</f>
        <v>450.59656720827809</v>
      </c>
      <c r="AW23" s="15" cm="1">
        <f t="array" aca="1" ref="AW23" ca="1">SUMPRODUCT(($E23:$AH23)*(AW$5=$E$5:$AH$5))</f>
        <v>469.66329876837733</v>
      </c>
    </row>
    <row r="24" spans="1:49" outlineLevel="1" x14ac:dyDescent="0.25">
      <c r="C24" s="1" t="s">
        <v>4</v>
      </c>
      <c r="D24" s="1"/>
      <c r="E24" s="56">
        <f>Expense!E94</f>
        <v>15.64230147650934</v>
      </c>
      <c r="F24" s="56">
        <f>Expense!F94</f>
        <v>16.411218382322392</v>
      </c>
      <c r="G24" s="56">
        <f>Expense!G94</f>
        <v>15.517408924617088</v>
      </c>
      <c r="H24" s="56">
        <f>Expense!H94</f>
        <v>12.428669829947715</v>
      </c>
      <c r="I24" s="56">
        <f>Expense!I94</f>
        <v>13.781070846386701</v>
      </c>
      <c r="J24" s="56">
        <f>Expense!J94</f>
        <v>13.233617140044052</v>
      </c>
      <c r="K24" s="56">
        <f>Expense!K94</f>
        <v>16.11023432449414</v>
      </c>
      <c r="L24" s="56">
        <f>Expense!L94</f>
        <v>16.613764236934223</v>
      </c>
      <c r="M24" s="56">
        <f>Expense!M94</f>
        <v>16.79414780198163</v>
      </c>
      <c r="N24" s="56">
        <f>Expense!N94</f>
        <v>17.60335551695109</v>
      </c>
      <c r="O24" s="56">
        <f>Expense!O94</f>
        <v>20.161737300632897</v>
      </c>
      <c r="P24" s="34">
        <f>Expense!P94</f>
        <v>16.428330398565375</v>
      </c>
      <c r="Q24" s="33">
        <f>Expense!Q94</f>
        <v>17.120969714896066</v>
      </c>
      <c r="R24" s="33">
        <f>Expense!R94</f>
        <v>17.609441590590201</v>
      </c>
      <c r="S24" s="33">
        <f>Expense!S94</f>
        <v>16.901243790483093</v>
      </c>
      <c r="T24" s="33">
        <f>Expense!T94</f>
        <v>13.588450669450379</v>
      </c>
      <c r="U24" s="33">
        <f>Expense!U94</f>
        <v>14.861859959343906</v>
      </c>
      <c r="V24" s="33">
        <f>Expense!V94</f>
        <v>15.058063509299028</v>
      </c>
      <c r="W24" s="33">
        <f>Expense!W94</f>
        <v>16.382670552325902</v>
      </c>
      <c r="X24" s="33">
        <f>Expense!X94</f>
        <v>17.138583209595495</v>
      </c>
      <c r="Y24" s="33">
        <f>Expense!Y94</f>
        <v>17.439123557019027</v>
      </c>
      <c r="Z24" s="33">
        <f>Expense!Z94</f>
        <v>19.435440257593037</v>
      </c>
      <c r="AA24" s="33">
        <f>Expense!AA94</f>
        <v>20.475098251631945</v>
      </c>
      <c r="AB24" s="33">
        <f>Expense!AB94</f>
        <v>17.160003499473927</v>
      </c>
      <c r="AC24" s="33">
        <f>Expense!AC94</f>
        <v>17.830861710076142</v>
      </c>
      <c r="AD24" s="33">
        <f>Expense!AD94</f>
        <v>18.331034970517504</v>
      </c>
      <c r="AE24" s="33">
        <f>Expense!AE94</f>
        <v>17.586396152584321</v>
      </c>
      <c r="AF24" s="33">
        <f>Expense!AF94</f>
        <v>14.141810940816629</v>
      </c>
      <c r="AG24" s="33">
        <f>Expense!AG94</f>
        <v>15.466500463672025</v>
      </c>
      <c r="AH24" s="33">
        <f>Expense!AH94</f>
        <v>15.68841657479682</v>
      </c>
      <c r="AJ24" s="15" cm="1">
        <f t="array" aca="1" ref="AJ24" ca="1">SUMPRODUCT(($E24:$AH24)*(AJ$3=$E$3:$AH$3)*(AJ$4=$E$4:$AH$4)*(AJ$5=$E$5:$AH$5)*(AJ$6=$E$6:$AH$6))</f>
        <v>47.570928783448821</v>
      </c>
      <c r="AK24" s="15" cm="1">
        <f t="array" aca="1" ref="AK24" ca="1">SUMPRODUCT(($E24:$AH24)*(AK$3=$E$3:$AH$3)*(AK$4=$E$4:$AH$4)*(AK$5=$E$5:$AH$5)*(AK$6=$E$6:$AH$6))</f>
        <v>39.443357816378466</v>
      </c>
      <c r="AL24" s="15" cm="1">
        <f t="array" aca="1" ref="AL24" ca="1">SUMPRODUCT(($E24:$AH24)*(AL$3=$E$3:$AH$3)*(AL$4=$E$4:$AH$4)*(AL$5=$E$5:$AH$5)*(AL$6=$E$6:$AH$6))</f>
        <v>49.51814636340999</v>
      </c>
      <c r="AM24" s="16" cm="1">
        <f t="array" aca="1" ref="AM24" ca="1">SUMPRODUCT(($E24:$AH24)*(AM$3=$E$3:$AH$3)*(AM$4=$E$4:$AH$4)*(AM$5=$E$5:$AH$5)*(AM$6=$E$6:$AH$6))</f>
        <v>54.19342321614937</v>
      </c>
      <c r="AN24" s="15" cm="1">
        <f t="array" aca="1" ref="AN24" ca="1">SUMPRODUCT(($E24:$AH24)*(AN$3=$E$3:$AH$3)*(AN$4=$E$4:$AH$4)*(AN$5=$E$5:$AH$5)*(AN$6=$E$6:$AH$6))</f>
        <v>51.631655095969364</v>
      </c>
      <c r="AO24" s="15" cm="1">
        <f t="array" aca="1" ref="AO24" ca="1">SUMPRODUCT(($E24:$AH24)*(AO$3=$E$3:$AH$3)*(AO$4=$E$4:$AH$4)*(AO$5=$E$5:$AH$5)*(AO$6=$E$6:$AH$6))</f>
        <v>43.508374138093316</v>
      </c>
      <c r="AP24" s="15" cm="1">
        <f t="array" aca="1" ref="AP24" ca="1">SUMPRODUCT(($E24:$AH24)*(AP$3=$E$3:$AH$3)*(AP$4=$E$4:$AH$4)*(AP$5=$E$5:$AH$5)*(AP$6=$E$6:$AH$6))</f>
        <v>50.960377318940431</v>
      </c>
      <c r="AQ24" s="15" cm="1">
        <f t="array" aca="1" ref="AQ24" ca="1">SUMPRODUCT(($E24:$AH24)*(AQ$3=$E$3:$AH$3)*(AQ$4=$E$4:$AH$4)*(AQ$5=$E$5:$AH$5)*(AQ$6=$E$6:$AH$6))</f>
        <v>57.070542008698908</v>
      </c>
      <c r="AR24" s="15" cm="1">
        <f t="array" aca="1" ref="AR24" ca="1">SUMPRODUCT(($E24:$AH24)*(AR$3=$E$3:$AH$3)*(AR$4=$E$4:$AH$4)*(AR$5=$E$5:$AH$5)*(AR$6=$E$6:$AH$6))</f>
        <v>53.748292833177963</v>
      </c>
      <c r="AS24" s="15" cm="1">
        <f t="array" aca="1" ref="AS24" ca="1">SUMPRODUCT(($E24:$AH24)*(AS$3=$E$3:$AH$3)*(AS$4=$E$4:$AH$4)*(AS$5=$E$5:$AH$5)*(AS$6=$E$6:$AH$6))</f>
        <v>45.296727979285471</v>
      </c>
      <c r="AU24" s="15" cm="1">
        <f t="array" aca="1" ref="AU24" ca="1">SUMPRODUCT(($E24:$AH24)*(AU$5=$E$5:$AH$5))</f>
        <v>87.014286599827287</v>
      </c>
      <c r="AV24" s="15" cm="1">
        <f t="array" aca="1" ref="AV24" ca="1">SUMPRODUCT(($E24:$AH24)*(AV$5=$E$5:$AH$5))</f>
        <v>198.85159881362199</v>
      </c>
      <c r="AW24" s="15" cm="1">
        <f t="array" aca="1" ref="AW24" ca="1">SUMPRODUCT(($E24:$AH24)*(AW$5=$E$5:$AH$5))</f>
        <v>207.07594014010277</v>
      </c>
    </row>
    <row r="25" spans="1:49" outlineLevel="1" x14ac:dyDescent="0.25">
      <c r="C25" s="1" t="s">
        <v>5</v>
      </c>
      <c r="D25" s="1"/>
      <c r="E25" s="56">
        <f>Expense!E95</f>
        <v>0.96460859105140939</v>
      </c>
      <c r="F25" s="56">
        <f>Expense!F95</f>
        <v>0.73850482720450772</v>
      </c>
      <c r="G25" s="56">
        <f>Expense!G95</f>
        <v>0.67242105340007385</v>
      </c>
      <c r="H25" s="56">
        <f>Expense!H95</f>
        <v>0.70429129036370386</v>
      </c>
      <c r="I25" s="56">
        <f>Expense!I95</f>
        <v>0.80389579937255751</v>
      </c>
      <c r="J25" s="56">
        <f>Expense!J95</f>
        <v>1.1028014283370042</v>
      </c>
      <c r="K25" s="56">
        <f>Expense!K95</f>
        <v>0.99346445001047212</v>
      </c>
      <c r="L25" s="56">
        <f>Expense!L95</f>
        <v>0.74761939066203997</v>
      </c>
      <c r="M25" s="56">
        <f>Expense!M95</f>
        <v>0.72774640475253727</v>
      </c>
      <c r="N25" s="56">
        <f>Expense!N95</f>
        <v>0.99752347929389495</v>
      </c>
      <c r="O25" s="56">
        <f>Expense!O95</f>
        <v>1.1761013425369191</v>
      </c>
      <c r="P25" s="34">
        <f>Expense!P95</f>
        <v>1.3690275332137813</v>
      </c>
      <c r="Q25" s="33">
        <f>Expense!Q95</f>
        <v>1.0557931324185907</v>
      </c>
      <c r="R25" s="33">
        <f>Expense!R95</f>
        <v>0.79242487157655916</v>
      </c>
      <c r="S25" s="33">
        <f>Expense!S95</f>
        <v>0.73238723092093405</v>
      </c>
      <c r="T25" s="33">
        <f>Expense!T95</f>
        <v>0.77001220460218822</v>
      </c>
      <c r="U25" s="33">
        <f>Expense!U95</f>
        <v>0.86694183096172783</v>
      </c>
      <c r="V25" s="33">
        <f>Expense!V95</f>
        <v>1.2548386257749191</v>
      </c>
      <c r="W25" s="33">
        <f>Expense!W95</f>
        <v>1.0102646840600973</v>
      </c>
      <c r="X25" s="33">
        <f>Expense!X95</f>
        <v>0.77123624443179717</v>
      </c>
      <c r="Y25" s="33">
        <f>Expense!Y95</f>
        <v>0.75569535413749123</v>
      </c>
      <c r="Z25" s="33">
        <f>Expense!Z95</f>
        <v>1.1013416145969386</v>
      </c>
      <c r="AA25" s="33">
        <f>Expense!AA95</f>
        <v>1.1943807313451968</v>
      </c>
      <c r="AB25" s="33">
        <f>Expense!AB95</f>
        <v>1.4300002916228274</v>
      </c>
      <c r="AC25" s="33">
        <f>Expense!AC95</f>
        <v>1.0995698054546954</v>
      </c>
      <c r="AD25" s="33">
        <f>Expense!AD95</f>
        <v>0.82489657367328773</v>
      </c>
      <c r="AE25" s="33">
        <f>Expense!AE95</f>
        <v>0.76207716661198732</v>
      </c>
      <c r="AF25" s="33">
        <f>Expense!AF95</f>
        <v>0.80136928664627571</v>
      </c>
      <c r="AG25" s="33">
        <f>Expense!AG95</f>
        <v>0.90221252704753485</v>
      </c>
      <c r="AH25" s="33">
        <f>Expense!AH95</f>
        <v>1.3073680478997349</v>
      </c>
      <c r="AJ25" s="15" cm="1">
        <f t="array" aca="1" ref="AJ25" ca="1">SUMPRODUCT(($E25:$AH25)*(AJ$3=$E$3:$AH$3)*(AJ$4=$E$4:$AH$4)*(AJ$5=$E$5:$AH$5)*(AJ$6=$E$6:$AH$6))</f>
        <v>2.3755344716559907</v>
      </c>
      <c r="AK25" s="15" cm="1">
        <f t="array" aca="1" ref="AK25" ca="1">SUMPRODUCT(($E25:$AH25)*(AK$3=$E$3:$AH$3)*(AK$4=$E$4:$AH$4)*(AK$5=$E$5:$AH$5)*(AK$6=$E$6:$AH$6))</f>
        <v>2.6109885180732659</v>
      </c>
      <c r="AL25" s="15" cm="1">
        <f t="array" aca="1" ref="AL25" ca="1">SUMPRODUCT(($E25:$AH25)*(AL$3=$E$3:$AH$3)*(AL$4=$E$4:$AH$4)*(AL$5=$E$5:$AH$5)*(AL$6=$E$6:$AH$6))</f>
        <v>2.4688302454250497</v>
      </c>
      <c r="AM25" s="16" cm="1">
        <f t="array" aca="1" ref="AM25" ca="1">SUMPRODUCT(($E25:$AH25)*(AM$3=$E$3:$AH$3)*(AM$4=$E$4:$AH$4)*(AM$5=$E$5:$AH$5)*(AM$6=$E$6:$AH$6))</f>
        <v>3.5426523550445959</v>
      </c>
      <c r="AN25" s="15" cm="1">
        <f t="array" aca="1" ref="AN25" ca="1">SUMPRODUCT(($E25:$AH25)*(AN$3=$E$3:$AH$3)*(AN$4=$E$4:$AH$4)*(AN$5=$E$5:$AH$5)*(AN$6=$E$6:$AH$6))</f>
        <v>2.5806052349160842</v>
      </c>
      <c r="AO25" s="15" cm="1">
        <f t="array" aca="1" ref="AO25" ca="1">SUMPRODUCT(($E25:$AH25)*(AO$3=$E$3:$AH$3)*(AO$4=$E$4:$AH$4)*(AO$5=$E$5:$AH$5)*(AO$6=$E$6:$AH$6))</f>
        <v>2.8917926613388349</v>
      </c>
      <c r="AP25" s="15" cm="1">
        <f t="array" aca="1" ref="AP25" ca="1">SUMPRODUCT(($E25:$AH25)*(AP$3=$E$3:$AH$3)*(AP$4=$E$4:$AH$4)*(AP$5=$E$5:$AH$5)*(AP$6=$E$6:$AH$6))</f>
        <v>2.5371962826293855</v>
      </c>
      <c r="AQ25" s="15" cm="1">
        <f t="array" aca="1" ref="AQ25" ca="1">SUMPRODUCT(($E25:$AH25)*(AQ$3=$E$3:$AH$3)*(AQ$4=$E$4:$AH$4)*(AQ$5=$E$5:$AH$5)*(AQ$6=$E$6:$AH$6))</f>
        <v>3.7257226375649628</v>
      </c>
      <c r="AR25" s="15" cm="1">
        <f t="array" aca="1" ref="AR25" ca="1">SUMPRODUCT(($E25:$AH25)*(AR$3=$E$3:$AH$3)*(AR$4=$E$4:$AH$4)*(AR$5=$E$5:$AH$5)*(AR$6=$E$6:$AH$6))</f>
        <v>2.6865435457399705</v>
      </c>
      <c r="AS25" s="15" cm="1">
        <f t="array" aca="1" ref="AS25" ca="1">SUMPRODUCT(($E25:$AH25)*(AS$3=$E$3:$AH$3)*(AS$4=$E$4:$AH$4)*(AS$5=$E$5:$AH$5)*(AS$6=$E$6:$AH$6))</f>
        <v>3.0109498615935455</v>
      </c>
      <c r="AU25" s="15" cm="1">
        <f t="array" aca="1" ref="AU25" ca="1">SUMPRODUCT(($E25:$AH25)*(AU$5=$E$5:$AH$5))</f>
        <v>4.9865229897292567</v>
      </c>
      <c r="AV25" s="15" cm="1">
        <f t="array" aca="1" ref="AV25" ca="1">SUMPRODUCT(($E25:$AH25)*(AV$5=$E$5:$AH$5))</f>
        <v>11.483880496724566</v>
      </c>
      <c r="AW25" s="15" cm="1">
        <f t="array" aca="1" ref="AW25" ca="1">SUMPRODUCT(($E25:$AH25)*(AW$5=$E$5:$AH$5))</f>
        <v>11.960412327527864</v>
      </c>
    </row>
    <row r="26" spans="1:49" outlineLevel="1" x14ac:dyDescent="0.25">
      <c r="C26" s="23" t="s">
        <v>6</v>
      </c>
      <c r="D26" s="23"/>
      <c r="E26" s="74">
        <f>Expense!E96</f>
        <v>1.4338776353466893</v>
      </c>
      <c r="F26" s="74">
        <f>Expense!F96</f>
        <v>1.0940812254881593</v>
      </c>
      <c r="G26" s="74">
        <f>Expense!G96</f>
        <v>1.1638056693462815</v>
      </c>
      <c r="H26" s="74">
        <f>Expense!H96</f>
        <v>1.222152533278192</v>
      </c>
      <c r="I26" s="74">
        <f>Expense!I96</f>
        <v>1.1713910219428696</v>
      </c>
      <c r="J26" s="74">
        <f>Expense!J96</f>
        <v>1.4115858282713656</v>
      </c>
      <c r="K26" s="74">
        <f>Expense!K96</f>
        <v>1.6378738229902376</v>
      </c>
      <c r="L26" s="74">
        <f>Expense!L96</f>
        <v>1.2737219248316236</v>
      </c>
      <c r="M26" s="74">
        <f>Expense!M96</f>
        <v>1.3155415778218944</v>
      </c>
      <c r="N26" s="74">
        <f>Expense!N96</f>
        <v>1.584301996525598</v>
      </c>
      <c r="O26" s="74">
        <f>Expense!O96</f>
        <v>1.4449245065453575</v>
      </c>
      <c r="P26" s="75">
        <f>Expense!P96</f>
        <v>1.4785497358708837</v>
      </c>
      <c r="Q26" s="74">
        <f>Expense!Q96</f>
        <v>1.5694222238654725</v>
      </c>
      <c r="R26" s="74">
        <f>Expense!R96</f>
        <v>1.1739627727060133</v>
      </c>
      <c r="S26" s="74">
        <f>Expense!S96</f>
        <v>1.2675932842862319</v>
      </c>
      <c r="T26" s="74">
        <f>Expense!T96</f>
        <v>1.3361976491626208</v>
      </c>
      <c r="U26" s="74">
        <f>Expense!U96</f>
        <v>1.2632580965442322</v>
      </c>
      <c r="V26" s="74">
        <f>Expense!V96</f>
        <v>1.6061934409918963</v>
      </c>
      <c r="W26" s="74">
        <f>Expense!W96</f>
        <v>1.6655715061531333</v>
      </c>
      <c r="X26" s="74">
        <f>Expense!X96</f>
        <v>1.3139580460689877</v>
      </c>
      <c r="Y26" s="74">
        <f>Expense!Y96</f>
        <v>1.3660646786331572</v>
      </c>
      <c r="Z26" s="74">
        <f>Expense!Z96</f>
        <v>1.7491896231833732</v>
      </c>
      <c r="AA26" s="74">
        <f>Expense!AA96</f>
        <v>1.4673820413669558</v>
      </c>
      <c r="AB26" s="74">
        <f>Expense!AB96</f>
        <v>1.5444003149526535</v>
      </c>
      <c r="AC26" s="74">
        <f>Expense!AC96</f>
        <v>1.6344956567569795</v>
      </c>
      <c r="AD26" s="74">
        <f>Expense!AD96</f>
        <v>1.2220689980345001</v>
      </c>
      <c r="AE26" s="74">
        <f>Expense!AE96</f>
        <v>1.318979711443824</v>
      </c>
      <c r="AF26" s="74">
        <f>Expense!AF96</f>
        <v>1.3906114091803019</v>
      </c>
      <c r="AG26" s="74">
        <f>Expense!AG96</f>
        <v>1.3146525394121222</v>
      </c>
      <c r="AH26" s="74">
        <f>Expense!AH96</f>
        <v>1.673431101311661</v>
      </c>
      <c r="AJ26" s="29" cm="1">
        <f t="array" aca="1" ref="AJ26" ca="1">SUMPRODUCT(($E26:$AH26)*(AJ$3=$E$3:$AH$3)*(AJ$4=$E$4:$AH$4)*(AJ$5=$E$5:$AH$5)*(AJ$6=$E$6:$AH$6))</f>
        <v>3.6917645301811302</v>
      </c>
      <c r="AK26" s="29" cm="1">
        <f t="array" aca="1" ref="AK26" ca="1">SUMPRODUCT(($E26:$AH26)*(AK$3=$E$3:$AH$3)*(AK$4=$E$4:$AH$4)*(AK$5=$E$5:$AH$5)*(AK$6=$E$6:$AH$6))</f>
        <v>3.8051293834924271</v>
      </c>
      <c r="AL26" s="29" cm="1">
        <f t="array" aca="1" ref="AL26" ca="1">SUMPRODUCT(($E26:$AH26)*(AL$3=$E$3:$AH$3)*(AL$4=$E$4:$AH$4)*(AL$5=$E$5:$AH$5)*(AL$6=$E$6:$AH$6))</f>
        <v>4.2271373256437563</v>
      </c>
      <c r="AM26" s="240" cm="1">
        <f t="array" aca="1" ref="AM26" ca="1">SUMPRODUCT(($E26:$AH26)*(AM$3=$E$3:$AH$3)*(AM$4=$E$4:$AH$4)*(AM$5=$E$5:$AH$5)*(AM$6=$E$6:$AH$6))</f>
        <v>4.5077762389418394</v>
      </c>
      <c r="AN26" s="29" cm="1">
        <f t="array" aca="1" ref="AN26" ca="1">SUMPRODUCT(($E26:$AH26)*(AN$3=$E$3:$AH$3)*(AN$4=$E$4:$AH$4)*(AN$5=$E$5:$AH$5)*(AN$6=$E$6:$AH$6))</f>
        <v>4.0109782808577172</v>
      </c>
      <c r="AO26" s="29" cm="1">
        <f t="array" aca="1" ref="AO26" ca="1">SUMPRODUCT(($E26:$AH26)*(AO$3=$E$3:$AH$3)*(AO$4=$E$4:$AH$4)*(AO$5=$E$5:$AH$5)*(AO$6=$E$6:$AH$6))</f>
        <v>4.2056491866987491</v>
      </c>
      <c r="AP26" s="29" cm="1">
        <f t="array" aca="1" ref="AP26" ca="1">SUMPRODUCT(($E26:$AH26)*(AP$3=$E$3:$AH$3)*(AP$4=$E$4:$AH$4)*(AP$5=$E$5:$AH$5)*(AP$6=$E$6:$AH$6))</f>
        <v>4.3455942308552782</v>
      </c>
      <c r="AQ26" s="29" cm="1">
        <f t="array" aca="1" ref="AQ26" ca="1">SUMPRODUCT(($E26:$AH26)*(AQ$3=$E$3:$AH$3)*(AQ$4=$E$4:$AH$4)*(AQ$5=$E$5:$AH$5)*(AQ$6=$E$6:$AH$6))</f>
        <v>4.7609719795029823</v>
      </c>
      <c r="AR26" s="29" cm="1">
        <f t="array" aca="1" ref="AR26" ca="1">SUMPRODUCT(($E26:$AH26)*(AR$3=$E$3:$AH$3)*(AR$4=$E$4:$AH$4)*(AR$5=$E$5:$AH$5)*(AR$6=$E$6:$AH$6))</f>
        <v>4.1755443662353038</v>
      </c>
      <c r="AS26" s="29" cm="1">
        <f t="array" aca="1" ref="AS26" ca="1">SUMPRODUCT(($E26:$AH26)*(AS$3=$E$3:$AH$3)*(AS$4=$E$4:$AH$4)*(AS$5=$E$5:$AH$5)*(AS$6=$E$6:$AH$6))</f>
        <v>4.3786950499040849</v>
      </c>
      <c r="AU26" s="29" cm="1">
        <f t="array" aca="1" ref="AU26" ca="1">SUMPRODUCT(($E26:$AH26)*(AU$5=$E$5:$AH$5))</f>
        <v>7.4968939136735573</v>
      </c>
      <c r="AV26" s="29" cm="1">
        <f t="array" aca="1" ref="AV26" ca="1">SUMPRODUCT(($E26:$AH26)*(AV$5=$E$5:$AH$5))</f>
        <v>16.951541032142064</v>
      </c>
      <c r="AW26" s="29" cm="1">
        <f t="array" aca="1" ref="AW26" ca="1">SUMPRODUCT(($E26:$AH26)*(AW$5=$E$5:$AH$5))</f>
        <v>17.660805626497648</v>
      </c>
    </row>
    <row r="27" spans="1:49" x14ac:dyDescent="0.25">
      <c r="A27" t="s">
        <v>231</v>
      </c>
      <c r="C27" s="25" t="s">
        <v>83</v>
      </c>
      <c r="D27" s="25"/>
      <c r="E27" s="14">
        <f>SUM(E21:E26)</f>
        <v>180.77286406352627</v>
      </c>
      <c r="F27" s="21">
        <f t="shared" ref="F27:AH27" si="12">SUM(F21:F26)</f>
        <v>160.61112390166184</v>
      </c>
      <c r="G27" s="21">
        <f t="shared" si="12"/>
        <v>145.03604874875441</v>
      </c>
      <c r="H27" s="21">
        <f t="shared" si="12"/>
        <v>145.51900925897115</v>
      </c>
      <c r="I27" s="21">
        <f t="shared" si="12"/>
        <v>145.36732897796907</v>
      </c>
      <c r="J27" s="21">
        <f t="shared" si="12"/>
        <v>176.75701293385509</v>
      </c>
      <c r="K27" s="14">
        <f t="shared" si="12"/>
        <v>190.63777283984732</v>
      </c>
      <c r="L27" s="21">
        <f t="shared" si="12"/>
        <v>166.77450333175801</v>
      </c>
      <c r="M27" s="21">
        <f t="shared" si="12"/>
        <v>158.36881377268676</v>
      </c>
      <c r="N27" s="21">
        <f t="shared" si="12"/>
        <v>203.9055347380168</v>
      </c>
      <c r="O27" s="21">
        <f t="shared" si="12"/>
        <v>205.51530888445137</v>
      </c>
      <c r="P27" s="22">
        <f t="shared" si="12"/>
        <v>213.40401187736418</v>
      </c>
      <c r="Q27" s="21">
        <f t="shared" si="12"/>
        <v>197.86134000514886</v>
      </c>
      <c r="R27" s="21">
        <f t="shared" si="12"/>
        <v>172.33773503324275</v>
      </c>
      <c r="S27" s="21">
        <f t="shared" si="12"/>
        <v>157.9702919617153</v>
      </c>
      <c r="T27" s="21">
        <f t="shared" si="12"/>
        <v>159.09810992148149</v>
      </c>
      <c r="U27" s="21">
        <f t="shared" si="12"/>
        <v>156.76785280447933</v>
      </c>
      <c r="V27" s="21">
        <f t="shared" si="12"/>
        <v>201.12553493920399</v>
      </c>
      <c r="W27" s="21">
        <f t="shared" si="12"/>
        <v>193.86160153585649</v>
      </c>
      <c r="X27" s="21">
        <f t="shared" si="12"/>
        <v>172.04281111898945</v>
      </c>
      <c r="Y27" s="21">
        <f t="shared" si="12"/>
        <v>164.45093514268945</v>
      </c>
      <c r="Z27" s="21">
        <f t="shared" si="12"/>
        <v>225.12718298378599</v>
      </c>
      <c r="AA27" s="21">
        <f t="shared" si="12"/>
        <v>208.70950151163498</v>
      </c>
      <c r="AB27" s="21">
        <f t="shared" si="12"/>
        <v>222.90844545816631</v>
      </c>
      <c r="AC27" s="21">
        <f t="shared" si="12"/>
        <v>206.06532516277991</v>
      </c>
      <c r="AD27" s="21">
        <f t="shared" si="12"/>
        <v>179.39972891146462</v>
      </c>
      <c r="AE27" s="21">
        <f t="shared" si="12"/>
        <v>164.37418270615481</v>
      </c>
      <c r="AF27" s="21">
        <f t="shared" si="12"/>
        <v>165.57703643206136</v>
      </c>
      <c r="AG27" s="21">
        <f t="shared" si="12"/>
        <v>163.14580239096708</v>
      </c>
      <c r="AH27" s="21">
        <f t="shared" si="12"/>
        <v>209.54495071736952</v>
      </c>
      <c r="AJ27" s="21">
        <f t="shared" ref="AJ27:AS27" ca="1" si="13">SUM(AJ21:AJ26)</f>
        <v>486.42003671394241</v>
      </c>
      <c r="AK27" s="21">
        <f t="shared" ca="1" si="13"/>
        <v>467.64335117079531</v>
      </c>
      <c r="AL27" s="21">
        <f t="shared" ca="1" si="13"/>
        <v>515.78108994429215</v>
      </c>
      <c r="AM27" s="22">
        <f t="shared" ca="1" si="13"/>
        <v>622.82485549983244</v>
      </c>
      <c r="AN27" s="21">
        <f t="shared" ca="1" si="13"/>
        <v>528.16936700010694</v>
      </c>
      <c r="AO27" s="21">
        <f t="shared" ca="1" si="13"/>
        <v>516.99149766516484</v>
      </c>
      <c r="AP27" s="21">
        <f t="shared" ca="1" si="13"/>
        <v>530.35534779753527</v>
      </c>
      <c r="AQ27" s="21">
        <f t="shared" ca="1" si="13"/>
        <v>656.74512995358737</v>
      </c>
      <c r="AR27" s="21">
        <f t="shared" ca="1" si="13"/>
        <v>549.83923678039923</v>
      </c>
      <c r="AS27" s="21">
        <f t="shared" ca="1" si="13"/>
        <v>538.26778954039787</v>
      </c>
      <c r="AU27" s="21">
        <f t="shared" ref="AU27:AW27" ca="1" si="14">SUM(AU21:AU26)</f>
        <v>954.06338788473772</v>
      </c>
      <c r="AV27" s="21">
        <f t="shared" ca="1" si="14"/>
        <v>2183.7668101093959</v>
      </c>
      <c r="AW27" s="21">
        <f t="shared" ca="1" si="14"/>
        <v>2275.2075040719201</v>
      </c>
    </row>
    <row r="28" spans="1:49" x14ac:dyDescent="0.25">
      <c r="P28" s="8"/>
      <c r="AM28" s="8"/>
    </row>
    <row r="29" spans="1:49" x14ac:dyDescent="0.25">
      <c r="C29" s="11" t="s">
        <v>84</v>
      </c>
      <c r="D29" s="11"/>
      <c r="P29" s="8"/>
      <c r="AM29" s="8"/>
    </row>
    <row r="30" spans="1:49" outlineLevel="1" x14ac:dyDescent="0.25">
      <c r="C30" s="1" t="s">
        <v>1</v>
      </c>
      <c r="D30" s="1"/>
      <c r="E30" s="61">
        <f t="shared" ref="E30:AH30" si="15">E12-E21</f>
        <v>77.354046606787762</v>
      </c>
      <c r="F30" s="61">
        <f t="shared" si="15"/>
        <v>77.692012333479397</v>
      </c>
      <c r="G30" s="61">
        <f t="shared" si="15"/>
        <v>62.071914881267887</v>
      </c>
      <c r="H30" s="61">
        <f t="shared" si="15"/>
        <v>60.989157213222661</v>
      </c>
      <c r="I30" s="61">
        <f t="shared" si="15"/>
        <v>41.99479050130401</v>
      </c>
      <c r="J30" s="61">
        <f t="shared" si="15"/>
        <v>43.575967882796867</v>
      </c>
      <c r="K30" s="61">
        <f t="shared" si="15"/>
        <v>93.85336597026884</v>
      </c>
      <c r="L30" s="61">
        <f t="shared" si="15"/>
        <v>83.251245653411473</v>
      </c>
      <c r="M30" s="61">
        <f t="shared" si="15"/>
        <v>75.868215990535106</v>
      </c>
      <c r="N30" s="61">
        <f t="shared" si="15"/>
        <v>75.612382252239314</v>
      </c>
      <c r="O30" s="61">
        <f t="shared" si="15"/>
        <v>58.804171482710238</v>
      </c>
      <c r="P30" s="17">
        <f t="shared" si="15"/>
        <v>65.702482396741132</v>
      </c>
      <c r="Q30" s="13">
        <f t="shared" si="15"/>
        <v>77.377546193409941</v>
      </c>
      <c r="R30" s="13">
        <f t="shared" si="15"/>
        <v>80.690626853952367</v>
      </c>
      <c r="S30" s="13">
        <f t="shared" si="15"/>
        <v>65.824216249227135</v>
      </c>
      <c r="T30" s="13">
        <f t="shared" si="15"/>
        <v>63.711507630691486</v>
      </c>
      <c r="U30" s="13">
        <f t="shared" si="15"/>
        <v>43.278014782210761</v>
      </c>
      <c r="V30" s="13">
        <f t="shared" si="15"/>
        <v>42.273700731528152</v>
      </c>
      <c r="W30" s="13">
        <f t="shared" si="15"/>
        <v>102.74976903677126</v>
      </c>
      <c r="X30" s="13">
        <f t="shared" si="15"/>
        <v>87.594798382287024</v>
      </c>
      <c r="Y30" s="13">
        <f t="shared" si="15"/>
        <v>78.433906151508836</v>
      </c>
      <c r="Z30" s="13">
        <f t="shared" si="15"/>
        <v>76.282795850037374</v>
      </c>
      <c r="AA30" s="13">
        <f t="shared" si="15"/>
        <v>61.741349287699514</v>
      </c>
      <c r="AB30" s="13">
        <f t="shared" si="15"/>
        <v>68.55259499588567</v>
      </c>
      <c r="AC30" s="13">
        <f t="shared" si="15"/>
        <v>81.197307858662555</v>
      </c>
      <c r="AD30" s="13">
        <f t="shared" si="15"/>
        <v>84.711192002193343</v>
      </c>
      <c r="AE30" s="13">
        <f t="shared" si="15"/>
        <v>69.117014927115846</v>
      </c>
      <c r="AF30" s="13">
        <f t="shared" si="15"/>
        <v>66.887928151513535</v>
      </c>
      <c r="AG30" s="13">
        <f t="shared" si="15"/>
        <v>45.498352072072727</v>
      </c>
      <c r="AH30" s="13">
        <f t="shared" si="15"/>
        <v>44.412889034416246</v>
      </c>
      <c r="AJ30" s="15">
        <f t="shared" ref="AJ30:AS35" ca="1" si="16">AJ12-AJ21</f>
        <v>217.11797382153506</v>
      </c>
      <c r="AK30" s="15">
        <f t="shared" ca="1" si="16"/>
        <v>146.55991559732351</v>
      </c>
      <c r="AL30" s="15">
        <f t="shared" ca="1" si="16"/>
        <v>252.97282761421545</v>
      </c>
      <c r="AM30" s="16">
        <f t="shared" ca="1" si="16"/>
        <v>200.11903613169073</v>
      </c>
      <c r="AN30" s="15">
        <f t="shared" ca="1" si="16"/>
        <v>223.89238929658944</v>
      </c>
      <c r="AO30" s="15">
        <f t="shared" ca="1" si="16"/>
        <v>149.26322314443036</v>
      </c>
      <c r="AP30" s="15">
        <f t="shared" ca="1" si="16"/>
        <v>268.77847357056709</v>
      </c>
      <c r="AQ30" s="15">
        <f t="shared" ca="1" si="16"/>
        <v>206.57674013362254</v>
      </c>
      <c r="AR30" s="15">
        <f t="shared" ca="1" si="16"/>
        <v>235.0255147879717</v>
      </c>
      <c r="AS30" s="15">
        <f t="shared" ca="1" si="16"/>
        <v>156.79916925800251</v>
      </c>
      <c r="AU30" s="15">
        <f t="shared" ref="AU30:AW35" ca="1" si="17">AU12-AU21</f>
        <v>363.67788941885863</v>
      </c>
      <c r="AV30" s="15">
        <f t="shared" ca="1" si="17"/>
        <v>826.24747618692606</v>
      </c>
      <c r="AW30" s="15">
        <f t="shared" ca="1" si="17"/>
        <v>867.1798977501636</v>
      </c>
    </row>
    <row r="31" spans="1:49" outlineLevel="1" x14ac:dyDescent="0.25">
      <c r="C31" s="1" t="s">
        <v>2</v>
      </c>
      <c r="D31" s="1"/>
      <c r="E31" s="61">
        <f t="shared" ref="E31:AH31" si="18">E13-E22</f>
        <v>449.50596086675898</v>
      </c>
      <c r="F31" s="61">
        <f t="shared" si="18"/>
        <v>315.21524537353014</v>
      </c>
      <c r="G31" s="61">
        <f t="shared" si="18"/>
        <v>328.93195676401376</v>
      </c>
      <c r="H31" s="61">
        <f t="shared" si="18"/>
        <v>343.42617536980191</v>
      </c>
      <c r="I31" s="61">
        <f t="shared" si="18"/>
        <v>346.61814519677563</v>
      </c>
      <c r="J31" s="61">
        <f t="shared" si="18"/>
        <v>575.77260464646861</v>
      </c>
      <c r="K31" s="61">
        <f t="shared" si="18"/>
        <v>355.30058350405369</v>
      </c>
      <c r="L31" s="61">
        <f t="shared" si="18"/>
        <v>305.91428336152995</v>
      </c>
      <c r="M31" s="61">
        <f t="shared" si="18"/>
        <v>326.0845328493823</v>
      </c>
      <c r="N31" s="61">
        <f t="shared" si="18"/>
        <v>502.9525238015396</v>
      </c>
      <c r="O31" s="61">
        <f t="shared" si="18"/>
        <v>509.28385831783692</v>
      </c>
      <c r="P31" s="17">
        <f t="shared" si="18"/>
        <v>522.86356762224943</v>
      </c>
      <c r="Q31" s="13">
        <f t="shared" si="18"/>
        <v>479.27987632489032</v>
      </c>
      <c r="R31" s="13">
        <f t="shared" si="18"/>
        <v>342.53232403601913</v>
      </c>
      <c r="S31" s="13">
        <f t="shared" si="18"/>
        <v>338.83903623374732</v>
      </c>
      <c r="T31" s="13">
        <f t="shared" si="18"/>
        <v>351.13100588345833</v>
      </c>
      <c r="U31" s="13">
        <f t="shared" si="18"/>
        <v>357.73755775532095</v>
      </c>
      <c r="V31" s="13">
        <f t="shared" si="18"/>
        <v>568.07637658065175</v>
      </c>
      <c r="W31" s="13">
        <f t="shared" si="18"/>
        <v>373.13828141381919</v>
      </c>
      <c r="X31" s="13">
        <f t="shared" si="18"/>
        <v>323.84046604501782</v>
      </c>
      <c r="Y31" s="13">
        <f t="shared" si="18"/>
        <v>339.97502893745963</v>
      </c>
      <c r="Z31" s="13">
        <f t="shared" si="18"/>
        <v>541.25378421286109</v>
      </c>
      <c r="AA31" s="13">
        <f t="shared" si="18"/>
        <v>508.94137409120958</v>
      </c>
      <c r="AB31" s="13">
        <f t="shared" si="18"/>
        <v>553.42223388950265</v>
      </c>
      <c r="AC31" s="13">
        <f t="shared" si="18"/>
        <v>501.78456258546504</v>
      </c>
      <c r="AD31" s="13">
        <f t="shared" si="18"/>
        <v>358.78024461099847</v>
      </c>
      <c r="AE31" s="13">
        <f t="shared" si="18"/>
        <v>354.96297838654459</v>
      </c>
      <c r="AF31" s="13">
        <f t="shared" si="18"/>
        <v>367.91807114471828</v>
      </c>
      <c r="AG31" s="13">
        <f t="shared" si="18"/>
        <v>374.85108375323057</v>
      </c>
      <c r="AH31" s="13">
        <f t="shared" si="18"/>
        <v>594.94260150513628</v>
      </c>
      <c r="AJ31" s="15">
        <f t="shared" ca="1" si="16"/>
        <v>1093.6531630043028</v>
      </c>
      <c r="AK31" s="15">
        <f t="shared" ca="1" si="16"/>
        <v>1265.816925213046</v>
      </c>
      <c r="AL31" s="15">
        <f t="shared" ca="1" si="16"/>
        <v>987.29939971496594</v>
      </c>
      <c r="AM31" s="16">
        <f t="shared" ca="1" si="16"/>
        <v>1535.0999497416256</v>
      </c>
      <c r="AN31" s="15">
        <f t="shared" ca="1" si="16"/>
        <v>1160.6512365946569</v>
      </c>
      <c r="AO31" s="15">
        <f t="shared" ca="1" si="16"/>
        <v>1276.9449402194309</v>
      </c>
      <c r="AP31" s="15">
        <f t="shared" ca="1" si="16"/>
        <v>1036.9537763962965</v>
      </c>
      <c r="AQ31" s="15">
        <f t="shared" ca="1" si="16"/>
        <v>1603.6173921935736</v>
      </c>
      <c r="AR31" s="15">
        <f t="shared" ca="1" si="16"/>
        <v>1215.5277855830082</v>
      </c>
      <c r="AS31" s="15">
        <f t="shared" ca="1" si="16"/>
        <v>1337.7117564030852</v>
      </c>
      <c r="AU31" s="15">
        <f t="shared" ca="1" si="17"/>
        <v>2359.4700882173493</v>
      </c>
      <c r="AV31" s="15">
        <f t="shared" ca="1" si="17"/>
        <v>4959.9955262706799</v>
      </c>
      <c r="AW31" s="15">
        <f t="shared" ca="1" si="17"/>
        <v>5193.8107105759627</v>
      </c>
    </row>
    <row r="32" spans="1:49" outlineLevel="1" x14ac:dyDescent="0.25">
      <c r="C32" s="1" t="s">
        <v>3</v>
      </c>
      <c r="D32" s="1"/>
      <c r="E32" s="61">
        <f t="shared" ref="E32:AH32" si="19">E14-E23</f>
        <v>258.78330859837911</v>
      </c>
      <c r="F32" s="61">
        <f t="shared" si="19"/>
        <v>197.50273358707966</v>
      </c>
      <c r="G32" s="61">
        <f t="shared" si="19"/>
        <v>184.27625452470897</v>
      </c>
      <c r="H32" s="61">
        <f t="shared" si="19"/>
        <v>205.07075780390653</v>
      </c>
      <c r="I32" s="61">
        <f t="shared" si="19"/>
        <v>233.76205603332181</v>
      </c>
      <c r="J32" s="61">
        <f t="shared" si="19"/>
        <v>277.90094888731693</v>
      </c>
      <c r="K32" s="61">
        <f t="shared" si="19"/>
        <v>228.12190096694951</v>
      </c>
      <c r="L32" s="61">
        <f t="shared" si="19"/>
        <v>198.993721632751</v>
      </c>
      <c r="M32" s="61">
        <f t="shared" si="19"/>
        <v>218.94238455363936</v>
      </c>
      <c r="N32" s="61">
        <f t="shared" si="19"/>
        <v>268.87944242742634</v>
      </c>
      <c r="O32" s="61">
        <f t="shared" si="19"/>
        <v>271.5908081176716</v>
      </c>
      <c r="P32" s="17">
        <f t="shared" si="19"/>
        <v>291.28190151960757</v>
      </c>
      <c r="Q32" s="13">
        <f t="shared" si="19"/>
        <v>273.23894592060947</v>
      </c>
      <c r="R32" s="13">
        <f t="shared" si="19"/>
        <v>217.04770307079951</v>
      </c>
      <c r="S32" s="13">
        <f t="shared" si="19"/>
        <v>191.41311644677836</v>
      </c>
      <c r="T32" s="13">
        <f t="shared" si="19"/>
        <v>210.18494113168239</v>
      </c>
      <c r="U32" s="13">
        <f t="shared" si="19"/>
        <v>256.67531647836444</v>
      </c>
      <c r="V32" s="13">
        <f t="shared" si="19"/>
        <v>271.11463908241285</v>
      </c>
      <c r="W32" s="13">
        <f t="shared" si="19"/>
        <v>246.69638910251479</v>
      </c>
      <c r="X32" s="13">
        <f t="shared" si="19"/>
        <v>208.61120646170397</v>
      </c>
      <c r="Y32" s="13">
        <f t="shared" si="19"/>
        <v>218.17649324101146</v>
      </c>
      <c r="Z32" s="13">
        <f t="shared" si="19"/>
        <v>278.6152328671368</v>
      </c>
      <c r="AA32" s="13">
        <f t="shared" si="19"/>
        <v>292.38565971547445</v>
      </c>
      <c r="AB32" s="13">
        <f t="shared" si="19"/>
        <v>302.27021077806762</v>
      </c>
      <c r="AC32" s="13">
        <f t="shared" si="19"/>
        <v>286.02361234602131</v>
      </c>
      <c r="AD32" s="13">
        <f t="shared" si="19"/>
        <v>227.28053731959079</v>
      </c>
      <c r="AE32" s="13">
        <f t="shared" si="19"/>
        <v>200.48069698472216</v>
      </c>
      <c r="AF32" s="13">
        <f t="shared" si="19"/>
        <v>220.17374389985216</v>
      </c>
      <c r="AG32" s="13">
        <f t="shared" si="19"/>
        <v>268.8444236241433</v>
      </c>
      <c r="AH32" s="13">
        <f t="shared" si="19"/>
        <v>283.92864881354922</v>
      </c>
      <c r="AJ32" s="15">
        <f t="shared" ca="1" si="16"/>
        <v>640.56229671016774</v>
      </c>
      <c r="AK32" s="15">
        <f t="shared" ca="1" si="16"/>
        <v>716.73376272454527</v>
      </c>
      <c r="AL32" s="15">
        <f t="shared" ca="1" si="16"/>
        <v>646.05800715333987</v>
      </c>
      <c r="AM32" s="16">
        <f t="shared" ca="1" si="16"/>
        <v>831.75215206470557</v>
      </c>
      <c r="AN32" s="15">
        <f t="shared" ca="1" si="16"/>
        <v>681.69976543818734</v>
      </c>
      <c r="AO32" s="15">
        <f t="shared" ca="1" si="16"/>
        <v>737.97489669245977</v>
      </c>
      <c r="AP32" s="15">
        <f t="shared" ca="1" si="16"/>
        <v>673.48408880523027</v>
      </c>
      <c r="AQ32" s="15">
        <f t="shared" ca="1" si="16"/>
        <v>873.27110336067881</v>
      </c>
      <c r="AR32" s="15">
        <f t="shared" ca="1" si="16"/>
        <v>713.7848466503342</v>
      </c>
      <c r="AS32" s="15">
        <f t="shared" ca="1" si="16"/>
        <v>772.94681633754465</v>
      </c>
      <c r="AU32" s="15">
        <f t="shared" ca="1" si="17"/>
        <v>1357.296059434713</v>
      </c>
      <c r="AV32" s="15">
        <f t="shared" ca="1" si="17"/>
        <v>2897.4848213486921</v>
      </c>
      <c r="AW32" s="15">
        <f t="shared" ca="1" si="17"/>
        <v>3033.4868551537875</v>
      </c>
    </row>
    <row r="33" spans="1:50" outlineLevel="1" x14ac:dyDescent="0.25">
      <c r="C33" s="1" t="s">
        <v>4</v>
      </c>
      <c r="D33" s="1"/>
      <c r="E33" s="61">
        <f t="shared" ref="E33:AH33" si="20">E15-E24</f>
        <v>43.818091042340654</v>
      </c>
      <c r="F33" s="61">
        <f t="shared" si="20"/>
        <v>50.391356047499229</v>
      </c>
      <c r="G33" s="61">
        <f t="shared" si="20"/>
        <v>65.935000843167543</v>
      </c>
      <c r="H33" s="61">
        <f t="shared" si="20"/>
        <v>47.529066974291311</v>
      </c>
      <c r="I33" s="61">
        <f t="shared" si="20"/>
        <v>38.827241526246993</v>
      </c>
      <c r="J33" s="61">
        <f t="shared" si="20"/>
        <v>54.934856743129323</v>
      </c>
      <c r="K33" s="61">
        <f t="shared" si="20"/>
        <v>65.454538547083189</v>
      </c>
      <c r="L33" s="61">
        <f t="shared" si="20"/>
        <v>62.285831554403678</v>
      </c>
      <c r="M33" s="61">
        <f t="shared" si="20"/>
        <v>45.705546576224869</v>
      </c>
      <c r="N33" s="61">
        <f t="shared" si="20"/>
        <v>77.815201975694777</v>
      </c>
      <c r="O33" s="61">
        <f t="shared" si="20"/>
        <v>64.24450932391936</v>
      </c>
      <c r="P33" s="17">
        <f t="shared" si="20"/>
        <v>77.14636069362696</v>
      </c>
      <c r="Q33" s="13">
        <f t="shared" si="20"/>
        <v>38.575032491530848</v>
      </c>
      <c r="R33" s="13">
        <f t="shared" si="20"/>
        <v>50.350384535700634</v>
      </c>
      <c r="S33" s="13">
        <f t="shared" si="20"/>
        <v>71.777735831505709</v>
      </c>
      <c r="T33" s="13">
        <f t="shared" si="20"/>
        <v>53.657214003951239</v>
      </c>
      <c r="U33" s="13">
        <f t="shared" si="20"/>
        <v>40.312706308209457</v>
      </c>
      <c r="V33" s="13">
        <f t="shared" si="20"/>
        <v>49.665325568261224</v>
      </c>
      <c r="W33" s="13">
        <f t="shared" si="20"/>
        <v>73.874193881887081</v>
      </c>
      <c r="X33" s="13">
        <f t="shared" si="20"/>
        <v>59.228899396219646</v>
      </c>
      <c r="Y33" s="13">
        <f t="shared" si="20"/>
        <v>43.365126108658373</v>
      </c>
      <c r="Z33" s="13">
        <f t="shared" si="20"/>
        <v>87.830952423358326</v>
      </c>
      <c r="AA33" s="13">
        <f t="shared" si="20"/>
        <v>59.999566199038171</v>
      </c>
      <c r="AB33" s="13">
        <f t="shared" si="20"/>
        <v>86.974143776532458</v>
      </c>
      <c r="AC33" s="13">
        <f t="shared" si="20"/>
        <v>40.434108978084332</v>
      </c>
      <c r="AD33" s="13">
        <f t="shared" si="20"/>
        <v>52.779079028161277</v>
      </c>
      <c r="AE33" s="13">
        <f t="shared" si="20"/>
        <v>75.20864339298916</v>
      </c>
      <c r="AF33" s="13">
        <f t="shared" si="20"/>
        <v>56.236031866523234</v>
      </c>
      <c r="AG33" s="13">
        <f t="shared" si="20"/>
        <v>42.281114796875045</v>
      </c>
      <c r="AH33" s="13">
        <f t="shared" si="20"/>
        <v>52.043486043161522</v>
      </c>
      <c r="AJ33" s="15">
        <f t="shared" ca="1" si="16"/>
        <v>160.14444793300743</v>
      </c>
      <c r="AK33" s="15">
        <f t="shared" ca="1" si="16"/>
        <v>141.29116524366765</v>
      </c>
      <c r="AL33" s="15">
        <f t="shared" ca="1" si="16"/>
        <v>173.44591667771175</v>
      </c>
      <c r="AM33" s="16">
        <f t="shared" ca="1" si="16"/>
        <v>219.2060719932411</v>
      </c>
      <c r="AN33" s="15">
        <f t="shared" ca="1" si="16"/>
        <v>160.70315285873718</v>
      </c>
      <c r="AO33" s="15">
        <f t="shared" ca="1" si="16"/>
        <v>143.63524588042191</v>
      </c>
      <c r="AP33" s="15">
        <f t="shared" ca="1" si="16"/>
        <v>176.46821938676507</v>
      </c>
      <c r="AQ33" s="15">
        <f t="shared" ca="1" si="16"/>
        <v>234.80466239892894</v>
      </c>
      <c r="AR33" s="15">
        <f t="shared" ca="1" si="16"/>
        <v>168.4218313992348</v>
      </c>
      <c r="AS33" s="15">
        <f t="shared" ca="1" si="16"/>
        <v>150.5606327065598</v>
      </c>
      <c r="AU33" s="15">
        <f t="shared" ca="1" si="17"/>
        <v>301.43561317667502</v>
      </c>
      <c r="AV33" s="15">
        <f t="shared" ca="1" si="17"/>
        <v>696.99038741011191</v>
      </c>
      <c r="AW33" s="15">
        <f t="shared" ca="1" si="17"/>
        <v>730.25534589148856</v>
      </c>
    </row>
    <row r="34" spans="1:50" outlineLevel="1" x14ac:dyDescent="0.25">
      <c r="C34" s="1" t="s">
        <v>5</v>
      </c>
      <c r="D34" s="1"/>
      <c r="E34" s="61">
        <f t="shared" ref="E34:AH34" si="21">E16-E25</f>
        <v>50.921641408948588</v>
      </c>
      <c r="F34" s="61">
        <f t="shared" si="21"/>
        <v>44.160245172795491</v>
      </c>
      <c r="G34" s="61">
        <f t="shared" si="21"/>
        <v>38.506328946599929</v>
      </c>
      <c r="H34" s="61">
        <f t="shared" si="21"/>
        <v>41.041958709636297</v>
      </c>
      <c r="I34" s="61">
        <f t="shared" si="21"/>
        <v>49.912354200627448</v>
      </c>
      <c r="J34" s="61">
        <f t="shared" si="21"/>
        <v>60.695948571662996</v>
      </c>
      <c r="K34" s="61">
        <f t="shared" si="21"/>
        <v>51.542785549989532</v>
      </c>
      <c r="L34" s="61">
        <f t="shared" si="21"/>
        <v>41.404880609337965</v>
      </c>
      <c r="M34" s="61">
        <f t="shared" si="21"/>
        <v>36.159753595247466</v>
      </c>
      <c r="N34" s="61">
        <f t="shared" si="21"/>
        <v>53.699976520706102</v>
      </c>
      <c r="O34" s="61">
        <f t="shared" si="21"/>
        <v>60.167648657463083</v>
      </c>
      <c r="P34" s="17">
        <f t="shared" si="21"/>
        <v>64.898472466786217</v>
      </c>
      <c r="Q34" s="13">
        <f t="shared" si="21"/>
        <v>50.992956867581405</v>
      </c>
      <c r="R34" s="13">
        <f t="shared" si="21"/>
        <v>47.03132512842344</v>
      </c>
      <c r="S34" s="13">
        <f t="shared" si="21"/>
        <v>43.402612769079063</v>
      </c>
      <c r="T34" s="13">
        <f t="shared" si="21"/>
        <v>46.679987795397814</v>
      </c>
      <c r="U34" s="13">
        <f t="shared" si="21"/>
        <v>49.410558169038275</v>
      </c>
      <c r="V34" s="13">
        <f t="shared" si="21"/>
        <v>59.097661374225083</v>
      </c>
      <c r="W34" s="13">
        <f t="shared" si="21"/>
        <v>51.704735315939907</v>
      </c>
      <c r="X34" s="13">
        <f t="shared" si="21"/>
        <v>44.127513755568202</v>
      </c>
      <c r="Y34" s="13">
        <f t="shared" si="21"/>
        <v>40.811804645862509</v>
      </c>
      <c r="Z34" s="13">
        <f t="shared" si="21"/>
        <v>61.071158385403059</v>
      </c>
      <c r="AA34" s="13">
        <f t="shared" si="21"/>
        <v>59.5806192686548</v>
      </c>
      <c r="AB34" s="13">
        <f t="shared" si="21"/>
        <v>63.29374970837717</v>
      </c>
      <c r="AC34" s="13">
        <f t="shared" si="21"/>
        <v>53.354180194545307</v>
      </c>
      <c r="AD34" s="13">
        <f t="shared" si="21"/>
        <v>49.225103426326712</v>
      </c>
      <c r="AE34" s="13">
        <f t="shared" si="21"/>
        <v>45.42042283338801</v>
      </c>
      <c r="AF34" s="13">
        <f t="shared" si="21"/>
        <v>48.858630713353719</v>
      </c>
      <c r="AG34" s="13">
        <f t="shared" si="21"/>
        <v>51.715287472952468</v>
      </c>
      <c r="AH34" s="13">
        <f t="shared" si="21"/>
        <v>61.856381952100264</v>
      </c>
      <c r="AJ34" s="15">
        <f t="shared" ca="1" si="16"/>
        <v>133.58821552834402</v>
      </c>
      <c r="AK34" s="15">
        <f t="shared" ca="1" si="16"/>
        <v>151.65026148192675</v>
      </c>
      <c r="AL34" s="15">
        <f t="shared" ca="1" si="16"/>
        <v>129.10741975457498</v>
      </c>
      <c r="AM34" s="16">
        <f t="shared" ca="1" si="16"/>
        <v>178.76609764495538</v>
      </c>
      <c r="AN34" s="15">
        <f t="shared" ca="1" si="16"/>
        <v>141.42689476508392</v>
      </c>
      <c r="AO34" s="15">
        <f t="shared" ca="1" si="16"/>
        <v>155.18820733866119</v>
      </c>
      <c r="AP34" s="15">
        <f t="shared" ca="1" si="16"/>
        <v>136.64405371737061</v>
      </c>
      <c r="AQ34" s="15">
        <f t="shared" ca="1" si="16"/>
        <v>183.94552736243503</v>
      </c>
      <c r="AR34" s="15">
        <f t="shared" ca="1" si="16"/>
        <v>147.99970645426004</v>
      </c>
      <c r="AS34" s="15">
        <f t="shared" ca="1" si="16"/>
        <v>162.43030013840644</v>
      </c>
      <c r="AU34" s="15">
        <f t="shared" ca="1" si="17"/>
        <v>285.23847701027074</v>
      </c>
      <c r="AV34" s="15">
        <f t="shared" ca="1" si="17"/>
        <v>604.48861950327546</v>
      </c>
      <c r="AW34" s="15">
        <f t="shared" ca="1" si="17"/>
        <v>631.0195876724722</v>
      </c>
    </row>
    <row r="35" spans="1:50" outlineLevel="1" x14ac:dyDescent="0.25">
      <c r="C35" s="23" t="s">
        <v>6</v>
      </c>
      <c r="D35" s="23"/>
      <c r="E35" s="24">
        <f t="shared" ref="E35:AH35" si="22">E17-E26</f>
        <v>14.868650540449046</v>
      </c>
      <c r="F35" s="24">
        <f t="shared" si="22"/>
        <v>13.696483693331507</v>
      </c>
      <c r="G35" s="24">
        <f t="shared" si="22"/>
        <v>11.764976290153029</v>
      </c>
      <c r="H35" s="24">
        <f t="shared" si="22"/>
        <v>12.767405832320248</v>
      </c>
      <c r="I35" s="24">
        <f t="shared" si="22"/>
        <v>11.482097909266056</v>
      </c>
      <c r="J35" s="24">
        <f t="shared" si="22"/>
        <v>13.086222904248757</v>
      </c>
      <c r="K35" s="24">
        <f t="shared" si="22"/>
        <v>14.392328895443107</v>
      </c>
      <c r="L35" s="24">
        <f t="shared" si="22"/>
        <v>13.260443471993412</v>
      </c>
      <c r="M35" s="24">
        <f t="shared" si="22"/>
        <v>11.645321949619856</v>
      </c>
      <c r="N35" s="24">
        <f t="shared" si="22"/>
        <v>14.291207974725593</v>
      </c>
      <c r="O35" s="24">
        <f t="shared" si="22"/>
        <v>13.871779318872738</v>
      </c>
      <c r="P35" s="64">
        <f t="shared" si="22"/>
        <v>14.890395665367313</v>
      </c>
      <c r="Q35" s="24">
        <f t="shared" si="22"/>
        <v>15.48241913124215</v>
      </c>
      <c r="R35" s="24">
        <f t="shared" si="22"/>
        <v>14.299794647647683</v>
      </c>
      <c r="S35" s="24">
        <f t="shared" si="22"/>
        <v>12.259120752613402</v>
      </c>
      <c r="T35" s="24">
        <f t="shared" si="22"/>
        <v>13.302682076598028</v>
      </c>
      <c r="U35" s="24">
        <f t="shared" si="22"/>
        <v>11.978248617046388</v>
      </c>
      <c r="V35" s="24">
        <f t="shared" si="22"/>
        <v>13.563120823773755</v>
      </c>
      <c r="W35" s="24">
        <f t="shared" si="22"/>
        <v>15.106164607566308</v>
      </c>
      <c r="X35" s="24">
        <f t="shared" si="22"/>
        <v>13.89174882234334</v>
      </c>
      <c r="Y35" s="24">
        <f t="shared" si="22"/>
        <v>12.193179119342167</v>
      </c>
      <c r="Z35" s="24">
        <f t="shared" si="22"/>
        <v>14.861252304737352</v>
      </c>
      <c r="AA35" s="24">
        <f t="shared" si="22"/>
        <v>14.555477122301756</v>
      </c>
      <c r="AB35" s="24">
        <f t="shared" si="22"/>
        <v>15.581211942414129</v>
      </c>
      <c r="AC35" s="24">
        <f t="shared" si="22"/>
        <v>16.203858935592244</v>
      </c>
      <c r="AD35" s="24">
        <f t="shared" si="22"/>
        <v>14.968976754561632</v>
      </c>
      <c r="AE35" s="24">
        <f t="shared" si="22"/>
        <v>12.835580583750684</v>
      </c>
      <c r="AF35" s="24">
        <f t="shared" si="22"/>
        <v>13.930120138628228</v>
      </c>
      <c r="AG35" s="24">
        <f t="shared" si="22"/>
        <v>12.544367782711568</v>
      </c>
      <c r="AH35" s="24">
        <f t="shared" si="22"/>
        <v>14.200992831141706</v>
      </c>
      <c r="AJ35" s="29">
        <f t="shared" ca="1" si="16"/>
        <v>40.330110523933584</v>
      </c>
      <c r="AK35" s="29">
        <f t="shared" ca="1" si="16"/>
        <v>37.335726645835059</v>
      </c>
      <c r="AL35" s="29">
        <f t="shared" ca="1" si="16"/>
        <v>39.298094317056368</v>
      </c>
      <c r="AM35" s="240">
        <f t="shared" ca="1" si="16"/>
        <v>43.053382958965649</v>
      </c>
      <c r="AN35" s="29">
        <f t="shared" ca="1" si="16"/>
        <v>42.041334531503239</v>
      </c>
      <c r="AO35" s="29">
        <f t="shared" ca="1" si="16"/>
        <v>38.844051517418173</v>
      </c>
      <c r="AP35" s="29">
        <f t="shared" ca="1" si="16"/>
        <v>41.191092549251813</v>
      </c>
      <c r="AQ35" s="29">
        <f t="shared" ca="1" si="16"/>
        <v>44.997941369453237</v>
      </c>
      <c r="AR35" s="29">
        <f t="shared" ca="1" si="16"/>
        <v>44.008416273904558</v>
      </c>
      <c r="AS35" s="29">
        <f t="shared" ca="1" si="16"/>
        <v>40.675480752481505</v>
      </c>
      <c r="AU35" s="29">
        <f t="shared" ca="1" si="17"/>
        <v>77.66583716976865</v>
      </c>
      <c r="AV35" s="29">
        <f t="shared" ca="1" si="17"/>
        <v>163.23686332494341</v>
      </c>
      <c r="AW35" s="29">
        <f t="shared" ca="1" si="17"/>
        <v>170.87293094509107</v>
      </c>
    </row>
    <row r="36" spans="1:50" x14ac:dyDescent="0.25">
      <c r="A36" t="s">
        <v>231</v>
      </c>
      <c r="C36" s="25" t="s">
        <v>85</v>
      </c>
      <c r="D36" s="25"/>
      <c r="E36" s="14">
        <f t="shared" ref="E36:AH36" si="23">SUM(E30:E35)</f>
        <v>895.25169906366409</v>
      </c>
      <c r="F36" s="21">
        <f t="shared" si="23"/>
        <v>698.65807620771545</v>
      </c>
      <c r="G36" s="21">
        <f t="shared" si="23"/>
        <v>691.48643224991122</v>
      </c>
      <c r="H36" s="21">
        <f t="shared" si="23"/>
        <v>710.82452190317906</v>
      </c>
      <c r="I36" s="21">
        <f t="shared" si="23"/>
        <v>722.59668536754191</v>
      </c>
      <c r="J36" s="21">
        <f t="shared" si="23"/>
        <v>1025.9665496356233</v>
      </c>
      <c r="K36" s="14">
        <f t="shared" si="23"/>
        <v>808.66550343378788</v>
      </c>
      <c r="L36" s="21">
        <f t="shared" si="23"/>
        <v>705.11040628342744</v>
      </c>
      <c r="M36" s="21">
        <f t="shared" si="23"/>
        <v>714.40575551464894</v>
      </c>
      <c r="N36" s="21">
        <f t="shared" si="23"/>
        <v>993.25073495233164</v>
      </c>
      <c r="O36" s="21">
        <f t="shared" si="23"/>
        <v>977.96277521847401</v>
      </c>
      <c r="P36" s="22">
        <f t="shared" si="23"/>
        <v>1036.7831803643787</v>
      </c>
      <c r="Q36" s="21">
        <f t="shared" si="23"/>
        <v>934.94677692926405</v>
      </c>
      <c r="R36" s="21">
        <f t="shared" si="23"/>
        <v>751.95215827254276</v>
      </c>
      <c r="S36" s="21">
        <f t="shared" si="23"/>
        <v>723.51583828295088</v>
      </c>
      <c r="T36" s="21">
        <f t="shared" si="23"/>
        <v>738.66733852177924</v>
      </c>
      <c r="U36" s="21">
        <f t="shared" si="23"/>
        <v>759.39240211019023</v>
      </c>
      <c r="V36" s="21">
        <f t="shared" si="23"/>
        <v>1003.7908241608527</v>
      </c>
      <c r="W36" s="21">
        <f t="shared" si="23"/>
        <v>863.26953335849851</v>
      </c>
      <c r="X36" s="21">
        <f t="shared" si="23"/>
        <v>737.2946328631399</v>
      </c>
      <c r="Y36" s="21">
        <f t="shared" si="23"/>
        <v>732.95553820384293</v>
      </c>
      <c r="Z36" s="21">
        <f t="shared" si="23"/>
        <v>1059.9151760435338</v>
      </c>
      <c r="AA36" s="21">
        <f t="shared" si="23"/>
        <v>997.20404568437834</v>
      </c>
      <c r="AB36" s="21">
        <f t="shared" si="23"/>
        <v>1090.0941450907796</v>
      </c>
      <c r="AC36" s="21">
        <f t="shared" si="23"/>
        <v>978.99763089837074</v>
      </c>
      <c r="AD36" s="21">
        <f t="shared" si="23"/>
        <v>787.7451331418323</v>
      </c>
      <c r="AE36" s="21">
        <f t="shared" si="23"/>
        <v>758.02533710851048</v>
      </c>
      <c r="AF36" s="21">
        <f t="shared" si="23"/>
        <v>774.00452591458918</v>
      </c>
      <c r="AG36" s="21">
        <f t="shared" si="23"/>
        <v>795.73462950198564</v>
      </c>
      <c r="AH36" s="21">
        <f t="shared" si="23"/>
        <v>1051.3850001795054</v>
      </c>
      <c r="AJ36" s="21">
        <f t="shared" ref="AJ36:AS36" ca="1" si="24">SUM(AJ30:AJ35)</f>
        <v>2285.3962075212903</v>
      </c>
      <c r="AK36" s="21">
        <f t="shared" ca="1" si="24"/>
        <v>2459.3877569063447</v>
      </c>
      <c r="AL36" s="21">
        <f t="shared" ca="1" si="24"/>
        <v>2228.1816652318644</v>
      </c>
      <c r="AM36" s="22">
        <f t="shared" ca="1" si="24"/>
        <v>3007.9966905351839</v>
      </c>
      <c r="AN36" s="21">
        <f t="shared" ca="1" si="24"/>
        <v>2410.4147734847579</v>
      </c>
      <c r="AO36" s="21">
        <f t="shared" ca="1" si="24"/>
        <v>2501.8505647928228</v>
      </c>
      <c r="AP36" s="21">
        <f t="shared" ca="1" si="24"/>
        <v>2333.5197044254815</v>
      </c>
      <c r="AQ36" s="21">
        <f t="shared" ca="1" si="24"/>
        <v>3147.2133668186921</v>
      </c>
      <c r="AR36" s="21">
        <f t="shared" ca="1" si="24"/>
        <v>2524.768101148713</v>
      </c>
      <c r="AS36" s="21">
        <f t="shared" ca="1" si="24"/>
        <v>2621.1241555960801</v>
      </c>
      <c r="AU36" s="21">
        <f t="shared" ref="AU36:AW36" ca="1" si="25">SUM(AU30:AU35)</f>
        <v>4744.7839644276355</v>
      </c>
      <c r="AV36" s="21">
        <f t="shared" ca="1" si="25"/>
        <v>10148.443694044627</v>
      </c>
      <c r="AW36" s="21">
        <f t="shared" ca="1" si="25"/>
        <v>10626.625327988966</v>
      </c>
    </row>
    <row r="37" spans="1:50" x14ac:dyDescent="0.25">
      <c r="C37" s="147" t="s">
        <v>262</v>
      </c>
      <c r="D37" s="25"/>
      <c r="E37" s="148">
        <f>E36/E18</f>
        <v>0.83199931464560983</v>
      </c>
      <c r="F37" s="149">
        <f t="shared" ref="F37:AH37" si="26">F36/F18</f>
        <v>0.81308404411421076</v>
      </c>
      <c r="G37" s="149">
        <f t="shared" si="26"/>
        <v>0.82662026180622661</v>
      </c>
      <c r="H37" s="149">
        <f t="shared" si="26"/>
        <v>0.83006935422109607</v>
      </c>
      <c r="I37" s="149">
        <f t="shared" si="26"/>
        <v>0.83251917524762431</v>
      </c>
      <c r="J37" s="149">
        <f t="shared" si="26"/>
        <v>0.85303604383019294</v>
      </c>
      <c r="K37" s="150">
        <f t="shared" si="26"/>
        <v>0.80922931269601306</v>
      </c>
      <c r="L37" s="149">
        <f t="shared" si="26"/>
        <v>0.80871958960114865</v>
      </c>
      <c r="M37" s="149">
        <f t="shared" si="26"/>
        <v>0.81854556795576316</v>
      </c>
      <c r="N37" s="149">
        <f t="shared" si="26"/>
        <v>0.82967508929242939</v>
      </c>
      <c r="O37" s="149">
        <f t="shared" si="26"/>
        <v>0.82634633319785422</v>
      </c>
      <c r="P37" s="151">
        <f t="shared" si="26"/>
        <v>0.82930235311825273</v>
      </c>
      <c r="Q37" s="149">
        <f t="shared" si="26"/>
        <v>0.82533552059937731</v>
      </c>
      <c r="R37" s="149">
        <f t="shared" si="26"/>
        <v>0.81354579739386179</v>
      </c>
      <c r="S37" s="149">
        <f t="shared" si="26"/>
        <v>0.82079095003131919</v>
      </c>
      <c r="T37" s="149">
        <f t="shared" si="26"/>
        <v>0.82278432501789833</v>
      </c>
      <c r="U37" s="149">
        <f t="shared" si="26"/>
        <v>0.82888599241943695</v>
      </c>
      <c r="V37" s="149">
        <f t="shared" si="26"/>
        <v>0.83307925614901313</v>
      </c>
      <c r="W37" s="149">
        <f t="shared" si="26"/>
        <v>0.81661537047129906</v>
      </c>
      <c r="X37" s="149">
        <f t="shared" si="26"/>
        <v>0.8108042154674866</v>
      </c>
      <c r="Y37" s="149">
        <f t="shared" si="26"/>
        <v>0.81674866403689628</v>
      </c>
      <c r="Z37" s="149">
        <f t="shared" si="26"/>
        <v>0.82480952366878368</v>
      </c>
      <c r="AA37" s="149">
        <f t="shared" si="26"/>
        <v>0.82692830510369031</v>
      </c>
      <c r="AB37" s="149">
        <f t="shared" si="26"/>
        <v>0.83023000330488927</v>
      </c>
      <c r="AC37" s="149">
        <f t="shared" si="26"/>
        <v>0.826114448933845</v>
      </c>
      <c r="AD37" s="149">
        <f t="shared" si="26"/>
        <v>0.81450583469927151</v>
      </c>
      <c r="AE37" s="149">
        <f t="shared" si="26"/>
        <v>0.82179719397600937</v>
      </c>
      <c r="AF37" s="149">
        <f t="shared" si="26"/>
        <v>0.82377577097349086</v>
      </c>
      <c r="AG37" s="149">
        <f t="shared" si="26"/>
        <v>0.82985803342665332</v>
      </c>
      <c r="AH37" s="149">
        <f t="shared" si="26"/>
        <v>0.83381713586204831</v>
      </c>
      <c r="AJ37" s="320">
        <f t="shared" ref="AJ37:AW37" ca="1" si="27">AJ36/AJ18</f>
        <v>0.82451216319783482</v>
      </c>
      <c r="AK37" s="320">
        <f t="shared" ca="1" si="27"/>
        <v>0.84023287286550064</v>
      </c>
      <c r="AL37" s="320">
        <f t="shared" ca="1" si="27"/>
        <v>0.81203057914276244</v>
      </c>
      <c r="AM37" s="321">
        <f t="shared" ca="1" si="27"/>
        <v>0.82846172757237857</v>
      </c>
      <c r="AN37" s="320">
        <f t="shared" ca="1" si="27"/>
        <v>0.82026399730281008</v>
      </c>
      <c r="AO37" s="320">
        <f t="shared" ca="1" si="27"/>
        <v>0.82874509929008289</v>
      </c>
      <c r="AP37" s="320">
        <f t="shared" ca="1" si="27"/>
        <v>0.81481198092568352</v>
      </c>
      <c r="AQ37" s="320">
        <f t="shared" ca="1" si="27"/>
        <v>0.82735218312427794</v>
      </c>
      <c r="AR37" s="320">
        <f t="shared" ca="1" si="27"/>
        <v>0.82116765611092901</v>
      </c>
      <c r="AS37" s="320">
        <f t="shared" ca="1" si="27"/>
        <v>0.82962930877601315</v>
      </c>
      <c r="AT37" s="320"/>
      <c r="AU37" s="320">
        <f t="shared" ca="1" si="27"/>
        <v>0.83258660411431884</v>
      </c>
      <c r="AV37" s="320">
        <f t="shared" ca="1" si="27"/>
        <v>0.8229217049632902</v>
      </c>
      <c r="AW37" s="320">
        <f t="shared" ca="1" si="27"/>
        <v>0.82365238073631997</v>
      </c>
    </row>
    <row r="38" spans="1:50" x14ac:dyDescent="0.25">
      <c r="P38" s="8"/>
      <c r="AM38" s="8"/>
    </row>
    <row r="39" spans="1:50" outlineLevel="1" x14ac:dyDescent="0.25">
      <c r="C39" s="1" t="s">
        <v>21</v>
      </c>
      <c r="D39" s="1"/>
      <c r="E39" s="33">
        <f>Expense!E42</f>
        <v>4.75</v>
      </c>
      <c r="F39" s="33">
        <f>Expense!F42</f>
        <v>4.75</v>
      </c>
      <c r="G39" s="33">
        <f>Expense!G42</f>
        <v>4.75</v>
      </c>
      <c r="H39" s="33">
        <f>Expense!H42</f>
        <v>4.75</v>
      </c>
      <c r="I39" s="33">
        <f>Expense!I42</f>
        <v>4.75</v>
      </c>
      <c r="J39" s="33">
        <f>Expense!J42</f>
        <v>4.75</v>
      </c>
      <c r="K39" s="33">
        <f>Expense!K42</f>
        <v>4.75</v>
      </c>
      <c r="L39" s="33">
        <f>Expense!L42</f>
        <v>4.75</v>
      </c>
      <c r="M39" s="33">
        <f>Expense!M42</f>
        <v>4.75</v>
      </c>
      <c r="N39" s="33">
        <f>Expense!N42</f>
        <v>4.75</v>
      </c>
      <c r="O39" s="33">
        <f>Expense!O42</f>
        <v>4.75</v>
      </c>
      <c r="P39" s="34">
        <f>Expense!P42</f>
        <v>4.75</v>
      </c>
      <c r="Q39" s="33">
        <f>Expense!Q42</f>
        <v>4.75</v>
      </c>
      <c r="R39" s="33">
        <f>Expense!R42</f>
        <v>4.75</v>
      </c>
      <c r="S39" s="33">
        <f>Expense!S42</f>
        <v>4.75</v>
      </c>
      <c r="T39" s="33">
        <f>Expense!T42</f>
        <v>4.75</v>
      </c>
      <c r="U39" s="33">
        <f>Expense!U42</f>
        <v>4.75</v>
      </c>
      <c r="V39" s="33">
        <f>Expense!V42</f>
        <v>4.75</v>
      </c>
      <c r="W39" s="33">
        <f>Expense!W42</f>
        <v>5.25</v>
      </c>
      <c r="X39" s="33">
        <f>Expense!X42</f>
        <v>5.25</v>
      </c>
      <c r="Y39" s="33">
        <f>Expense!Y42</f>
        <v>5.25</v>
      </c>
      <c r="Z39" s="33">
        <f>Expense!Z42</f>
        <v>5.25</v>
      </c>
      <c r="AA39" s="33">
        <f>Expense!AA42</f>
        <v>5.25</v>
      </c>
      <c r="AB39" s="33">
        <f>Expense!AB42</f>
        <v>5.25</v>
      </c>
      <c r="AC39" s="33">
        <f>Expense!AC42</f>
        <v>5.25</v>
      </c>
      <c r="AD39" s="33">
        <f>Expense!AD42</f>
        <v>5.25</v>
      </c>
      <c r="AE39" s="33">
        <f>Expense!AE42</f>
        <v>5.25</v>
      </c>
      <c r="AF39" s="33">
        <f>Expense!AF42</f>
        <v>5.25</v>
      </c>
      <c r="AG39" s="33">
        <f>Expense!AG42</f>
        <v>5.25</v>
      </c>
      <c r="AH39" s="33">
        <f>Expense!AH42</f>
        <v>5.25</v>
      </c>
      <c r="AJ39" s="15" cm="1">
        <f t="array" aca="1" ref="AJ39" ca="1">SUMPRODUCT(($E39:$AH39)*(AJ$3=$E$3:$AH$3)*(AJ$4=$E$4:$AH$4)*(AJ$5=$E$5:$AH$5)*(AJ$6=$E$6:$AH$6))</f>
        <v>14.25</v>
      </c>
      <c r="AK39" s="15" cm="1">
        <f t="array" aca="1" ref="AK39" ca="1">SUMPRODUCT(($E39:$AH39)*(AK$3=$E$3:$AH$3)*(AK$4=$E$4:$AH$4)*(AK$5=$E$5:$AH$5)*(AK$6=$E$6:$AH$6))</f>
        <v>14.25</v>
      </c>
      <c r="AL39" s="15" cm="1">
        <f t="array" aca="1" ref="AL39" ca="1">SUMPRODUCT(($E39:$AH39)*(AL$3=$E$3:$AH$3)*(AL$4=$E$4:$AH$4)*(AL$5=$E$5:$AH$5)*(AL$6=$E$6:$AH$6))</f>
        <v>14.25</v>
      </c>
      <c r="AM39" s="16" cm="1">
        <f t="array" aca="1" ref="AM39" ca="1">SUMPRODUCT(($E39:$AH39)*(AM$3=$E$3:$AH$3)*(AM$4=$E$4:$AH$4)*(AM$5=$E$5:$AH$5)*(AM$6=$E$6:$AH$6))</f>
        <v>14.25</v>
      </c>
      <c r="AN39" s="15" cm="1">
        <f t="array" aca="1" ref="AN39" ca="1">SUMPRODUCT(($E39:$AH39)*(AN$3=$E$3:$AH$3)*(AN$4=$E$4:$AH$4)*(AN$5=$E$5:$AH$5)*(AN$6=$E$6:$AH$6))</f>
        <v>14.25</v>
      </c>
      <c r="AO39" s="15" cm="1">
        <f t="array" aca="1" ref="AO39" ca="1">SUMPRODUCT(($E39:$AH39)*(AO$3=$E$3:$AH$3)*(AO$4=$E$4:$AH$4)*(AO$5=$E$5:$AH$5)*(AO$6=$E$6:$AH$6))</f>
        <v>14.25</v>
      </c>
      <c r="AP39" s="15" cm="1">
        <f t="array" aca="1" ref="AP39" ca="1">SUMPRODUCT(($E39:$AH39)*(AP$3=$E$3:$AH$3)*(AP$4=$E$4:$AH$4)*(AP$5=$E$5:$AH$5)*(AP$6=$E$6:$AH$6))</f>
        <v>15.75</v>
      </c>
      <c r="AQ39" s="15" cm="1">
        <f t="array" aca="1" ref="AQ39" ca="1">SUMPRODUCT(($E39:$AH39)*(AQ$3=$E$3:$AH$3)*(AQ$4=$E$4:$AH$4)*(AQ$5=$E$5:$AH$5)*(AQ$6=$E$6:$AH$6))</f>
        <v>15.75</v>
      </c>
      <c r="AR39" s="15" cm="1">
        <f t="array" aca="1" ref="AR39" ca="1">SUMPRODUCT(($E39:$AH39)*(AR$3=$E$3:$AH$3)*(AR$4=$E$4:$AH$4)*(AR$5=$E$5:$AH$5)*(AR$6=$E$6:$AH$6))</f>
        <v>15.75</v>
      </c>
      <c r="AS39" s="15" cm="1">
        <f t="array" aca="1" ref="AS39" ca="1">SUMPRODUCT(($E39:$AH39)*(AS$3=$E$3:$AH$3)*(AS$4=$E$4:$AH$4)*(AS$5=$E$5:$AH$5)*(AS$6=$E$6:$AH$6))</f>
        <v>15.75</v>
      </c>
      <c r="AU39" s="15" cm="1">
        <f t="array" aca="1" ref="AU39" ca="1">SUMPRODUCT(($E39:$AH39)*(AU$5=$E$5:$AH$5))</f>
        <v>28.5</v>
      </c>
      <c r="AV39" s="15" cm="1">
        <f t="array" aca="1" ref="AV39" ca="1">SUMPRODUCT(($E39:$AH39)*(AV$5=$E$5:$AH$5))</f>
        <v>57</v>
      </c>
      <c r="AW39" s="15" cm="1">
        <f t="array" aca="1" ref="AW39" ca="1">SUMPRODUCT(($E39:$AH39)*(AW$5=$E$5:$AH$5))</f>
        <v>63</v>
      </c>
    </row>
    <row r="40" spans="1:50" outlineLevel="1" x14ac:dyDescent="0.25">
      <c r="C40" s="1" t="s">
        <v>152</v>
      </c>
      <c r="D40" s="1"/>
      <c r="E40" s="33">
        <f>Expense!E56</f>
        <v>15.229528612992777</v>
      </c>
      <c r="F40" s="33">
        <f>Expense!F56</f>
        <v>15.229528612992777</v>
      </c>
      <c r="G40" s="33">
        <f>Expense!G56</f>
        <v>15.229528612992777</v>
      </c>
      <c r="H40" s="33">
        <f>Expense!H56</f>
        <v>15.229528612992777</v>
      </c>
      <c r="I40" s="33">
        <f>Expense!I56</f>
        <v>15.229528612992777</v>
      </c>
      <c r="J40" s="33">
        <f>Expense!J56</f>
        <v>15.229528612992777</v>
      </c>
      <c r="K40" s="33">
        <f>Expense!K56</f>
        <v>15.229528612992777</v>
      </c>
      <c r="L40" s="33">
        <f>Expense!L56</f>
        <v>15.229528612992777</v>
      </c>
      <c r="M40" s="33">
        <f>Expense!M56</f>
        <v>15.229528612992777</v>
      </c>
      <c r="N40" s="33">
        <f>Expense!N56</f>
        <v>15.229528612992777</v>
      </c>
      <c r="O40" s="33">
        <f>Expense!O56</f>
        <v>15.229528612992777</v>
      </c>
      <c r="P40" s="34">
        <f>Expense!P56</f>
        <v>15.229528612992777</v>
      </c>
      <c r="Q40" s="33">
        <f>Expense!Q56</f>
        <v>15.229528612992777</v>
      </c>
      <c r="R40" s="33">
        <f>Expense!R56</f>
        <v>15.229528612992777</v>
      </c>
      <c r="S40" s="33">
        <f>Expense!S56</f>
        <v>15.229528612992777</v>
      </c>
      <c r="T40" s="33">
        <f>Expense!T56</f>
        <v>15.229528612992777</v>
      </c>
      <c r="U40" s="33">
        <f>Expense!U56</f>
        <v>15.229528612992777</v>
      </c>
      <c r="V40" s="33">
        <f>Expense!V56</f>
        <v>15.229528612992777</v>
      </c>
      <c r="W40" s="33">
        <f>Expense!W56</f>
        <v>15.229528612992777</v>
      </c>
      <c r="X40" s="33">
        <f>Expense!X56</f>
        <v>15.229528612992777</v>
      </c>
      <c r="Y40" s="33">
        <f>Expense!Y56</f>
        <v>15.229528612992777</v>
      </c>
      <c r="Z40" s="33">
        <f>Expense!Z56</f>
        <v>15.229528612992777</v>
      </c>
      <c r="AA40" s="33">
        <f>Expense!AA56</f>
        <v>15.229528612992777</v>
      </c>
      <c r="AB40" s="33">
        <f>Expense!AB56</f>
        <v>15.229528612992777</v>
      </c>
      <c r="AC40" s="33">
        <f>Expense!AC56</f>
        <v>15.229528612992777</v>
      </c>
      <c r="AD40" s="33">
        <f>Expense!AD56</f>
        <v>15.229528612992777</v>
      </c>
      <c r="AE40" s="33">
        <f>Expense!AE56</f>
        <v>15.229528612992777</v>
      </c>
      <c r="AF40" s="33">
        <f>Expense!AF56</f>
        <v>15.229528612992777</v>
      </c>
      <c r="AG40" s="33">
        <f>Expense!AG56</f>
        <v>15.229528612992777</v>
      </c>
      <c r="AH40" s="33">
        <f>Expense!AH56</f>
        <v>15.229528612992777</v>
      </c>
      <c r="AJ40" s="15" cm="1">
        <f t="array" aca="1" ref="AJ40" ca="1">SUMPRODUCT(($E40:$AH40)*(AJ$3=$E$3:$AH$3)*(AJ$4=$E$4:$AH$4)*(AJ$5=$E$5:$AH$5)*(AJ$6=$E$6:$AH$6))</f>
        <v>45.688585838978327</v>
      </c>
      <c r="AK40" s="15" cm="1">
        <f t="array" aca="1" ref="AK40" ca="1">SUMPRODUCT(($E40:$AH40)*(AK$3=$E$3:$AH$3)*(AK$4=$E$4:$AH$4)*(AK$5=$E$5:$AH$5)*(AK$6=$E$6:$AH$6))</f>
        <v>45.688585838978327</v>
      </c>
      <c r="AL40" s="15" cm="1">
        <f t="array" aca="1" ref="AL40" ca="1">SUMPRODUCT(($E40:$AH40)*(AL$3=$E$3:$AH$3)*(AL$4=$E$4:$AH$4)*(AL$5=$E$5:$AH$5)*(AL$6=$E$6:$AH$6))</f>
        <v>45.688585838978327</v>
      </c>
      <c r="AM40" s="16" cm="1">
        <f t="array" aca="1" ref="AM40" ca="1">SUMPRODUCT(($E40:$AH40)*(AM$3=$E$3:$AH$3)*(AM$4=$E$4:$AH$4)*(AM$5=$E$5:$AH$5)*(AM$6=$E$6:$AH$6))</f>
        <v>45.688585838978327</v>
      </c>
      <c r="AN40" s="15" cm="1">
        <f t="array" aca="1" ref="AN40" ca="1">SUMPRODUCT(($E40:$AH40)*(AN$3=$E$3:$AH$3)*(AN$4=$E$4:$AH$4)*(AN$5=$E$5:$AH$5)*(AN$6=$E$6:$AH$6))</f>
        <v>45.688585838978327</v>
      </c>
      <c r="AO40" s="15" cm="1">
        <f t="array" aca="1" ref="AO40" ca="1">SUMPRODUCT(($E40:$AH40)*(AO$3=$E$3:$AH$3)*(AO$4=$E$4:$AH$4)*(AO$5=$E$5:$AH$5)*(AO$6=$E$6:$AH$6))</f>
        <v>45.688585838978327</v>
      </c>
      <c r="AP40" s="15" cm="1">
        <f t="array" aca="1" ref="AP40" ca="1">SUMPRODUCT(($E40:$AH40)*(AP$3=$E$3:$AH$3)*(AP$4=$E$4:$AH$4)*(AP$5=$E$5:$AH$5)*(AP$6=$E$6:$AH$6))</f>
        <v>45.688585838978327</v>
      </c>
      <c r="AQ40" s="15" cm="1">
        <f t="array" aca="1" ref="AQ40" ca="1">SUMPRODUCT(($E40:$AH40)*(AQ$3=$E$3:$AH$3)*(AQ$4=$E$4:$AH$4)*(AQ$5=$E$5:$AH$5)*(AQ$6=$E$6:$AH$6))</f>
        <v>45.688585838978327</v>
      </c>
      <c r="AR40" s="15" cm="1">
        <f t="array" aca="1" ref="AR40" ca="1">SUMPRODUCT(($E40:$AH40)*(AR$3=$E$3:$AH$3)*(AR$4=$E$4:$AH$4)*(AR$5=$E$5:$AH$5)*(AR$6=$E$6:$AH$6))</f>
        <v>45.688585838978327</v>
      </c>
      <c r="AS40" s="15" cm="1">
        <f t="array" aca="1" ref="AS40" ca="1">SUMPRODUCT(($E40:$AH40)*(AS$3=$E$3:$AH$3)*(AS$4=$E$4:$AH$4)*(AS$5=$E$5:$AH$5)*(AS$6=$E$6:$AH$6))</f>
        <v>45.688585838978327</v>
      </c>
      <c r="AU40" s="15" cm="1">
        <f t="array" aca="1" ref="AU40" ca="1">SUMPRODUCT(($E40:$AH40)*(AU$5=$E$5:$AH$5))</f>
        <v>91.377171677956667</v>
      </c>
      <c r="AV40" s="15" cm="1">
        <f t="array" aca="1" ref="AV40" ca="1">SUMPRODUCT(($E40:$AH40)*(AV$5=$E$5:$AH$5))</f>
        <v>182.75434335591331</v>
      </c>
      <c r="AW40" s="15" cm="1">
        <f t="array" aca="1" ref="AW40" ca="1">SUMPRODUCT(($E40:$AH40)*(AW$5=$E$5:$AH$5))</f>
        <v>182.75434335591331</v>
      </c>
      <c r="AX40" s="325"/>
    </row>
    <row r="41" spans="1:50" outlineLevel="1" x14ac:dyDescent="0.25">
      <c r="C41" s="1" t="s">
        <v>86</v>
      </c>
      <c r="D41" s="1"/>
      <c r="E41" s="33">
        <f>Expense!E122</f>
        <v>290.25</v>
      </c>
      <c r="F41" s="33">
        <f>Expense!F122</f>
        <v>290.25</v>
      </c>
      <c r="G41" s="33">
        <f>Expense!G122</f>
        <v>290.25</v>
      </c>
      <c r="H41" s="33">
        <f>Expense!H122</f>
        <v>290.25</v>
      </c>
      <c r="I41" s="33">
        <f>Expense!I122</f>
        <v>290.25</v>
      </c>
      <c r="J41" s="33">
        <f>Expense!J122</f>
        <v>290.25</v>
      </c>
      <c r="K41" s="33">
        <f>Expense!K122</f>
        <v>290.25</v>
      </c>
      <c r="L41" s="33">
        <f>Expense!L122</f>
        <v>290.25</v>
      </c>
      <c r="M41" s="33">
        <f>Expense!M122</f>
        <v>290.25</v>
      </c>
      <c r="N41" s="33">
        <f>Expense!N122</f>
        <v>290.25</v>
      </c>
      <c r="O41" s="33">
        <f>Expense!O122</f>
        <v>290.25</v>
      </c>
      <c r="P41" s="34">
        <f>Expense!P122</f>
        <v>290.25</v>
      </c>
      <c r="Q41" s="33">
        <f>Expense!Q122</f>
        <v>297.01666666666665</v>
      </c>
      <c r="R41" s="33">
        <f>Expense!R122</f>
        <v>304.4083333333333</v>
      </c>
      <c r="S41" s="33">
        <f>Expense!S122</f>
        <v>319.97166666666664</v>
      </c>
      <c r="T41" s="33">
        <f>Expense!T122</f>
        <v>317.94166666666666</v>
      </c>
      <c r="U41" s="33">
        <f>Expense!U122</f>
        <v>317.94166666666666</v>
      </c>
      <c r="V41" s="33">
        <f>Expense!V122</f>
        <v>317.94166666666666</v>
      </c>
      <c r="W41" s="33">
        <f>Expense!W122</f>
        <v>317.94166666666666</v>
      </c>
      <c r="X41" s="33">
        <f>Expense!X122</f>
        <v>317.94166666666666</v>
      </c>
      <c r="Y41" s="33">
        <f>Expense!Y122</f>
        <v>333.22208333333339</v>
      </c>
      <c r="Z41" s="33">
        <f>Expense!Z122</f>
        <v>333.22208333333339</v>
      </c>
      <c r="AA41" s="33">
        <f>Expense!AA122</f>
        <v>333.22208333333339</v>
      </c>
      <c r="AB41" s="33">
        <f>Expense!AB122</f>
        <v>333.22208333333339</v>
      </c>
      <c r="AC41" s="33">
        <f>Expense!AC122</f>
        <v>333.22208333333339</v>
      </c>
      <c r="AD41" s="33">
        <f>Expense!AD122</f>
        <v>333.22208333333339</v>
      </c>
      <c r="AE41" s="33">
        <f>Expense!AE122</f>
        <v>333.22208333333339</v>
      </c>
      <c r="AF41" s="33">
        <f>Expense!AF122</f>
        <v>333.22208333333339</v>
      </c>
      <c r="AG41" s="33">
        <f>Expense!AG122</f>
        <v>333.22208333333339</v>
      </c>
      <c r="AH41" s="33">
        <f>Expense!AH122</f>
        <v>333.22208333333339</v>
      </c>
      <c r="AJ41" s="15" cm="1">
        <f t="array" aca="1" ref="AJ41" ca="1">SUMPRODUCT(($E41:$AH41)*(AJ$3=$E$3:$AH$3)*(AJ$4=$E$4:$AH$4)*(AJ$5=$E$5:$AH$5)*(AJ$6=$E$6:$AH$6))</f>
        <v>870.75</v>
      </c>
      <c r="AK41" s="15" cm="1">
        <f t="array" aca="1" ref="AK41" ca="1">SUMPRODUCT(($E41:$AH41)*(AK$3=$E$3:$AH$3)*(AK$4=$E$4:$AH$4)*(AK$5=$E$5:$AH$5)*(AK$6=$E$6:$AH$6))</f>
        <v>870.75</v>
      </c>
      <c r="AL41" s="15" cm="1">
        <f t="array" aca="1" ref="AL41" ca="1">SUMPRODUCT(($E41:$AH41)*(AL$3=$E$3:$AH$3)*(AL$4=$E$4:$AH$4)*(AL$5=$E$5:$AH$5)*(AL$6=$E$6:$AH$6))</f>
        <v>870.75</v>
      </c>
      <c r="AM41" s="16" cm="1">
        <f t="array" aca="1" ref="AM41" ca="1">SUMPRODUCT(($E41:$AH41)*(AM$3=$E$3:$AH$3)*(AM$4=$E$4:$AH$4)*(AM$5=$E$5:$AH$5)*(AM$6=$E$6:$AH$6))</f>
        <v>870.75</v>
      </c>
      <c r="AN41" s="15" cm="1">
        <f t="array" aca="1" ref="AN41" ca="1">SUMPRODUCT(($E41:$AH41)*(AN$3=$E$3:$AH$3)*(AN$4=$E$4:$AH$4)*(AN$5=$E$5:$AH$5)*(AN$6=$E$6:$AH$6))</f>
        <v>921.39666666666653</v>
      </c>
      <c r="AO41" s="15" cm="1">
        <f t="array" aca="1" ref="AO41" ca="1">SUMPRODUCT(($E41:$AH41)*(AO$3=$E$3:$AH$3)*(AO$4=$E$4:$AH$4)*(AO$5=$E$5:$AH$5)*(AO$6=$E$6:$AH$6))</f>
        <v>953.82500000000005</v>
      </c>
      <c r="AP41" s="15" cm="1">
        <f t="array" aca="1" ref="AP41" ca="1">SUMPRODUCT(($E41:$AH41)*(AP$3=$E$3:$AH$3)*(AP$4=$E$4:$AH$4)*(AP$5=$E$5:$AH$5)*(AP$6=$E$6:$AH$6))</f>
        <v>969.10541666666677</v>
      </c>
      <c r="AQ41" s="15" cm="1">
        <f t="array" aca="1" ref="AQ41" ca="1">SUMPRODUCT(($E41:$AH41)*(AQ$3=$E$3:$AH$3)*(AQ$4=$E$4:$AH$4)*(AQ$5=$E$5:$AH$5)*(AQ$6=$E$6:$AH$6))</f>
        <v>999.66625000000022</v>
      </c>
      <c r="AR41" s="15" cm="1">
        <f t="array" aca="1" ref="AR41" ca="1">SUMPRODUCT(($E41:$AH41)*(AR$3=$E$3:$AH$3)*(AR$4=$E$4:$AH$4)*(AR$5=$E$5:$AH$5)*(AR$6=$E$6:$AH$6))</f>
        <v>999.66625000000022</v>
      </c>
      <c r="AS41" s="15" cm="1">
        <f t="array" aca="1" ref="AS41" ca="1">SUMPRODUCT(($E41:$AH41)*(AS$3=$E$3:$AH$3)*(AS$4=$E$4:$AH$4)*(AS$5=$E$5:$AH$5)*(AS$6=$E$6:$AH$6))</f>
        <v>999.66625000000022</v>
      </c>
      <c r="AU41" s="15" cm="1">
        <f t="array" aca="1" ref="AU41" ca="1">SUMPRODUCT(($E41:$AH41)*(AU$5=$E$5:$AH$5))</f>
        <v>1741.5</v>
      </c>
      <c r="AV41" s="15" cm="1">
        <f t="array" aca="1" ref="AV41" ca="1">SUMPRODUCT(($E41:$AH41)*(AV$5=$E$5:$AH$5))</f>
        <v>3616.7216666666668</v>
      </c>
      <c r="AW41" s="15" cm="1">
        <f t="array" aca="1" ref="AW41" ca="1">SUMPRODUCT(($E41:$AH41)*(AW$5=$E$5:$AH$5))</f>
        <v>3968.1041666666679</v>
      </c>
    </row>
    <row r="42" spans="1:50" outlineLevel="1" x14ac:dyDescent="0.25">
      <c r="C42" s="1" t="s">
        <v>29</v>
      </c>
      <c r="D42" s="1"/>
      <c r="E42" s="33">
        <f>Expense!E127</f>
        <v>0</v>
      </c>
      <c r="F42" s="33">
        <f>Expense!F127</f>
        <v>0</v>
      </c>
      <c r="G42" s="33">
        <f>Expense!G127</f>
        <v>0</v>
      </c>
      <c r="H42" s="33">
        <f>Expense!H127</f>
        <v>0</v>
      </c>
      <c r="I42" s="33">
        <f>Expense!I127</f>
        <v>0</v>
      </c>
      <c r="J42" s="33">
        <f>Expense!J127</f>
        <v>0</v>
      </c>
      <c r="K42" s="33">
        <f>Expense!K127</f>
        <v>0</v>
      </c>
      <c r="L42" s="33">
        <f>Expense!L127</f>
        <v>0</v>
      </c>
      <c r="M42" s="33">
        <f>Expense!M127</f>
        <v>389.76</v>
      </c>
      <c r="N42" s="33">
        <f>Expense!N127</f>
        <v>0</v>
      </c>
      <c r="O42" s="33">
        <f>Expense!O127</f>
        <v>0</v>
      </c>
      <c r="P42" s="34">
        <f>Expense!P127</f>
        <v>0</v>
      </c>
      <c r="Q42" s="33">
        <f>Expense!Q127</f>
        <v>0</v>
      </c>
      <c r="R42" s="33">
        <f>Expense!R127</f>
        <v>0</v>
      </c>
      <c r="S42" s="33">
        <f>Expense!S127</f>
        <v>0</v>
      </c>
      <c r="T42" s="33">
        <f>Expense!T127</f>
        <v>0</v>
      </c>
      <c r="U42" s="33">
        <f>Expense!U127</f>
        <v>0</v>
      </c>
      <c r="V42" s="33">
        <f>Expense!V127</f>
        <v>0</v>
      </c>
      <c r="W42" s="33">
        <f>Expense!W127</f>
        <v>0</v>
      </c>
      <c r="X42" s="33">
        <f>Expense!X127</f>
        <v>0</v>
      </c>
      <c r="Y42" s="33">
        <f>Expense!Y127</f>
        <v>375.14400000000001</v>
      </c>
      <c r="Z42" s="33">
        <f>Expense!Z127</f>
        <v>0</v>
      </c>
      <c r="AA42" s="33">
        <f>Expense!AA127</f>
        <v>0</v>
      </c>
      <c r="AB42" s="33">
        <f>Expense!AB127</f>
        <v>0</v>
      </c>
      <c r="AC42" s="33">
        <f>Expense!AC127</f>
        <v>0</v>
      </c>
      <c r="AD42" s="33">
        <f>Expense!AD127</f>
        <v>0</v>
      </c>
      <c r="AE42" s="33">
        <f>Expense!AE127</f>
        <v>0</v>
      </c>
      <c r="AF42" s="33">
        <f>Expense!AF127</f>
        <v>0</v>
      </c>
      <c r="AG42" s="33">
        <f>Expense!AG127</f>
        <v>0</v>
      </c>
      <c r="AH42" s="33">
        <f>Expense!AH127</f>
        <v>0</v>
      </c>
      <c r="AJ42" s="15" cm="1">
        <f t="array" aca="1" ref="AJ42" ca="1">SUMPRODUCT(($E42:$AH42)*(AJ$3=$E$3:$AH$3)*(AJ$4=$E$4:$AH$4)*(AJ$5=$E$5:$AH$5)*(AJ$6=$E$6:$AH$6))</f>
        <v>0</v>
      </c>
      <c r="AK42" s="15" cm="1">
        <f t="array" aca="1" ref="AK42" ca="1">SUMPRODUCT(($E42:$AH42)*(AK$3=$E$3:$AH$3)*(AK$4=$E$4:$AH$4)*(AK$5=$E$5:$AH$5)*(AK$6=$E$6:$AH$6))</f>
        <v>0</v>
      </c>
      <c r="AL42" s="15" cm="1">
        <f t="array" aca="1" ref="AL42" ca="1">SUMPRODUCT(($E42:$AH42)*(AL$3=$E$3:$AH$3)*(AL$4=$E$4:$AH$4)*(AL$5=$E$5:$AH$5)*(AL$6=$E$6:$AH$6))</f>
        <v>389.76</v>
      </c>
      <c r="AM42" s="16" cm="1">
        <f t="array" aca="1" ref="AM42" ca="1">SUMPRODUCT(($E42:$AH42)*(AM$3=$E$3:$AH$3)*(AM$4=$E$4:$AH$4)*(AM$5=$E$5:$AH$5)*(AM$6=$E$6:$AH$6))</f>
        <v>0</v>
      </c>
      <c r="AN42" s="15" cm="1">
        <f t="array" aca="1" ref="AN42" ca="1">SUMPRODUCT(($E42:$AH42)*(AN$3=$E$3:$AH$3)*(AN$4=$E$4:$AH$4)*(AN$5=$E$5:$AH$5)*(AN$6=$E$6:$AH$6))</f>
        <v>0</v>
      </c>
      <c r="AO42" s="15" cm="1">
        <f t="array" aca="1" ref="AO42" ca="1">SUMPRODUCT(($E42:$AH42)*(AO$3=$E$3:$AH$3)*(AO$4=$E$4:$AH$4)*(AO$5=$E$5:$AH$5)*(AO$6=$E$6:$AH$6))</f>
        <v>0</v>
      </c>
      <c r="AP42" s="15" cm="1">
        <f t="array" aca="1" ref="AP42" ca="1">SUMPRODUCT(($E42:$AH42)*(AP$3=$E$3:$AH$3)*(AP$4=$E$4:$AH$4)*(AP$5=$E$5:$AH$5)*(AP$6=$E$6:$AH$6))</f>
        <v>375.14400000000001</v>
      </c>
      <c r="AQ42" s="15" cm="1">
        <f t="array" aca="1" ref="AQ42" ca="1">SUMPRODUCT(($E42:$AH42)*(AQ$3=$E$3:$AH$3)*(AQ$4=$E$4:$AH$4)*(AQ$5=$E$5:$AH$5)*(AQ$6=$E$6:$AH$6))</f>
        <v>0</v>
      </c>
      <c r="AR42" s="15" cm="1">
        <f t="array" aca="1" ref="AR42" ca="1">SUMPRODUCT(($E42:$AH42)*(AR$3=$E$3:$AH$3)*(AR$4=$E$4:$AH$4)*(AR$5=$E$5:$AH$5)*(AR$6=$E$6:$AH$6))</f>
        <v>0</v>
      </c>
      <c r="AS42" s="15" cm="1">
        <f t="array" aca="1" ref="AS42" ca="1">SUMPRODUCT(($E42:$AH42)*(AS$3=$E$3:$AH$3)*(AS$4=$E$4:$AH$4)*(AS$5=$E$5:$AH$5)*(AS$6=$E$6:$AH$6))</f>
        <v>0</v>
      </c>
      <c r="AU42" s="15" cm="1">
        <f t="array" aca="1" ref="AU42" ca="1">SUMPRODUCT(($E42:$AH42)*(AU$5=$E$5:$AH$5))</f>
        <v>0</v>
      </c>
      <c r="AV42" s="15" cm="1">
        <f t="array" aca="1" ref="AV42" ca="1">SUMPRODUCT(($E42:$AH42)*(AV$5=$E$5:$AH$5))</f>
        <v>389.76</v>
      </c>
      <c r="AW42" s="15" cm="1">
        <f t="array" aca="1" ref="AW42" ca="1">SUMPRODUCT(($E42:$AH42)*(AW$5=$E$5:$AH$5))</f>
        <v>375.14400000000001</v>
      </c>
    </row>
    <row r="43" spans="1:50" outlineLevel="1" x14ac:dyDescent="0.25">
      <c r="C43" s="1" t="s">
        <v>87</v>
      </c>
      <c r="D43" s="1"/>
      <c r="E43" s="33">
        <f>Expense!E132</f>
        <v>28.060805930349986</v>
      </c>
      <c r="F43" s="33">
        <f>Expense!F132</f>
        <v>27.904555160312505</v>
      </c>
      <c r="G43" s="33">
        <f>Expense!G132</f>
        <v>28.497594212365705</v>
      </c>
      <c r="H43" s="33">
        <f>Expense!H132</f>
        <v>28.123459268379939</v>
      </c>
      <c r="I43" s="33">
        <f>Expense!I132</f>
        <v>28.022409926223933</v>
      </c>
      <c r="J43" s="33">
        <f>Expense!J132</f>
        <v>28.45283808301085</v>
      </c>
      <c r="K43" s="33">
        <f>Expense!K132</f>
        <v>28.297291652640723</v>
      </c>
      <c r="L43" s="33">
        <f>Expense!L132</f>
        <v>28.509404654645248</v>
      </c>
      <c r="M43" s="33">
        <f>Expense!M132</f>
        <v>27.906239537241042</v>
      </c>
      <c r="N43" s="33">
        <f>Expense!N132</f>
        <v>28.148710076876299</v>
      </c>
      <c r="O43" s="33">
        <f>Expense!O132</f>
        <v>28.383349212334618</v>
      </c>
      <c r="P43" s="34">
        <f>Expense!P132</f>
        <v>27.956947696306809</v>
      </c>
      <c r="Q43" s="33">
        <f>Expense!Q132</f>
        <v>28.905331900132637</v>
      </c>
      <c r="R43" s="33">
        <f>Expense!R132</f>
        <v>29.593370621922006</v>
      </c>
      <c r="S43" s="33">
        <f>Expense!S132</f>
        <v>31.153925683917425</v>
      </c>
      <c r="T43" s="33">
        <f>Expense!T132</f>
        <v>30.983965605706587</v>
      </c>
      <c r="U43" s="33">
        <f>Expense!U132</f>
        <v>30.987363025897032</v>
      </c>
      <c r="V43" s="33">
        <f>Expense!V132</f>
        <v>30.948309507951851</v>
      </c>
      <c r="W43" s="33">
        <f>Expense!W132</f>
        <v>30.980920681620923</v>
      </c>
      <c r="X43" s="33">
        <f>Expense!X132</f>
        <v>30.974348097639698</v>
      </c>
      <c r="Y43" s="33">
        <f>Expense!Y132</f>
        <v>30.969642989450413</v>
      </c>
      <c r="Z43" s="33">
        <f>Expense!Z132</f>
        <v>30.974091651377751</v>
      </c>
      <c r="AA43" s="33">
        <f>Expense!AA132</f>
        <v>30.97244599232295</v>
      </c>
      <c r="AB43" s="33">
        <f>Expense!AB132</f>
        <v>30.969959820060602</v>
      </c>
      <c r="AC43" s="33">
        <f>Expense!AC132</f>
        <v>30.973568205412057</v>
      </c>
      <c r="AD43" s="33">
        <f>Expense!AD132</f>
        <v>30.972342792710581</v>
      </c>
      <c r="AE43" s="33">
        <f>Expense!AE132</f>
        <v>30.972008575222397</v>
      </c>
      <c r="AF43" s="33">
        <f>Expense!AF132</f>
        <v>30.972402839517724</v>
      </c>
      <c r="AG43" s="33">
        <f>Expense!AG132</f>
        <v>30.972121370874387</v>
      </c>
      <c r="AH43" s="33">
        <f>Expense!AH132</f>
        <v>30.972067267299625</v>
      </c>
      <c r="AJ43" s="15" cm="1">
        <f t="array" aca="1" ref="AJ43" ca="1">SUMPRODUCT(($E43:$AH43)*(AJ$3=$E$3:$AH$3)*(AJ$4=$E$4:$AH$4)*(AJ$5=$E$5:$AH$5)*(AJ$6=$E$6:$AH$6))</f>
        <v>84.462955303028195</v>
      </c>
      <c r="AK43" s="15" cm="1">
        <f t="array" aca="1" ref="AK43" ca="1">SUMPRODUCT(($E43:$AH43)*(AK$3=$E$3:$AH$3)*(AK$4=$E$4:$AH$4)*(AK$5=$E$5:$AH$5)*(AK$6=$E$6:$AH$6))</f>
        <v>84.598707277614722</v>
      </c>
      <c r="AL43" s="15" cm="1">
        <f t="array" aca="1" ref="AL43" ca="1">SUMPRODUCT(($E43:$AH43)*(AL$3=$E$3:$AH$3)*(AL$4=$E$4:$AH$4)*(AL$5=$E$5:$AH$5)*(AL$6=$E$6:$AH$6))</f>
        <v>84.71293584452701</v>
      </c>
      <c r="AM43" s="16" cm="1">
        <f t="array" aca="1" ref="AM43" ca="1">SUMPRODUCT(($E43:$AH43)*(AM$3=$E$3:$AH$3)*(AM$4=$E$4:$AH$4)*(AM$5=$E$5:$AH$5)*(AM$6=$E$6:$AH$6))</f>
        <v>84.489006985517733</v>
      </c>
      <c r="AN43" s="15" cm="1">
        <f t="array" aca="1" ref="AN43" ca="1">SUMPRODUCT(($E43:$AH43)*(AN$3=$E$3:$AH$3)*(AN$4=$E$4:$AH$4)*(AN$5=$E$5:$AH$5)*(AN$6=$E$6:$AH$6))</f>
        <v>89.652628205972064</v>
      </c>
      <c r="AO43" s="15" cm="1">
        <f t="array" aca="1" ref="AO43" ca="1">SUMPRODUCT(($E43:$AH43)*(AO$3=$E$3:$AH$3)*(AO$4=$E$4:$AH$4)*(AO$5=$E$5:$AH$5)*(AO$6=$E$6:$AH$6))</f>
        <v>92.919638139555474</v>
      </c>
      <c r="AP43" s="15" cm="1">
        <f t="array" aca="1" ref="AP43" ca="1">SUMPRODUCT(($E43:$AH43)*(AP$3=$E$3:$AH$3)*(AP$4=$E$4:$AH$4)*(AP$5=$E$5:$AH$5)*(AP$6=$E$6:$AH$6))</f>
        <v>92.924911768711041</v>
      </c>
      <c r="AQ43" s="15" cm="1">
        <f t="array" aca="1" ref="AQ43" ca="1">SUMPRODUCT(($E43:$AH43)*(AQ$3=$E$3:$AH$3)*(AQ$4=$E$4:$AH$4)*(AQ$5=$E$5:$AH$5)*(AQ$6=$E$6:$AH$6))</f>
        <v>92.916497463761303</v>
      </c>
      <c r="AR43" s="15" cm="1">
        <f t="array" aca="1" ref="AR43" ca="1">SUMPRODUCT(($E43:$AH43)*(AR$3=$E$3:$AH$3)*(AR$4=$E$4:$AH$4)*(AR$5=$E$5:$AH$5)*(AR$6=$E$6:$AH$6))</f>
        <v>92.917919573345046</v>
      </c>
      <c r="AS43" s="15" cm="1">
        <f t="array" aca="1" ref="AS43" ca="1">SUMPRODUCT(($E43:$AH43)*(AS$3=$E$3:$AH$3)*(AS$4=$E$4:$AH$4)*(AS$5=$E$5:$AH$5)*(AS$6=$E$6:$AH$6))</f>
        <v>92.916591477691739</v>
      </c>
      <c r="AU43" s="15" cm="1">
        <f t="array" aca="1" ref="AU43" ca="1">SUMPRODUCT(($E43:$AH43)*(AU$5=$E$5:$AH$5))</f>
        <v>169.06166258064292</v>
      </c>
      <c r="AV43" s="15" cm="1">
        <f t="array" aca="1" ref="AV43" ca="1">SUMPRODUCT(($E43:$AH43)*(AV$5=$E$5:$AH$5))</f>
        <v>351.77420917557225</v>
      </c>
      <c r="AW43" s="15" cm="1">
        <f t="array" aca="1" ref="AW43" ca="1">SUMPRODUCT(($E43:$AH43)*(AW$5=$E$5:$AH$5))</f>
        <v>371.67592028350913</v>
      </c>
    </row>
    <row r="44" spans="1:50" outlineLevel="1" x14ac:dyDescent="0.25">
      <c r="C44" s="1" t="s">
        <v>31</v>
      </c>
      <c r="D44" s="1"/>
      <c r="E44" s="33">
        <f>Expense!E139</f>
        <v>12.185942010647937</v>
      </c>
      <c r="F44" s="33">
        <f>Expense!F139</f>
        <v>12.154127233632403</v>
      </c>
      <c r="G44" s="33">
        <f>Expense!G139</f>
        <v>12.328902667974944</v>
      </c>
      <c r="H44" s="33">
        <f>Expense!H139</f>
        <v>12.400810951891399</v>
      </c>
      <c r="I44" s="33">
        <f>Expense!I139</f>
        <v>12.303925584841489</v>
      </c>
      <c r="J44" s="33">
        <f>Expense!J139</f>
        <v>12.439424274400615</v>
      </c>
      <c r="K44" s="33">
        <f>Expense!K139</f>
        <v>12.133899957740798</v>
      </c>
      <c r="L44" s="33">
        <f>Expense!L139</f>
        <v>11.954454082828804</v>
      </c>
      <c r="M44" s="33">
        <f>Expense!M139</f>
        <v>12.175428824138924</v>
      </c>
      <c r="N44" s="33">
        <f>Expense!N139</f>
        <v>12.290006021446709</v>
      </c>
      <c r="O44" s="33">
        <f>Expense!O139</f>
        <v>12.287552615320768</v>
      </c>
      <c r="P44" s="34">
        <f>Expense!P139</f>
        <v>12.014487223248898</v>
      </c>
      <c r="Q44" s="33">
        <f>Expense!Q139</f>
        <v>12.502927861150672</v>
      </c>
      <c r="R44" s="33">
        <f>Expense!R139</f>
        <v>12.836725378004083</v>
      </c>
      <c r="S44" s="33">
        <f>Expense!S139</f>
        <v>13.488623685091827</v>
      </c>
      <c r="T44" s="33">
        <f>Expense!T139</f>
        <v>13.395502751164264</v>
      </c>
      <c r="U44" s="33">
        <f>Expense!U139</f>
        <v>13.379288892813278</v>
      </c>
      <c r="V44" s="33">
        <f>Expense!V139</f>
        <v>13.370571948981249</v>
      </c>
      <c r="W44" s="33">
        <f>Expense!W139</f>
        <v>13.348754156828482</v>
      </c>
      <c r="X44" s="33">
        <f>Expense!X139</f>
        <v>13.353020265286903</v>
      </c>
      <c r="Y44" s="33">
        <f>Expense!Y139</f>
        <v>13.37402980182433</v>
      </c>
      <c r="Z44" s="33">
        <f>Expense!Z139</f>
        <v>13.376609584635258</v>
      </c>
      <c r="AA44" s="33">
        <f>Expense!AA139</f>
        <v>13.368940571150336</v>
      </c>
      <c r="AB44" s="33">
        <f>Expense!AB139</f>
        <v>13.360856530857955</v>
      </c>
      <c r="AC44" s="33">
        <f>Expense!AC139</f>
        <v>13.377036554776186</v>
      </c>
      <c r="AD44" s="33">
        <f>Expense!AD139</f>
        <v>13.375576022591504</v>
      </c>
      <c r="AE44" s="33">
        <f>Expense!AE139</f>
        <v>13.373716216095815</v>
      </c>
      <c r="AF44" s="33">
        <f>Expense!AF139</f>
        <v>13.371158608083796</v>
      </c>
      <c r="AG44" s="33">
        <f>Expense!AG139</f>
        <v>13.369129929493756</v>
      </c>
      <c r="AH44" s="33">
        <f>Expense!AH139</f>
        <v>13.36828334921713</v>
      </c>
      <c r="AJ44" s="15" cm="1">
        <f t="array" aca="1" ref="AJ44" ca="1">SUMPRODUCT(($E44:$AH44)*(AJ$3=$E$3:$AH$3)*(AJ$4=$E$4:$AH$4)*(AJ$5=$E$5:$AH$5)*(AJ$6=$E$6:$AH$6))</f>
        <v>36.668971912255287</v>
      </c>
      <c r="AK44" s="15" cm="1">
        <f t="array" aca="1" ref="AK44" ca="1">SUMPRODUCT(($E44:$AH44)*(AK$3=$E$3:$AH$3)*(AK$4=$E$4:$AH$4)*(AK$5=$E$5:$AH$5)*(AK$6=$E$6:$AH$6))</f>
        <v>37.144160811133503</v>
      </c>
      <c r="AL44" s="15" cm="1">
        <f t="array" aca="1" ref="AL44" ca="1">SUMPRODUCT(($E44:$AH44)*(AL$3=$E$3:$AH$3)*(AL$4=$E$4:$AH$4)*(AL$5=$E$5:$AH$5)*(AL$6=$E$6:$AH$6))</f>
        <v>36.263782864708524</v>
      </c>
      <c r="AM44" s="16" cm="1">
        <f t="array" aca="1" ref="AM44" ca="1">SUMPRODUCT(($E44:$AH44)*(AM$3=$E$3:$AH$3)*(AM$4=$E$4:$AH$4)*(AM$5=$E$5:$AH$5)*(AM$6=$E$6:$AH$6))</f>
        <v>36.592045860016377</v>
      </c>
      <c r="AN44" s="15" cm="1">
        <f t="array" aca="1" ref="AN44" ca="1">SUMPRODUCT(($E44:$AH44)*(AN$3=$E$3:$AH$3)*(AN$4=$E$4:$AH$4)*(AN$5=$E$5:$AH$5)*(AN$6=$E$6:$AH$6))</f>
        <v>38.82827692424658</v>
      </c>
      <c r="AO44" s="15" cm="1">
        <f t="array" aca="1" ref="AO44" ca="1">SUMPRODUCT(($E44:$AH44)*(AO$3=$E$3:$AH$3)*(AO$4=$E$4:$AH$4)*(AO$5=$E$5:$AH$5)*(AO$6=$E$6:$AH$6))</f>
        <v>40.145363592958795</v>
      </c>
      <c r="AP44" s="15" cm="1">
        <f t="array" aca="1" ref="AP44" ca="1">SUMPRODUCT(($E44:$AH44)*(AP$3=$E$3:$AH$3)*(AP$4=$E$4:$AH$4)*(AP$5=$E$5:$AH$5)*(AP$6=$E$6:$AH$6))</f>
        <v>40.075804223939713</v>
      </c>
      <c r="AQ44" s="15" cm="1">
        <f t="array" aca="1" ref="AQ44" ca="1">SUMPRODUCT(($E44:$AH44)*(AQ$3=$E$3:$AH$3)*(AQ$4=$E$4:$AH$4)*(AQ$5=$E$5:$AH$5)*(AQ$6=$E$6:$AH$6))</f>
        <v>40.106406686643552</v>
      </c>
      <c r="AR44" s="15" cm="1">
        <f t="array" aca="1" ref="AR44" ca="1">SUMPRODUCT(($E44:$AH44)*(AR$3=$E$3:$AH$3)*(AR$4=$E$4:$AH$4)*(AR$5=$E$5:$AH$5)*(AR$6=$E$6:$AH$6))</f>
        <v>40.126328793463507</v>
      </c>
      <c r="AS44" s="15" cm="1">
        <f t="array" aca="1" ref="AS44" ca="1">SUMPRODUCT(($E44:$AH44)*(AS$3=$E$3:$AH$3)*(AS$4=$E$4:$AH$4)*(AS$5=$E$5:$AH$5)*(AS$6=$E$6:$AH$6))</f>
        <v>40.108571886794678</v>
      </c>
      <c r="AU44" s="15" cm="1">
        <f t="array" aca="1" ref="AU44" ca="1">SUMPRODUCT(($E44:$AH44)*(AU$5=$E$5:$AH$5))</f>
        <v>73.81313272338879</v>
      </c>
      <c r="AV44" s="15" cm="1">
        <f t="array" aca="1" ref="AV44" ca="1">SUMPRODUCT(($E44:$AH44)*(AV$5=$E$5:$AH$5))</f>
        <v>151.82946924193027</v>
      </c>
      <c r="AW44" s="15" cm="1">
        <f t="array" aca="1" ref="AW44" ca="1">SUMPRODUCT(($E44:$AH44)*(AW$5=$E$5:$AH$5))</f>
        <v>160.41711159084147</v>
      </c>
    </row>
    <row r="45" spans="1:50" outlineLevel="1" x14ac:dyDescent="0.25">
      <c r="C45" s="1" t="s">
        <v>151</v>
      </c>
      <c r="D45" s="1"/>
      <c r="E45" s="33">
        <f>Expense!E162</f>
        <v>466.33051765939143</v>
      </c>
      <c r="F45" s="33">
        <f>Expense!F162</f>
        <v>411.25055864271195</v>
      </c>
      <c r="G45" s="33">
        <f>Expense!G162</f>
        <v>325.43115049900075</v>
      </c>
      <c r="H45" s="33">
        <f>Expense!H162</f>
        <v>283.09912311626232</v>
      </c>
      <c r="I45" s="33">
        <f>Expense!I162</f>
        <v>255.76143729257313</v>
      </c>
      <c r="J45" s="33">
        <f>Expense!J162</f>
        <v>331.3179786842739</v>
      </c>
      <c r="K45" s="33">
        <f>Expense!K162</f>
        <v>347.25322529242891</v>
      </c>
      <c r="L45" s="33">
        <f>Expense!L162</f>
        <v>287.43922102738668</v>
      </c>
      <c r="M45" s="33">
        <f>Expense!M162</f>
        <v>276.18080868502204</v>
      </c>
      <c r="N45" s="33">
        <f>Expense!N162</f>
        <v>331.1039208234501</v>
      </c>
      <c r="O45" s="33">
        <f>Expense!O162</f>
        <v>410.12473139176257</v>
      </c>
      <c r="P45" s="34">
        <f>Expense!P162</f>
        <v>492.55763835999801</v>
      </c>
      <c r="Q45" s="33">
        <f>Expense!Q162</f>
        <v>432.20772937043762</v>
      </c>
      <c r="R45" s="33">
        <f>Expense!R162</f>
        <v>383.23952647174065</v>
      </c>
      <c r="S45" s="33">
        <f>Expense!S162</f>
        <v>316.40296995337928</v>
      </c>
      <c r="T45" s="33">
        <f>Expense!T162</f>
        <v>295.37424700548763</v>
      </c>
      <c r="U45" s="33">
        <f>Expense!U162</f>
        <v>266.97544533134896</v>
      </c>
      <c r="V45" s="33">
        <f>Expense!V162</f>
        <v>333.59895535371396</v>
      </c>
      <c r="W45" s="33">
        <f>Expense!W162</f>
        <v>380.1638588506043</v>
      </c>
      <c r="X45" s="33">
        <f>Expense!X162</f>
        <v>316.68053689956969</v>
      </c>
      <c r="Y45" s="33">
        <f>Expense!Y162</f>
        <v>291.68898121936365</v>
      </c>
      <c r="Z45" s="33">
        <f>Expense!Z162</f>
        <v>362.42338948565737</v>
      </c>
      <c r="AA45" s="33">
        <f>Expense!AA162</f>
        <v>410.19191364067774</v>
      </c>
      <c r="AB45" s="33">
        <f>Expense!AB162</f>
        <v>461.76165226450257</v>
      </c>
      <c r="AC45" s="33">
        <f>Expense!AC162</f>
        <v>444.58111164429289</v>
      </c>
      <c r="AD45" s="33">
        <f>Expense!AD162</f>
        <v>394.21537567945734</v>
      </c>
      <c r="AE45" s="33">
        <f>Expense!AE162</f>
        <v>325.89553846687261</v>
      </c>
      <c r="AF45" s="33">
        <f>Expense!AF162</f>
        <v>305.27140096194086</v>
      </c>
      <c r="AG45" s="33">
        <f>Expense!AG162</f>
        <v>275.79428618588832</v>
      </c>
      <c r="AH45" s="33">
        <f>Expense!AH162</f>
        <v>344.02824903576118</v>
      </c>
      <c r="AJ45" s="15" cm="1">
        <f t="array" aca="1" ref="AJ45" ca="1">SUMPRODUCT(($E45:$AH45)*(AJ$3=$E$3:$AH$3)*(AJ$4=$E$4:$AH$4)*(AJ$5=$E$5:$AH$5)*(AJ$6=$E$6:$AH$6))</f>
        <v>1203.0122268011041</v>
      </c>
      <c r="AK45" s="15" cm="1">
        <f t="array" aca="1" ref="AK45" ca="1">SUMPRODUCT(($E45:$AH45)*(AK$3=$E$3:$AH$3)*(AK$4=$E$4:$AH$4)*(AK$5=$E$5:$AH$5)*(AK$6=$E$6:$AH$6))</f>
        <v>870.17853909310929</v>
      </c>
      <c r="AL45" s="15" cm="1">
        <f t="array" aca="1" ref="AL45" ca="1">SUMPRODUCT(($E45:$AH45)*(AL$3=$E$3:$AH$3)*(AL$4=$E$4:$AH$4)*(AL$5=$E$5:$AH$5)*(AL$6=$E$6:$AH$6))</f>
        <v>910.87325500483769</v>
      </c>
      <c r="AM45" s="16" cm="1">
        <f t="array" aca="1" ref="AM45" ca="1">SUMPRODUCT(($E45:$AH45)*(AM$3=$E$3:$AH$3)*(AM$4=$E$4:$AH$4)*(AM$5=$E$5:$AH$5)*(AM$6=$E$6:$AH$6))</f>
        <v>1233.7862905752106</v>
      </c>
      <c r="AN45" s="15" cm="1">
        <f t="array" aca="1" ref="AN45" ca="1">SUMPRODUCT(($E45:$AH45)*(AN$3=$E$3:$AH$3)*(AN$4=$E$4:$AH$4)*(AN$5=$E$5:$AH$5)*(AN$6=$E$6:$AH$6))</f>
        <v>1131.8502257955574</v>
      </c>
      <c r="AO45" s="15" cm="1">
        <f t="array" aca="1" ref="AO45" ca="1">SUMPRODUCT(($E45:$AH45)*(AO$3=$E$3:$AH$3)*(AO$4=$E$4:$AH$4)*(AO$5=$E$5:$AH$5)*(AO$6=$E$6:$AH$6))</f>
        <v>895.94864769055062</v>
      </c>
      <c r="AP45" s="15" cm="1">
        <f t="array" aca="1" ref="AP45" ca="1">SUMPRODUCT(($E45:$AH45)*(AP$3=$E$3:$AH$3)*(AP$4=$E$4:$AH$4)*(AP$5=$E$5:$AH$5)*(AP$6=$E$6:$AH$6))</f>
        <v>988.5333769695377</v>
      </c>
      <c r="AQ45" s="15" cm="1">
        <f t="array" aca="1" ref="AQ45" ca="1">SUMPRODUCT(($E45:$AH45)*(AQ$3=$E$3:$AH$3)*(AQ$4=$E$4:$AH$4)*(AQ$5=$E$5:$AH$5)*(AQ$6=$E$6:$AH$6))</f>
        <v>1234.3769553908378</v>
      </c>
      <c r="AR45" s="15" cm="1">
        <f t="array" aca="1" ref="AR45" ca="1">SUMPRODUCT(($E45:$AH45)*(AR$3=$E$3:$AH$3)*(AR$4=$E$4:$AH$4)*(AR$5=$E$5:$AH$5)*(AR$6=$E$6:$AH$6))</f>
        <v>1164.6920257906227</v>
      </c>
      <c r="AS45" s="15" cm="1">
        <f t="array" aca="1" ref="AS45" ca="1">SUMPRODUCT(($E45:$AH45)*(AS$3=$E$3:$AH$3)*(AS$4=$E$4:$AH$4)*(AS$5=$E$5:$AH$5)*(AS$6=$E$6:$AH$6))</f>
        <v>925.09393618359036</v>
      </c>
      <c r="AU45" s="15" cm="1">
        <f t="array" aca="1" ref="AU45" ca="1">SUMPRODUCT(($E45:$AH45)*(AU$5=$E$5:$AH$5))</f>
        <v>2073.1907658942137</v>
      </c>
      <c r="AV45" s="15" cm="1">
        <f t="array" aca="1" ref="AV45" ca="1">SUMPRODUCT(($E45:$AH45)*(AV$5=$E$5:$AH$5))</f>
        <v>4172.4584190661562</v>
      </c>
      <c r="AW45" s="15" cm="1">
        <f t="array" aca="1" ref="AW45" ca="1">SUMPRODUCT(($E45:$AH45)*(AW$5=$E$5:$AH$5))</f>
        <v>4312.6962943345879</v>
      </c>
    </row>
    <row r="46" spans="1:50" outlineLevel="1" x14ac:dyDescent="0.25">
      <c r="C46" s="23" t="s">
        <v>81</v>
      </c>
      <c r="D46" s="23"/>
      <c r="E46" s="74">
        <f>Expense!E50</f>
        <v>24.922699933540848</v>
      </c>
      <c r="F46" s="74">
        <f>Expense!F50</f>
        <v>24.922699933540848</v>
      </c>
      <c r="G46" s="74">
        <f>Expense!G50</f>
        <v>24.922699933540848</v>
      </c>
      <c r="H46" s="74">
        <f>Expense!H50</f>
        <v>24.922699933540848</v>
      </c>
      <c r="I46" s="74">
        <f>Expense!I50</f>
        <v>24.922699933540848</v>
      </c>
      <c r="J46" s="74">
        <f>Expense!J50</f>
        <v>24.922699933540848</v>
      </c>
      <c r="K46" s="74">
        <f>Expense!K50</f>
        <v>24.922699933540848</v>
      </c>
      <c r="L46" s="74">
        <f>Expense!L50</f>
        <v>24.922699933540848</v>
      </c>
      <c r="M46" s="74">
        <f>Expense!M50</f>
        <v>24.922699933540848</v>
      </c>
      <c r="N46" s="74">
        <f>Expense!N50</f>
        <v>24.922699933540848</v>
      </c>
      <c r="O46" s="74">
        <f>Expense!O50</f>
        <v>24.922699933540848</v>
      </c>
      <c r="P46" s="75">
        <f>Expense!P50</f>
        <v>24.922699933540848</v>
      </c>
      <c r="Q46" s="74">
        <f>Expense!Q50</f>
        <v>24.922699933540848</v>
      </c>
      <c r="R46" s="74">
        <f>Expense!R50</f>
        <v>24.922699933540848</v>
      </c>
      <c r="S46" s="74">
        <f>Expense!S50</f>
        <v>24.922699933540848</v>
      </c>
      <c r="T46" s="74">
        <f>Expense!T50</f>
        <v>24.922699933540848</v>
      </c>
      <c r="U46" s="74">
        <f>Expense!U50</f>
        <v>24.922699933540848</v>
      </c>
      <c r="V46" s="74">
        <f>Expense!V50</f>
        <v>24.922699933540848</v>
      </c>
      <c r="W46" s="74">
        <f>Expense!W50</f>
        <v>24.922699933540848</v>
      </c>
      <c r="X46" s="74">
        <f>Expense!X50</f>
        <v>24.922699933540848</v>
      </c>
      <c r="Y46" s="74">
        <f>Expense!Y50</f>
        <v>24.922699933540848</v>
      </c>
      <c r="Z46" s="74">
        <f>Expense!Z50</f>
        <v>24.922699933540848</v>
      </c>
      <c r="AA46" s="74">
        <f>Expense!AA50</f>
        <v>24.922699933540848</v>
      </c>
      <c r="AB46" s="74">
        <f>Expense!AB50</f>
        <v>24.922699933540848</v>
      </c>
      <c r="AC46" s="74">
        <f>Expense!AC50</f>
        <v>24.922699933540848</v>
      </c>
      <c r="AD46" s="74">
        <f>Expense!AD50</f>
        <v>24.922699933540848</v>
      </c>
      <c r="AE46" s="74">
        <f>Expense!AE50</f>
        <v>24.922699933540848</v>
      </c>
      <c r="AF46" s="74">
        <f>Expense!AF50</f>
        <v>24.922699933540848</v>
      </c>
      <c r="AG46" s="74">
        <f>Expense!AG50</f>
        <v>24.922699933540848</v>
      </c>
      <c r="AH46" s="74">
        <f>Expense!AH50</f>
        <v>24.922699933540848</v>
      </c>
      <c r="AJ46" s="29" cm="1">
        <f t="array" aca="1" ref="AJ46" ca="1">SUMPRODUCT(($E46:$AH46)*(AJ$3=$E$3:$AH$3)*(AJ$4=$E$4:$AH$4)*(AJ$5=$E$5:$AH$5)*(AJ$6=$E$6:$AH$6))</f>
        <v>74.768099800622537</v>
      </c>
      <c r="AK46" s="29" cm="1">
        <f t="array" aca="1" ref="AK46" ca="1">SUMPRODUCT(($E46:$AH46)*(AK$3=$E$3:$AH$3)*(AK$4=$E$4:$AH$4)*(AK$5=$E$5:$AH$5)*(AK$6=$E$6:$AH$6))</f>
        <v>74.768099800622537</v>
      </c>
      <c r="AL46" s="29" cm="1">
        <f t="array" aca="1" ref="AL46" ca="1">SUMPRODUCT(($E46:$AH46)*(AL$3=$E$3:$AH$3)*(AL$4=$E$4:$AH$4)*(AL$5=$E$5:$AH$5)*(AL$6=$E$6:$AH$6))</f>
        <v>74.768099800622537</v>
      </c>
      <c r="AM46" s="240" cm="1">
        <f t="array" aca="1" ref="AM46" ca="1">SUMPRODUCT(($E46:$AH46)*(AM$3=$E$3:$AH$3)*(AM$4=$E$4:$AH$4)*(AM$5=$E$5:$AH$5)*(AM$6=$E$6:$AH$6))</f>
        <v>74.768099800622537</v>
      </c>
      <c r="AN46" s="29" cm="1">
        <f t="array" aca="1" ref="AN46" ca="1">SUMPRODUCT(($E46:$AH46)*(AN$3=$E$3:$AH$3)*(AN$4=$E$4:$AH$4)*(AN$5=$E$5:$AH$5)*(AN$6=$E$6:$AH$6))</f>
        <v>74.768099800622537</v>
      </c>
      <c r="AO46" s="29" cm="1">
        <f t="array" aca="1" ref="AO46" ca="1">SUMPRODUCT(($E46:$AH46)*(AO$3=$E$3:$AH$3)*(AO$4=$E$4:$AH$4)*(AO$5=$E$5:$AH$5)*(AO$6=$E$6:$AH$6))</f>
        <v>74.768099800622537</v>
      </c>
      <c r="AP46" s="29" cm="1">
        <f t="array" aca="1" ref="AP46" ca="1">SUMPRODUCT(($E46:$AH46)*(AP$3=$E$3:$AH$3)*(AP$4=$E$4:$AH$4)*(AP$5=$E$5:$AH$5)*(AP$6=$E$6:$AH$6))</f>
        <v>74.768099800622537</v>
      </c>
      <c r="AQ46" s="29" cm="1">
        <f t="array" aca="1" ref="AQ46" ca="1">SUMPRODUCT(($E46:$AH46)*(AQ$3=$E$3:$AH$3)*(AQ$4=$E$4:$AH$4)*(AQ$5=$E$5:$AH$5)*(AQ$6=$E$6:$AH$6))</f>
        <v>74.768099800622537</v>
      </c>
      <c r="AR46" s="29" cm="1">
        <f t="array" aca="1" ref="AR46" ca="1">SUMPRODUCT(($E46:$AH46)*(AR$3=$E$3:$AH$3)*(AR$4=$E$4:$AH$4)*(AR$5=$E$5:$AH$5)*(AR$6=$E$6:$AH$6))</f>
        <v>74.768099800622537</v>
      </c>
      <c r="AS46" s="29" cm="1">
        <f t="array" aca="1" ref="AS46" ca="1">SUMPRODUCT(($E46:$AH46)*(AS$3=$E$3:$AH$3)*(AS$4=$E$4:$AH$4)*(AS$5=$E$5:$AH$5)*(AS$6=$E$6:$AH$6))</f>
        <v>74.768099800622537</v>
      </c>
      <c r="AU46" s="29" cm="1">
        <f t="array" aca="1" ref="AU46" ca="1">SUMPRODUCT(($E46:$AH46)*(AU$5=$E$5:$AH$5))</f>
        <v>149.5361996012451</v>
      </c>
      <c r="AV46" s="29" cm="1">
        <f t="array" aca="1" ref="AV46" ca="1">SUMPRODUCT(($E46:$AH46)*(AV$5=$E$5:$AH$5))</f>
        <v>299.0723992024902</v>
      </c>
      <c r="AW46" s="29" cm="1">
        <f t="array" aca="1" ref="AW46" ca="1">SUMPRODUCT(($E46:$AH46)*(AW$5=$E$5:$AH$5))</f>
        <v>299.0723992024902</v>
      </c>
    </row>
    <row r="47" spans="1:50" x14ac:dyDescent="0.25">
      <c r="A47" t="s">
        <v>231</v>
      </c>
      <c r="C47" s="2" t="s">
        <v>88</v>
      </c>
      <c r="D47" s="2"/>
      <c r="E47" s="13">
        <f t="shared" ref="E47:G47" si="28">SUM(E39:E46)</f>
        <v>841.72949414692289</v>
      </c>
      <c r="F47" s="13">
        <f t="shared" si="28"/>
        <v>786.46146958319036</v>
      </c>
      <c r="G47" s="13">
        <f t="shared" si="28"/>
        <v>701.40987592587499</v>
      </c>
      <c r="H47" s="13">
        <f t="shared" ref="H47:AH47" si="29">SUM(H39:H46)</f>
        <v>658.77562188306729</v>
      </c>
      <c r="I47" s="13">
        <f t="shared" si="29"/>
        <v>631.24000135017218</v>
      </c>
      <c r="J47" s="13">
        <f t="shared" si="29"/>
        <v>707.36246958821903</v>
      </c>
      <c r="K47" s="13">
        <f t="shared" si="29"/>
        <v>722.83664544934413</v>
      </c>
      <c r="L47" s="13">
        <f t="shared" si="29"/>
        <v>663.05530831139436</v>
      </c>
      <c r="M47" s="13">
        <f t="shared" si="29"/>
        <v>1041.1747055929357</v>
      </c>
      <c r="N47" s="13">
        <f t="shared" si="29"/>
        <v>706.69486546830672</v>
      </c>
      <c r="O47" s="13">
        <f t="shared" si="29"/>
        <v>785.94786176595153</v>
      </c>
      <c r="P47" s="17">
        <f t="shared" si="29"/>
        <v>867.68130182608729</v>
      </c>
      <c r="Q47" s="13">
        <f t="shared" si="29"/>
        <v>815.53488434492124</v>
      </c>
      <c r="R47" s="13">
        <f t="shared" si="29"/>
        <v>774.98018435153358</v>
      </c>
      <c r="S47" s="13">
        <f t="shared" si="29"/>
        <v>725.91941453558877</v>
      </c>
      <c r="T47" s="13">
        <f t="shared" si="29"/>
        <v>702.59761057555875</v>
      </c>
      <c r="U47" s="13">
        <f t="shared" si="29"/>
        <v>674.18599246325948</v>
      </c>
      <c r="V47" s="13">
        <f t="shared" si="29"/>
        <v>740.76173202384734</v>
      </c>
      <c r="W47" s="13">
        <f t="shared" si="29"/>
        <v>787.83742890225403</v>
      </c>
      <c r="X47" s="13">
        <f t="shared" si="29"/>
        <v>724.35180047569656</v>
      </c>
      <c r="Y47" s="13">
        <f t="shared" si="29"/>
        <v>1089.8009658905055</v>
      </c>
      <c r="Z47" s="13">
        <f t="shared" si="29"/>
        <v>785.39840260153733</v>
      </c>
      <c r="AA47" s="13">
        <f t="shared" si="29"/>
        <v>833.15761208401796</v>
      </c>
      <c r="AB47" s="13">
        <f t="shared" si="29"/>
        <v>884.71678049528805</v>
      </c>
      <c r="AC47" s="13">
        <f t="shared" si="29"/>
        <v>867.55602828434803</v>
      </c>
      <c r="AD47" s="13">
        <f t="shared" si="29"/>
        <v>817.18760637462651</v>
      </c>
      <c r="AE47" s="13">
        <f t="shared" si="29"/>
        <v>748.86557513805781</v>
      </c>
      <c r="AF47" s="13">
        <f t="shared" si="29"/>
        <v>728.23927428940942</v>
      </c>
      <c r="AG47" s="13">
        <f t="shared" si="29"/>
        <v>698.75984936612349</v>
      </c>
      <c r="AH47" s="13">
        <f t="shared" si="29"/>
        <v>766.99291153214494</v>
      </c>
      <c r="AJ47" s="13">
        <f t="shared" ref="AJ47:AS47" ca="1" si="30">SUM(AJ39:AJ46)</f>
        <v>2329.6008396559882</v>
      </c>
      <c r="AK47" s="13">
        <f t="shared" ca="1" si="30"/>
        <v>1997.3780928214585</v>
      </c>
      <c r="AL47" s="13">
        <f t="shared" ca="1" si="30"/>
        <v>2427.0666593536739</v>
      </c>
      <c r="AM47" s="17">
        <f t="shared" ca="1" si="30"/>
        <v>2360.3240290603458</v>
      </c>
      <c r="AN47" s="13">
        <f t="shared" ca="1" si="30"/>
        <v>2316.4344832320439</v>
      </c>
      <c r="AO47" s="13">
        <f t="shared" ca="1" si="30"/>
        <v>2117.5453350626658</v>
      </c>
      <c r="AP47" s="13">
        <f t="shared" ca="1" si="30"/>
        <v>2601.9901952684563</v>
      </c>
      <c r="AQ47" s="13">
        <f t="shared" ca="1" si="30"/>
        <v>2503.2727951808438</v>
      </c>
      <c r="AR47" s="13">
        <f t="shared" ca="1" si="30"/>
        <v>2433.6092097970322</v>
      </c>
      <c r="AS47" s="13">
        <f t="shared" ca="1" si="30"/>
        <v>2193.9920351876781</v>
      </c>
      <c r="AU47" s="13">
        <f t="shared" ref="AU47:AW47" ca="1" si="31">SUM(AU39:AU46)</f>
        <v>4326.9789324774474</v>
      </c>
      <c r="AV47" s="13">
        <f t="shared" ca="1" si="31"/>
        <v>9221.3705067087303</v>
      </c>
      <c r="AW47" s="13">
        <f t="shared" ca="1" si="31"/>
        <v>9732.86423543401</v>
      </c>
    </row>
    <row r="48" spans="1:50" x14ac:dyDescent="0.25">
      <c r="C48" s="2"/>
      <c r="D48" s="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7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M48" s="8"/>
    </row>
    <row r="49" spans="1:49" x14ac:dyDescent="0.25">
      <c r="A49" t="s">
        <v>231</v>
      </c>
      <c r="C49" s="2" t="s">
        <v>92</v>
      </c>
      <c r="D49" s="2"/>
      <c r="E49" s="13">
        <f t="shared" ref="E49:AH49" si="32">E36-E47</f>
        <v>53.522204916741202</v>
      </c>
      <c r="F49" s="13">
        <f t="shared" si="32"/>
        <v>-87.803393375474911</v>
      </c>
      <c r="G49" s="13">
        <f t="shared" si="32"/>
        <v>-9.9234436759637674</v>
      </c>
      <c r="H49" s="13">
        <f t="shared" si="32"/>
        <v>52.048900020111773</v>
      </c>
      <c r="I49" s="13">
        <f t="shared" si="32"/>
        <v>91.35668401736973</v>
      </c>
      <c r="J49" s="13">
        <f t="shared" si="32"/>
        <v>318.6040800474043</v>
      </c>
      <c r="K49" s="13">
        <f t="shared" si="32"/>
        <v>85.828857984443744</v>
      </c>
      <c r="L49" s="13">
        <f t="shared" si="32"/>
        <v>42.055097972033082</v>
      </c>
      <c r="M49" s="13">
        <f t="shared" si="32"/>
        <v>-326.76895007828671</v>
      </c>
      <c r="N49" s="13">
        <f t="shared" si="32"/>
        <v>286.55586948402492</v>
      </c>
      <c r="O49" s="13">
        <f t="shared" si="32"/>
        <v>192.01491345252248</v>
      </c>
      <c r="P49" s="17">
        <f t="shared" si="32"/>
        <v>169.10187853829143</v>
      </c>
      <c r="Q49" s="13">
        <f t="shared" si="32"/>
        <v>119.41189258434281</v>
      </c>
      <c r="R49" s="13">
        <f t="shared" si="32"/>
        <v>-23.02802607899082</v>
      </c>
      <c r="S49" s="13">
        <f t="shared" si="32"/>
        <v>-2.4035762526378903</v>
      </c>
      <c r="T49" s="13">
        <f t="shared" si="32"/>
        <v>36.069727946220496</v>
      </c>
      <c r="U49" s="13">
        <f t="shared" si="32"/>
        <v>85.206409646930751</v>
      </c>
      <c r="V49" s="13">
        <f t="shared" si="32"/>
        <v>263.02909213700536</v>
      </c>
      <c r="W49" s="13">
        <f t="shared" si="32"/>
        <v>75.432104456244474</v>
      </c>
      <c r="X49" s="13">
        <f t="shared" si="32"/>
        <v>12.942832387443332</v>
      </c>
      <c r="Y49" s="13">
        <f t="shared" si="32"/>
        <v>-356.84542768666256</v>
      </c>
      <c r="Z49" s="13">
        <f t="shared" si="32"/>
        <v>274.51677344199652</v>
      </c>
      <c r="AA49" s="13">
        <f t="shared" si="32"/>
        <v>164.04643360036039</v>
      </c>
      <c r="AB49" s="13">
        <f t="shared" si="32"/>
        <v>205.3773645954916</v>
      </c>
      <c r="AC49" s="13">
        <f t="shared" si="32"/>
        <v>111.44160261402271</v>
      </c>
      <c r="AD49" s="13">
        <f t="shared" si="32"/>
        <v>-29.442473232794214</v>
      </c>
      <c r="AE49" s="13">
        <f t="shared" si="32"/>
        <v>9.1597619704526778</v>
      </c>
      <c r="AF49" s="13">
        <f t="shared" si="32"/>
        <v>45.765251625179758</v>
      </c>
      <c r="AG49" s="13">
        <f t="shared" si="32"/>
        <v>96.974780135862147</v>
      </c>
      <c r="AH49" s="13">
        <f t="shared" si="32"/>
        <v>284.39208864736042</v>
      </c>
      <c r="AJ49" s="13">
        <f t="shared" ref="AJ49:AS49" ca="1" si="33">AJ36-AJ47</f>
        <v>-44.204632134697931</v>
      </c>
      <c r="AK49" s="13">
        <f t="shared" ca="1" si="33"/>
        <v>462.00966408488625</v>
      </c>
      <c r="AL49" s="13">
        <f t="shared" ca="1" si="33"/>
        <v>-198.88499412180954</v>
      </c>
      <c r="AM49" s="17">
        <f t="shared" ca="1" si="33"/>
        <v>647.67266147483815</v>
      </c>
      <c r="AN49" s="13">
        <f t="shared" ca="1" si="33"/>
        <v>93.980290252713985</v>
      </c>
      <c r="AO49" s="13">
        <f t="shared" ca="1" si="33"/>
        <v>384.30522973015695</v>
      </c>
      <c r="AP49" s="13">
        <f t="shared" ca="1" si="33"/>
        <v>-268.47049084297487</v>
      </c>
      <c r="AQ49" s="13">
        <f t="shared" ca="1" si="33"/>
        <v>643.94057163784828</v>
      </c>
      <c r="AR49" s="13">
        <f t="shared" ca="1" si="33"/>
        <v>91.158891351680722</v>
      </c>
      <c r="AS49" s="13">
        <f t="shared" ca="1" si="33"/>
        <v>427.13212040840199</v>
      </c>
      <c r="AU49" s="13">
        <f t="shared" ref="AU49:AW49" ca="1" si="34">AU36-AU47</f>
        <v>417.80503195018809</v>
      </c>
      <c r="AV49" s="13">
        <f t="shared" ca="1" si="34"/>
        <v>927.07318733589636</v>
      </c>
      <c r="AW49" s="13">
        <f t="shared" ca="1" si="34"/>
        <v>893.76109255495612</v>
      </c>
    </row>
    <row r="50" spans="1:49" x14ac:dyDescent="0.25">
      <c r="C50" s="147" t="s">
        <v>263</v>
      </c>
      <c r="D50" s="25"/>
      <c r="E50" s="148">
        <f t="shared" ref="E50:AH50" si="35">E49/E18</f>
        <v>4.9740690641106367E-2</v>
      </c>
      <c r="F50" s="149">
        <f t="shared" si="35"/>
        <v>-0.10218380149585057</v>
      </c>
      <c r="G50" s="149">
        <f t="shared" si="35"/>
        <v>-1.1862733998633083E-2</v>
      </c>
      <c r="H50" s="149">
        <f t="shared" si="35"/>
        <v>6.0780397265891441E-2</v>
      </c>
      <c r="I50" s="149">
        <f t="shared" si="35"/>
        <v>0.10525399959842496</v>
      </c>
      <c r="J50" s="149">
        <f t="shared" si="35"/>
        <v>0.26490216868017774</v>
      </c>
      <c r="K50" s="150">
        <f t="shared" si="35"/>
        <v>8.5888698678639741E-2</v>
      </c>
      <c r="L50" s="149">
        <f t="shared" si="35"/>
        <v>4.8234689588324782E-2</v>
      </c>
      <c r="M50" s="149">
        <f t="shared" si="35"/>
        <v>-0.37440246494018486</v>
      </c>
      <c r="N50" s="149">
        <f t="shared" si="35"/>
        <v>0.23936379630551011</v>
      </c>
      <c r="O50" s="149">
        <f t="shared" si="35"/>
        <v>0.16224627733437877</v>
      </c>
      <c r="P50" s="151">
        <f t="shared" si="35"/>
        <v>0.13526124694580377</v>
      </c>
      <c r="Q50" s="149">
        <f t="shared" si="35"/>
        <v>0.10541228545174389</v>
      </c>
      <c r="R50" s="149">
        <f t="shared" si="35"/>
        <v>-2.4914289603048152E-2</v>
      </c>
      <c r="S50" s="149">
        <f t="shared" si="35"/>
        <v>-2.7267317887018265E-3</v>
      </c>
      <c r="T50" s="149">
        <f t="shared" si="35"/>
        <v>4.0177228928520207E-2</v>
      </c>
      <c r="U50" s="149">
        <f t="shared" si="35"/>
        <v>9.3003826775771667E-2</v>
      </c>
      <c r="V50" s="149">
        <f t="shared" si="35"/>
        <v>0.21829655656219973</v>
      </c>
      <c r="W50" s="149">
        <f t="shared" si="35"/>
        <v>7.1355484637942126E-2</v>
      </c>
      <c r="X50" s="149">
        <f t="shared" si="35"/>
        <v>1.4233255732618539E-2</v>
      </c>
      <c r="Y50" s="149">
        <f t="shared" si="35"/>
        <v>-0.39764079966566851</v>
      </c>
      <c r="Z50" s="149">
        <f t="shared" si="35"/>
        <v>0.21362468833306397</v>
      </c>
      <c r="AA50" s="149">
        <f t="shared" si="35"/>
        <v>0.13603498690416133</v>
      </c>
      <c r="AB50" s="149">
        <f t="shared" si="35"/>
        <v>0.15641809549638933</v>
      </c>
      <c r="AC50" s="149">
        <f t="shared" si="35"/>
        <v>9.4038550478724281E-2</v>
      </c>
      <c r="AD50" s="149">
        <f t="shared" si="35"/>
        <v>-3.0442671401144986E-2</v>
      </c>
      <c r="AE50" s="149">
        <f t="shared" si="35"/>
        <v>9.9303628998995124E-3</v>
      </c>
      <c r="AF50" s="149">
        <f t="shared" si="35"/>
        <v>4.870812014539623E-2</v>
      </c>
      <c r="AG50" s="149">
        <f t="shared" si="35"/>
        <v>0.10113333937206491</v>
      </c>
      <c r="AH50" s="149">
        <f t="shared" si="35"/>
        <v>0.22554154451250674</v>
      </c>
      <c r="AJ50" s="149">
        <f t="shared" ref="AJ50:AS50" ca="1" si="36">AJ49/AJ18</f>
        <v>-1.5947894174671146E-2</v>
      </c>
      <c r="AK50" s="149">
        <f t="shared" ca="1" si="36"/>
        <v>0.15784241677854771</v>
      </c>
      <c r="AL50" s="149">
        <f t="shared" ca="1" si="36"/>
        <v>-7.2480937923314323E-2</v>
      </c>
      <c r="AM50" s="151">
        <f t="shared" ca="1" si="36"/>
        <v>0.17838184919391573</v>
      </c>
      <c r="AN50" s="149">
        <f t="shared" ca="1" si="36"/>
        <v>3.1981486920162602E-2</v>
      </c>
      <c r="AO50" s="149">
        <f t="shared" ca="1" si="36"/>
        <v>0.12730219792195749</v>
      </c>
      <c r="AP50" s="149">
        <f t="shared" ca="1" si="36"/>
        <v>-9.3743786285152661E-2</v>
      </c>
      <c r="AQ50" s="149">
        <f t="shared" ca="1" si="36"/>
        <v>0.1692817027799442</v>
      </c>
      <c r="AR50" s="149">
        <f t="shared" ca="1" si="36"/>
        <v>2.9648953941897618E-2</v>
      </c>
      <c r="AS50" s="149">
        <f t="shared" ca="1" si="36"/>
        <v>0.13519440696996235</v>
      </c>
      <c r="AU50" s="149">
        <f t="shared" ref="AU50:AW50" ca="1" si="37">AU49/AU18</f>
        <v>7.3313953878876736E-2</v>
      </c>
      <c r="AV50" s="149">
        <f t="shared" ca="1" si="37"/>
        <v>7.517494021235023E-2</v>
      </c>
      <c r="AW50" s="149">
        <f t="shared" ca="1" si="37"/>
        <v>6.9273963179399711E-2</v>
      </c>
    </row>
    <row r="51" spans="1:49" x14ac:dyDescent="0.25"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7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M51" s="8"/>
    </row>
    <row r="52" spans="1:49" x14ac:dyDescent="0.25">
      <c r="C52" s="1" t="s">
        <v>514</v>
      </c>
      <c r="D52" s="1"/>
      <c r="E52" s="33">
        <f>-Revenue!E23+Expense!E28</f>
        <v>16.654816176666341</v>
      </c>
      <c r="F52" s="33">
        <f>-Revenue!F23+Expense!F28</f>
        <v>16.784194277519777</v>
      </c>
      <c r="G52" s="33">
        <f>-Revenue!G23+Expense!G28</f>
        <v>17.55845828979005</v>
      </c>
      <c r="H52" s="33">
        <f>-Revenue!H23+Expense!H28</f>
        <v>17.888366322426268</v>
      </c>
      <c r="I52" s="33">
        <f>-Revenue!I23+Expense!I28</f>
        <v>17.997877103928563</v>
      </c>
      <c r="J52" s="33">
        <f>-Revenue!J23+Expense!J28</f>
        <v>20.572748556929326</v>
      </c>
      <c r="K52" s="33">
        <f>-Revenue!K23+Expense!K28</f>
        <v>16.645322726142844</v>
      </c>
      <c r="L52" s="33">
        <f>-Revenue!L23+Expense!L28</f>
        <v>16.303326053993072</v>
      </c>
      <c r="M52" s="33">
        <f>-Revenue!M23+Expense!M28</f>
        <v>16.467661327528841</v>
      </c>
      <c r="N52" s="33">
        <f>-Revenue!N23+Expense!N28</f>
        <v>16.203924940933007</v>
      </c>
      <c r="O52" s="33">
        <f>-Revenue!O23+Expense!O28</f>
        <v>16.649119047899443</v>
      </c>
      <c r="P52" s="34">
        <f>-Revenue!P23+Expense!P28</f>
        <v>16.451181946734486</v>
      </c>
      <c r="Q52" s="33">
        <f>-Revenue!Q23+Expense!Q28</f>
        <v>16.626211462056094</v>
      </c>
      <c r="R52" s="33">
        <f>-Revenue!R23+Expense!R28</f>
        <v>16.43231003718234</v>
      </c>
      <c r="S52" s="33">
        <f>-Revenue!S23+Expense!S28</f>
        <v>16.723121730119267</v>
      </c>
      <c r="T52" s="33">
        <f>-Revenue!T23+Expense!T28</f>
        <v>16.651282768429972</v>
      </c>
      <c r="U52" s="33">
        <f>-Revenue!U23+Expense!U28</f>
        <v>16.779728234007447</v>
      </c>
      <c r="V52" s="33">
        <f>-Revenue!V23+Expense!V28</f>
        <v>16.819756746840305</v>
      </c>
      <c r="W52" s="33">
        <f>-Revenue!W23+Expense!W28</f>
        <v>16.934993219099329</v>
      </c>
      <c r="X52" s="33">
        <f>-Revenue!X23+Expense!X28</f>
        <v>16.651735857006958</v>
      </c>
      <c r="Y52" s="33">
        <f>-Revenue!Y23+Expense!Y28</f>
        <v>16.261770341725956</v>
      </c>
      <c r="Z52" s="33">
        <f>-Revenue!Z23+Expense!Z28</f>
        <v>15.983646163392951</v>
      </c>
      <c r="AA52" s="33">
        <f>-Revenue!AA23+Expense!AA28</f>
        <v>16.663416946229205</v>
      </c>
      <c r="AB52" s="33">
        <f>-Revenue!AB23+Expense!AB28</f>
        <v>16.514694430685331</v>
      </c>
      <c r="AC52" s="33">
        <f>-Revenue!AC23+Expense!AC28</f>
        <v>16.112089726860063</v>
      </c>
      <c r="AD52" s="33">
        <f>-Revenue!AD23+Expense!AD28</f>
        <v>15.723677942343834</v>
      </c>
      <c r="AE52" s="33">
        <f>-Revenue!AE23+Expense!AE28</f>
        <v>15.966581772471883</v>
      </c>
      <c r="AF52" s="33">
        <f>-Revenue!AF23+Expense!AF28</f>
        <v>15.856065712143481</v>
      </c>
      <c r="AG52" s="33">
        <f>-Revenue!AG23+Expense!AG28</f>
        <v>15.966798771855013</v>
      </c>
      <c r="AH52" s="33">
        <f>-Revenue!AH23+Expense!AH28</f>
        <v>15.960347936097063</v>
      </c>
      <c r="AJ52" s="15" cm="1">
        <f t="array" aca="1" ref="AJ52" ca="1">SUMPRODUCT(($E52:$AH52)*(AJ$3=$E$3:$AH$3)*(AJ$4=$E$4:$AH$4)*(AJ$5=$E$5:$AH$5)*(AJ$6=$E$6:$AH$6))</f>
        <v>50.997468743976171</v>
      </c>
      <c r="AK52" s="15" cm="1">
        <f t="array" aca="1" ref="AK52" ca="1">SUMPRODUCT(($E52:$AH52)*(AK$3=$E$3:$AH$3)*(AK$4=$E$4:$AH$4)*(AK$5=$E$5:$AH$5)*(AK$6=$E$6:$AH$6))</f>
        <v>56.458991983284157</v>
      </c>
      <c r="AL52" s="15" cm="1">
        <f t="array" aca="1" ref="AL52" ca="1">SUMPRODUCT(($E52:$AH52)*(AL$3=$E$3:$AH$3)*(AL$4=$E$4:$AH$4)*(AL$5=$E$5:$AH$5)*(AL$6=$E$6:$AH$6))</f>
        <v>49.416310107664756</v>
      </c>
      <c r="AM52" s="16" cm="1">
        <f t="array" aca="1" ref="AM52" ca="1">SUMPRODUCT(($E52:$AH52)*(AM$3=$E$3:$AH$3)*(AM$4=$E$4:$AH$4)*(AM$5=$E$5:$AH$5)*(AM$6=$E$6:$AH$6))</f>
        <v>49.30422593556694</v>
      </c>
      <c r="AN52" s="15" cm="1">
        <f t="array" aca="1" ref="AN52" ca="1">SUMPRODUCT(($E52:$AH52)*(AN$3=$E$3:$AH$3)*(AN$4=$E$4:$AH$4)*(AN$5=$E$5:$AH$5)*(AN$6=$E$6:$AH$6))</f>
        <v>49.781643229357705</v>
      </c>
      <c r="AO52" s="15" cm="1">
        <f t="array" aca="1" ref="AO52" ca="1">SUMPRODUCT(($E52:$AH52)*(AO$3=$E$3:$AH$3)*(AO$4=$E$4:$AH$4)*(AO$5=$E$5:$AH$5)*(AO$6=$E$6:$AH$6))</f>
        <v>50.25076774927772</v>
      </c>
      <c r="AP52" s="15" cm="1">
        <f t="array" aca="1" ref="AP52" ca="1">SUMPRODUCT(($E52:$AH52)*(AP$3=$E$3:$AH$3)*(AP$4=$E$4:$AH$4)*(AP$5=$E$5:$AH$5)*(AP$6=$E$6:$AH$6))</f>
        <v>49.848499417832244</v>
      </c>
      <c r="AQ52" s="15" cm="1">
        <f t="array" aca="1" ref="AQ52" ca="1">SUMPRODUCT(($E52:$AH52)*(AQ$3=$E$3:$AH$3)*(AQ$4=$E$4:$AH$4)*(AQ$5=$E$5:$AH$5)*(AQ$6=$E$6:$AH$6))</f>
        <v>49.161757540307484</v>
      </c>
      <c r="AR52" s="15" cm="1">
        <f t="array" aca="1" ref="AR52" ca="1">SUMPRODUCT(($E52:$AH52)*(AR$3=$E$3:$AH$3)*(AR$4=$E$4:$AH$4)*(AR$5=$E$5:$AH$5)*(AR$6=$E$6:$AH$6))</f>
        <v>47.80234944167578</v>
      </c>
      <c r="AS52" s="15" cm="1">
        <f t="array" aca="1" ref="AS52" ca="1">SUMPRODUCT(($E52:$AH52)*(AS$3=$E$3:$AH$3)*(AS$4=$E$4:$AH$4)*(AS$5=$E$5:$AH$5)*(AS$6=$E$6:$AH$6))</f>
        <v>47.783212420095559</v>
      </c>
      <c r="AU52" s="15" cm="1">
        <f t="array" aca="1" ref="AU52" ca="1">SUMPRODUCT(($E52:$AH52)*(AU$5=$E$5:$AH$5))</f>
        <v>107.45646072726032</v>
      </c>
      <c r="AV52" s="15" cm="1">
        <f t="array" aca="1" ref="AV52" ca="1">SUMPRODUCT(($E52:$AH52)*(AV$5=$E$5:$AH$5))</f>
        <v>198.75294702186713</v>
      </c>
      <c r="AW52" s="15" cm="1">
        <f t="array" aca="1" ref="AW52" ca="1">SUMPRODUCT(($E52:$AH52)*(AW$5=$E$5:$AH$5))</f>
        <v>194.5958188199111</v>
      </c>
    </row>
    <row r="53" spans="1:49" x14ac:dyDescent="0.25">
      <c r="A53" t="s">
        <v>231</v>
      </c>
      <c r="C53" s="2" t="s">
        <v>89</v>
      </c>
      <c r="D53" s="2"/>
      <c r="E53" s="13">
        <f t="shared" ref="E53:AH53" si="38">E49-E52</f>
        <v>36.867388740074858</v>
      </c>
      <c r="F53" s="13">
        <f t="shared" si="38"/>
        <v>-104.58758765299469</v>
      </c>
      <c r="G53" s="13">
        <f t="shared" si="38"/>
        <v>-27.481901965753817</v>
      </c>
      <c r="H53" s="13">
        <f t="shared" si="38"/>
        <v>34.160533697685509</v>
      </c>
      <c r="I53" s="13">
        <f t="shared" si="38"/>
        <v>73.358806913441171</v>
      </c>
      <c r="J53" s="13">
        <f t="shared" si="38"/>
        <v>298.03133149047494</v>
      </c>
      <c r="K53" s="13">
        <f t="shared" si="38"/>
        <v>69.183535258300907</v>
      </c>
      <c r="L53" s="13">
        <f t="shared" si="38"/>
        <v>25.75177191804001</v>
      </c>
      <c r="M53" s="13">
        <f t="shared" si="38"/>
        <v>-343.23661140581555</v>
      </c>
      <c r="N53" s="13">
        <f t="shared" si="38"/>
        <v>270.35194454309192</v>
      </c>
      <c r="O53" s="13">
        <f t="shared" si="38"/>
        <v>175.36579440462305</v>
      </c>
      <c r="P53" s="17">
        <f t="shared" si="38"/>
        <v>152.65069659155694</v>
      </c>
      <c r="Q53" s="13">
        <f t="shared" si="38"/>
        <v>102.78568112228672</v>
      </c>
      <c r="R53" s="13">
        <f t="shared" si="38"/>
        <v>-39.46033611617316</v>
      </c>
      <c r="S53" s="13">
        <f t="shared" si="38"/>
        <v>-19.126697982757157</v>
      </c>
      <c r="T53" s="13">
        <f t="shared" si="38"/>
        <v>19.418445177790524</v>
      </c>
      <c r="U53" s="13">
        <f t="shared" si="38"/>
        <v>68.426681412923301</v>
      </c>
      <c r="V53" s="13">
        <f t="shared" si="38"/>
        <v>246.20933539016505</v>
      </c>
      <c r="W53" s="13">
        <f t="shared" si="38"/>
        <v>58.497111237145148</v>
      </c>
      <c r="X53" s="13">
        <f t="shared" si="38"/>
        <v>-3.7089034695636265</v>
      </c>
      <c r="Y53" s="13">
        <f t="shared" si="38"/>
        <v>-373.1071980283885</v>
      </c>
      <c r="Z53" s="13">
        <f t="shared" si="38"/>
        <v>258.53312727860356</v>
      </c>
      <c r="AA53" s="13">
        <f t="shared" si="38"/>
        <v>147.38301665413118</v>
      </c>
      <c r="AB53" s="13">
        <f t="shared" si="38"/>
        <v>188.86267016480627</v>
      </c>
      <c r="AC53" s="13">
        <f t="shared" si="38"/>
        <v>95.32951288716265</v>
      </c>
      <c r="AD53" s="13">
        <f t="shared" si="38"/>
        <v>-45.166151175138047</v>
      </c>
      <c r="AE53" s="13">
        <f t="shared" si="38"/>
        <v>-6.8068198020192057</v>
      </c>
      <c r="AF53" s="13">
        <f t="shared" si="38"/>
        <v>29.909185913036275</v>
      </c>
      <c r="AG53" s="13">
        <f t="shared" si="38"/>
        <v>81.007981364007136</v>
      </c>
      <c r="AH53" s="13">
        <f t="shared" si="38"/>
        <v>268.43174071126339</v>
      </c>
      <c r="AJ53" s="13">
        <f t="shared" ref="AJ53:AW53" ca="1" si="39">AJ49-AJ52</f>
        <v>-95.202100878674102</v>
      </c>
      <c r="AK53" s="13">
        <f t="shared" ca="1" si="39"/>
        <v>405.55067210160212</v>
      </c>
      <c r="AL53" s="13">
        <f t="shared" ca="1" si="39"/>
        <v>-248.30130422947428</v>
      </c>
      <c r="AM53" s="17">
        <f t="shared" ca="1" si="39"/>
        <v>598.36843553927122</v>
      </c>
      <c r="AN53" s="13">
        <f t="shared" ca="1" si="39"/>
        <v>44.19864702335628</v>
      </c>
      <c r="AO53" s="13">
        <f t="shared" ca="1" si="39"/>
        <v>334.05446198087924</v>
      </c>
      <c r="AP53" s="13">
        <f t="shared" ca="1" si="39"/>
        <v>-318.31899026080714</v>
      </c>
      <c r="AQ53" s="13">
        <f t="shared" ca="1" si="39"/>
        <v>594.77881409754082</v>
      </c>
      <c r="AR53" s="13">
        <f t="shared" ca="1" si="39"/>
        <v>43.356541910004943</v>
      </c>
      <c r="AS53" s="13">
        <f t="shared" ca="1" si="39"/>
        <v>379.34890798830645</v>
      </c>
      <c r="AU53" s="13">
        <f t="shared" ca="1" si="39"/>
        <v>310.34857122292777</v>
      </c>
      <c r="AV53" s="13">
        <f t="shared" ca="1" si="39"/>
        <v>728.32024031402921</v>
      </c>
      <c r="AW53" s="13">
        <f t="shared" ca="1" si="39"/>
        <v>699.16527373504505</v>
      </c>
    </row>
    <row r="54" spans="1:49" x14ac:dyDescent="0.25"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7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M54" s="8"/>
    </row>
    <row r="55" spans="1:49" x14ac:dyDescent="0.25">
      <c r="C55" s="1" t="s">
        <v>90</v>
      </c>
      <c r="D55" s="1"/>
      <c r="E55" s="33">
        <f>Expense!E180</f>
        <v>7.7421516354157198</v>
      </c>
      <c r="F55" s="33">
        <f>Expense!F180</f>
        <v>-21.963393407128883</v>
      </c>
      <c r="G55" s="33">
        <f>Expense!G180</f>
        <v>-5.7711994128083015</v>
      </c>
      <c r="H55" s="33">
        <f>Expense!H180</f>
        <v>7.1737120765139561</v>
      </c>
      <c r="I55" s="33">
        <f>Expense!I180</f>
        <v>15.405349451822646</v>
      </c>
      <c r="J55" s="33">
        <f>Expense!J180</f>
        <v>62.586579612999735</v>
      </c>
      <c r="K55" s="33">
        <f>Expense!K180</f>
        <v>14.52854240424319</v>
      </c>
      <c r="L55" s="33">
        <f>Expense!L180</f>
        <v>5.407872102788402</v>
      </c>
      <c r="M55" s="33">
        <f>Expense!M180</f>
        <v>-72.079688395221268</v>
      </c>
      <c r="N55" s="33">
        <f>Expense!N180</f>
        <v>56.773908354049304</v>
      </c>
      <c r="O55" s="33">
        <f>Expense!O180</f>
        <v>36.826816824970841</v>
      </c>
      <c r="P55" s="34">
        <f>Expense!P180</f>
        <v>32.056646284226957</v>
      </c>
      <c r="Q55" s="33">
        <f>Expense!Q180</f>
        <v>21.58499303568021</v>
      </c>
      <c r="R55" s="33">
        <f>Expense!R180</f>
        <v>-8.2866705843963633</v>
      </c>
      <c r="S55" s="33">
        <f>Expense!S180</f>
        <v>-4.0166065763790026</v>
      </c>
      <c r="T55" s="33">
        <f>Expense!T180</f>
        <v>4.0778734873360101</v>
      </c>
      <c r="U55" s="33">
        <f>Expense!U180</f>
        <v>14.369603096713893</v>
      </c>
      <c r="V55" s="33">
        <f>Expense!V180</f>
        <v>51.703960431934661</v>
      </c>
      <c r="W55" s="33">
        <f>Expense!W180</f>
        <v>12.284393359800481</v>
      </c>
      <c r="X55" s="33">
        <f>Expense!X180</f>
        <v>-0.77886972860836157</v>
      </c>
      <c r="Y55" s="33">
        <f>Expense!Y180</f>
        <v>-78.352511585961579</v>
      </c>
      <c r="Z55" s="33">
        <f>Expense!Z180</f>
        <v>54.291956728506747</v>
      </c>
      <c r="AA55" s="33">
        <f>Expense!AA180</f>
        <v>30.950433497367548</v>
      </c>
      <c r="AB55" s="33">
        <f>Expense!AB180</f>
        <v>39.661160734609318</v>
      </c>
      <c r="AC55" s="33">
        <f>Expense!AC180</f>
        <v>20.019197706304155</v>
      </c>
      <c r="AD55" s="33">
        <f>Expense!AD180</f>
        <v>-9.4848917467789899</v>
      </c>
      <c r="AE55" s="33">
        <f>Expense!AE180</f>
        <v>-1.429432158424033</v>
      </c>
      <c r="AF55" s="33">
        <f>Expense!AF180</f>
        <v>6.2809290417376173</v>
      </c>
      <c r="AG55" s="33">
        <f>Expense!AG180</f>
        <v>17.011676086441497</v>
      </c>
      <c r="AH55" s="33">
        <f>Expense!AH180</f>
        <v>56.370665549365306</v>
      </c>
      <c r="AJ55" s="15" cm="1">
        <f t="array" aca="1" ref="AJ55" ca="1">SUMPRODUCT(($E55:$AH55)*(AJ$3=$E$3:$AH$3)*(AJ$4=$E$4:$AH$4)*(AJ$5=$E$5:$AH$5)*(AJ$6=$E$6:$AH$6))</f>
        <v>-19.992441184521464</v>
      </c>
      <c r="AK55" s="15" cm="1">
        <f t="array" aca="1" ref="AK55" ca="1">SUMPRODUCT(($E55:$AH55)*(AK$3=$E$3:$AH$3)*(AK$4=$E$4:$AH$4)*(AK$5=$E$5:$AH$5)*(AK$6=$E$6:$AH$6))</f>
        <v>85.165641141336337</v>
      </c>
      <c r="AL55" s="15" cm="1">
        <f t="array" aca="1" ref="AL55" ca="1">SUMPRODUCT(($E55:$AH55)*(AL$3=$E$3:$AH$3)*(AL$4=$E$4:$AH$4)*(AL$5=$E$5:$AH$5)*(AL$6=$E$6:$AH$6))</f>
        <v>-52.143273888189675</v>
      </c>
      <c r="AM55" s="16" cm="1">
        <f t="array" aca="1" ref="AM55" ca="1">SUMPRODUCT(($E55:$AH55)*(AM$3=$E$3:$AH$3)*(AM$4=$E$4:$AH$4)*(AM$5=$E$5:$AH$5)*(AM$6=$E$6:$AH$6))</f>
        <v>125.6573714632471</v>
      </c>
      <c r="AN55" s="15" cm="1">
        <f t="array" aca="1" ref="AN55" ca="1">SUMPRODUCT(($E55:$AH55)*(AN$3=$E$3:$AH$3)*(AN$4=$E$4:$AH$4)*(AN$5=$E$5:$AH$5)*(AN$6=$E$6:$AH$6))</f>
        <v>9.2817158749048438</v>
      </c>
      <c r="AO55" s="15" cm="1">
        <f t="array" aca="1" ref="AO55" ca="1">SUMPRODUCT(($E55:$AH55)*(AO$3=$E$3:$AH$3)*(AO$4=$E$4:$AH$4)*(AO$5=$E$5:$AH$5)*(AO$6=$E$6:$AH$6))</f>
        <v>70.151437015984556</v>
      </c>
      <c r="AP55" s="15" cm="1">
        <f t="array" aca="1" ref="AP55" ca="1">SUMPRODUCT(($E55:$AH55)*(AP$3=$E$3:$AH$3)*(AP$4=$E$4:$AH$4)*(AP$5=$E$5:$AH$5)*(AP$6=$E$6:$AH$6))</f>
        <v>-66.84698795476946</v>
      </c>
      <c r="AQ55" s="15" cm="1">
        <f t="array" aca="1" ref="AQ55" ca="1">SUMPRODUCT(($E55:$AH55)*(AQ$3=$E$3:$AH$3)*(AQ$4=$E$4:$AH$4)*(AQ$5=$E$5:$AH$5)*(AQ$6=$E$6:$AH$6))</f>
        <v>124.90355096048361</v>
      </c>
      <c r="AR55" s="15" cm="1">
        <f t="array" aca="1" ref="AR55" ca="1">SUMPRODUCT(($E55:$AH55)*(AR$3=$E$3:$AH$3)*(AR$4=$E$4:$AH$4)*(AR$5=$E$5:$AH$5)*(AR$6=$E$6:$AH$6))</f>
        <v>9.1048738011011316</v>
      </c>
      <c r="AS55" s="15" cm="1">
        <f t="array" aca="1" ref="AS55" ca="1">SUMPRODUCT(($E55:$AH55)*(AS$3=$E$3:$AH$3)*(AS$4=$E$4:$AH$4)*(AS$5=$E$5:$AH$5)*(AS$6=$E$6:$AH$6))</f>
        <v>79.663270677544418</v>
      </c>
      <c r="AU55" s="15" cm="1">
        <f t="array" aca="1" ref="AU55" ca="1">SUMPRODUCT(($E55:$AH55)*(AU$5=$E$5:$AH$5))</f>
        <v>65.173199956814869</v>
      </c>
      <c r="AV55" s="15" cm="1">
        <f t="array" aca="1" ref="AV55" ca="1">SUMPRODUCT(($E55:$AH55)*(AV$5=$E$5:$AH$5))</f>
        <v>152.94725046594684</v>
      </c>
      <c r="AW55" s="15" cm="1">
        <f t="array" aca="1" ref="AW55" ca="1">SUMPRODUCT(($E55:$AH55)*(AW$5=$E$5:$AH$5))</f>
        <v>146.82470748435972</v>
      </c>
    </row>
    <row r="56" spans="1:49" x14ac:dyDescent="0.25">
      <c r="A56" t="s">
        <v>231</v>
      </c>
      <c r="C56" s="2" t="s">
        <v>91</v>
      </c>
      <c r="D56" s="2"/>
      <c r="E56" s="13">
        <f>E53-E55</f>
        <v>29.125237104659139</v>
      </c>
      <c r="F56" s="13">
        <f t="shared" ref="F56:AH56" si="40">F53-F55</f>
        <v>-82.624194245865795</v>
      </c>
      <c r="G56" s="13">
        <f t="shared" si="40"/>
        <v>-21.710702552945516</v>
      </c>
      <c r="H56" s="13">
        <f t="shared" si="40"/>
        <v>26.986821621171551</v>
      </c>
      <c r="I56" s="13">
        <f t="shared" si="40"/>
        <v>57.953457461618527</v>
      </c>
      <c r="J56" s="13">
        <f t="shared" si="40"/>
        <v>235.4447518774752</v>
      </c>
      <c r="K56" s="13">
        <f t="shared" si="40"/>
        <v>54.654992854057717</v>
      </c>
      <c r="L56" s="13">
        <f t="shared" si="40"/>
        <v>20.343899815251607</v>
      </c>
      <c r="M56" s="13">
        <f t="shared" si="40"/>
        <v>-271.15692301059426</v>
      </c>
      <c r="N56" s="13">
        <f t="shared" si="40"/>
        <v>213.57803618904262</v>
      </c>
      <c r="O56" s="13">
        <f t="shared" si="40"/>
        <v>138.5389775796522</v>
      </c>
      <c r="P56" s="17">
        <f t="shared" si="40"/>
        <v>120.59405030732998</v>
      </c>
      <c r="Q56" s="13">
        <f t="shared" si="40"/>
        <v>81.200688086606505</v>
      </c>
      <c r="R56" s="13">
        <f t="shared" si="40"/>
        <v>-31.173665531776798</v>
      </c>
      <c r="S56" s="13">
        <f t="shared" si="40"/>
        <v>-15.110091406378155</v>
      </c>
      <c r="T56" s="13">
        <f t="shared" si="40"/>
        <v>15.340571690454514</v>
      </c>
      <c r="U56" s="13">
        <f t="shared" si="40"/>
        <v>54.057078316209406</v>
      </c>
      <c r="V56" s="13">
        <f t="shared" si="40"/>
        <v>194.50537495823039</v>
      </c>
      <c r="W56" s="13">
        <f t="shared" si="40"/>
        <v>46.212717877344666</v>
      </c>
      <c r="X56" s="13">
        <f t="shared" si="40"/>
        <v>-2.930033740955265</v>
      </c>
      <c r="Y56" s="13">
        <f t="shared" si="40"/>
        <v>-294.75468644242693</v>
      </c>
      <c r="Z56" s="13">
        <f t="shared" si="40"/>
        <v>204.2411705500968</v>
      </c>
      <c r="AA56" s="13">
        <f t="shared" si="40"/>
        <v>116.43258315676363</v>
      </c>
      <c r="AB56" s="13">
        <f t="shared" si="40"/>
        <v>149.20150943019695</v>
      </c>
      <c r="AC56" s="13">
        <f t="shared" si="40"/>
        <v>75.310315180858495</v>
      </c>
      <c r="AD56" s="13">
        <f t="shared" si="40"/>
        <v>-35.681259428359056</v>
      </c>
      <c r="AE56" s="13">
        <f t="shared" si="40"/>
        <v>-5.3773876435951724</v>
      </c>
      <c r="AF56" s="13">
        <f t="shared" si="40"/>
        <v>23.628256871298657</v>
      </c>
      <c r="AG56" s="13">
        <f t="shared" si="40"/>
        <v>63.996305277565639</v>
      </c>
      <c r="AH56" s="13">
        <f t="shared" si="40"/>
        <v>212.06107516189809</v>
      </c>
      <c r="AJ56" s="13">
        <f t="shared" ref="AJ56:AS56" ca="1" si="41">AJ53-AJ55</f>
        <v>-75.209659694152634</v>
      </c>
      <c r="AK56" s="13">
        <f t="shared" ca="1" si="41"/>
        <v>320.38503096026579</v>
      </c>
      <c r="AL56" s="13">
        <f t="shared" ca="1" si="41"/>
        <v>-196.15803034128461</v>
      </c>
      <c r="AM56" s="17">
        <f t="shared" ca="1" si="41"/>
        <v>472.71106407602412</v>
      </c>
      <c r="AN56" s="13">
        <f t="shared" ca="1" si="41"/>
        <v>34.91693114845144</v>
      </c>
      <c r="AO56" s="13">
        <f t="shared" ca="1" si="41"/>
        <v>263.90302496489471</v>
      </c>
      <c r="AP56" s="13">
        <f t="shared" ca="1" si="41"/>
        <v>-251.47200230603767</v>
      </c>
      <c r="AQ56" s="13">
        <f t="shared" ca="1" si="41"/>
        <v>469.87526313705723</v>
      </c>
      <c r="AR56" s="13">
        <f t="shared" ca="1" si="41"/>
        <v>34.251668108903814</v>
      </c>
      <c r="AS56" s="13">
        <f t="shared" ca="1" si="41"/>
        <v>299.68563731076205</v>
      </c>
      <c r="AU56" s="13">
        <f t="shared" ref="AU56:AW56" ca="1" si="42">AU53-AU55</f>
        <v>245.1753712661129</v>
      </c>
      <c r="AV56" s="13">
        <f t="shared" ca="1" si="42"/>
        <v>575.3729898480824</v>
      </c>
      <c r="AW56" s="13">
        <f t="shared" ca="1" si="42"/>
        <v>552.34056625068536</v>
      </c>
    </row>
    <row r="57" spans="1:49" x14ac:dyDescent="0.25">
      <c r="C57" s="147" t="s">
        <v>264</v>
      </c>
      <c r="D57" s="25"/>
      <c r="E57" s="148">
        <f t="shared" ref="E57:AH57" si="43">E56/E18</f>
        <v>2.7067446322985494E-2</v>
      </c>
      <c r="F57" s="149">
        <f t="shared" si="43"/>
        <v>-9.6156354999514096E-2</v>
      </c>
      <c r="G57" s="149">
        <f t="shared" si="43"/>
        <v>-2.5953519536051951E-2</v>
      </c>
      <c r="H57" s="149">
        <f t="shared" si="43"/>
        <v>3.151401352275942E-2</v>
      </c>
      <c r="I57" s="149">
        <f t="shared" si="43"/>
        <v>6.6769424197060043E-2</v>
      </c>
      <c r="J57" s="149">
        <f t="shared" si="43"/>
        <v>0.19575965683625171</v>
      </c>
      <c r="K57" s="150">
        <f t="shared" si="43"/>
        <v>5.4693098833683555E-2</v>
      </c>
      <c r="L57" s="149">
        <f t="shared" si="43"/>
        <v>2.3333239961947014E-2</v>
      </c>
      <c r="M57" s="149">
        <f t="shared" si="43"/>
        <v>-0.31068380375932292</v>
      </c>
      <c r="N57" s="149">
        <f t="shared" si="43"/>
        <v>0.17840447533577702</v>
      </c>
      <c r="O57" s="149">
        <f t="shared" si="43"/>
        <v>0.11706087289707992</v>
      </c>
      <c r="P57" s="151">
        <f t="shared" si="43"/>
        <v>9.646079487591748E-2</v>
      </c>
      <c r="Q57" s="149">
        <f t="shared" si="43"/>
        <v>7.1680884761269631E-2</v>
      </c>
      <c r="R57" s="149">
        <f t="shared" si="43"/>
        <v>-3.3727151792477213E-2</v>
      </c>
      <c r="S57" s="149">
        <f t="shared" si="43"/>
        <v>-1.7141609933424794E-2</v>
      </c>
      <c r="T57" s="149">
        <f t="shared" si="43"/>
        <v>1.7087505112894801E-2</v>
      </c>
      <c r="U57" s="149">
        <f t="shared" si="43"/>
        <v>5.9003954849846912E-2</v>
      </c>
      <c r="V57" s="149">
        <f t="shared" si="43"/>
        <v>0.16142645378597481</v>
      </c>
      <c r="W57" s="149">
        <f t="shared" si="43"/>
        <v>4.3715217868370661E-2</v>
      </c>
      <c r="X57" s="149">
        <f t="shared" si="43"/>
        <v>-3.222163301803777E-3</v>
      </c>
      <c r="Y57" s="149">
        <f t="shared" si="43"/>
        <v>-0.32845170521586797</v>
      </c>
      <c r="Z57" s="149">
        <f t="shared" si="43"/>
        <v>0.1589373059302823</v>
      </c>
      <c r="AA57" s="149">
        <f t="shared" si="43"/>
        <v>9.6551351817460163E-2</v>
      </c>
      <c r="AB57" s="149">
        <f t="shared" si="43"/>
        <v>0.11363382715628773</v>
      </c>
      <c r="AC57" s="149">
        <f t="shared" si="43"/>
        <v>6.354963235976166E-2</v>
      </c>
      <c r="AD57" s="149">
        <f t="shared" si="43"/>
        <v>-3.6893397078702317E-2</v>
      </c>
      <c r="AE57" s="149">
        <f t="shared" si="43"/>
        <v>-5.829781486308268E-3</v>
      </c>
      <c r="AF57" s="149">
        <f t="shared" si="43"/>
        <v>2.5147637861566735E-2</v>
      </c>
      <c r="AG57" s="149">
        <f t="shared" si="43"/>
        <v>6.6740652065689507E-2</v>
      </c>
      <c r="AH57" s="149">
        <f t="shared" si="43"/>
        <v>0.16817831554485893</v>
      </c>
      <c r="AJ57" s="149">
        <f t="shared" ref="AJ57:AS57" ca="1" si="44">AJ56/AJ18</f>
        <v>-2.7133710559122434E-2</v>
      </c>
      <c r="AK57" s="149">
        <f t="shared" ca="1" si="44"/>
        <v>0.10945733718926443</v>
      </c>
      <c r="AL57" s="149">
        <f t="shared" ca="1" si="44"/>
        <v>-7.1487132969008424E-2</v>
      </c>
      <c r="AM57" s="151">
        <f t="shared" ca="1" si="44"/>
        <v>0.13019396797186056</v>
      </c>
      <c r="AN57" s="149">
        <f t="shared" ca="1" si="44"/>
        <v>1.1882229495286856E-2</v>
      </c>
      <c r="AO57" s="149">
        <f t="shared" ca="1" si="44"/>
        <v>8.7418625918449303E-2</v>
      </c>
      <c r="AP57" s="149">
        <f t="shared" ca="1" si="44"/>
        <v>-8.7808300893168628E-2</v>
      </c>
      <c r="AQ57" s="149">
        <f t="shared" ca="1" si="44"/>
        <v>0.12352271023349862</v>
      </c>
      <c r="AR57" s="149">
        <f t="shared" ca="1" si="44"/>
        <v>1.1140176401183591E-2</v>
      </c>
      <c r="AS57" s="149">
        <f t="shared" ca="1" si="44"/>
        <v>9.4855479318447261E-2</v>
      </c>
      <c r="AU57" s="149">
        <f t="shared" ref="AU57:AW57" ca="1" si="45">AU56/AU18</f>
        <v>4.3021922874742408E-2</v>
      </c>
      <c r="AV57" s="149">
        <f t="shared" ca="1" si="45"/>
        <v>4.6656111623643769E-2</v>
      </c>
      <c r="AW57" s="149">
        <f t="shared" ca="1" si="45"/>
        <v>4.2811015569673656E-2</v>
      </c>
    </row>
    <row r="58" spans="1:49" x14ac:dyDescent="0.25">
      <c r="P58" s="8"/>
      <c r="AM58" s="8"/>
    </row>
    <row r="59" spans="1:49" x14ac:dyDescent="0.25">
      <c r="A59" t="s">
        <v>231</v>
      </c>
      <c r="C59" s="203" t="s">
        <v>451</v>
      </c>
      <c r="P59" s="8"/>
      <c r="AM59" s="8"/>
    </row>
    <row r="60" spans="1:49" x14ac:dyDescent="0.25">
      <c r="C60" s="1" t="s">
        <v>450</v>
      </c>
      <c r="E60" s="13">
        <f t="shared" ref="E60:AH60" si="46">E49+E40+E46</f>
        <v>93.674433463274823</v>
      </c>
      <c r="F60" s="15">
        <f t="shared" si="46"/>
        <v>-47.651164828941283</v>
      </c>
      <c r="G60" s="15">
        <f t="shared" si="46"/>
        <v>30.228784870569857</v>
      </c>
      <c r="H60" s="15">
        <f t="shared" si="46"/>
        <v>92.201128566645394</v>
      </c>
      <c r="I60" s="15">
        <f t="shared" si="46"/>
        <v>131.50891256390335</v>
      </c>
      <c r="J60" s="15">
        <f t="shared" si="46"/>
        <v>358.75630859393794</v>
      </c>
      <c r="K60" s="15">
        <f t="shared" si="46"/>
        <v>125.98108653097736</v>
      </c>
      <c r="L60" s="15">
        <f t="shared" si="46"/>
        <v>82.207326518566703</v>
      </c>
      <c r="M60" s="15">
        <f t="shared" si="46"/>
        <v>-286.61672153175306</v>
      </c>
      <c r="N60" s="15">
        <f t="shared" si="46"/>
        <v>326.70809803055857</v>
      </c>
      <c r="O60" s="15">
        <f t="shared" si="46"/>
        <v>232.1671419990561</v>
      </c>
      <c r="P60" s="16">
        <f t="shared" si="46"/>
        <v>209.25410708482505</v>
      </c>
      <c r="Q60" s="15">
        <f t="shared" si="46"/>
        <v>159.56412113087643</v>
      </c>
      <c r="R60" s="15">
        <f t="shared" si="46"/>
        <v>17.124202467542805</v>
      </c>
      <c r="S60" s="15">
        <f t="shared" si="46"/>
        <v>37.748652293895731</v>
      </c>
      <c r="T60" s="15">
        <f t="shared" si="46"/>
        <v>76.221956492754117</v>
      </c>
      <c r="U60" s="15">
        <f t="shared" si="46"/>
        <v>125.35863819346437</v>
      </c>
      <c r="V60" s="15">
        <f t="shared" si="46"/>
        <v>303.18132068353901</v>
      </c>
      <c r="W60" s="15">
        <f t="shared" si="46"/>
        <v>115.5843330027781</v>
      </c>
      <c r="X60" s="15">
        <f t="shared" si="46"/>
        <v>53.095060933976953</v>
      </c>
      <c r="Y60" s="15">
        <f t="shared" si="46"/>
        <v>-316.69319914012891</v>
      </c>
      <c r="Z60" s="15">
        <f t="shared" si="46"/>
        <v>314.66900198853017</v>
      </c>
      <c r="AA60" s="15">
        <f t="shared" si="46"/>
        <v>204.19866214689401</v>
      </c>
      <c r="AB60" s="15">
        <f t="shared" si="46"/>
        <v>245.52959314202522</v>
      </c>
      <c r="AC60" s="15">
        <f t="shared" si="46"/>
        <v>151.59383116055633</v>
      </c>
      <c r="AD60" s="15">
        <f t="shared" si="46"/>
        <v>10.709755313739411</v>
      </c>
      <c r="AE60" s="15">
        <f t="shared" si="46"/>
        <v>49.311990516986299</v>
      </c>
      <c r="AF60" s="15">
        <f t="shared" si="46"/>
        <v>85.917480171713379</v>
      </c>
      <c r="AG60" s="15">
        <f t="shared" si="46"/>
        <v>137.12700868239577</v>
      </c>
      <c r="AH60" s="15">
        <f t="shared" si="46"/>
        <v>324.54431719389407</v>
      </c>
      <c r="AJ60" s="15">
        <f t="shared" ref="AJ60:AW60" ca="1" si="47">AJ49+AJ40+AJ46</f>
        <v>76.252053504902932</v>
      </c>
      <c r="AK60" s="15">
        <f t="shared" ca="1" si="47"/>
        <v>582.46634972448715</v>
      </c>
      <c r="AL60" s="15">
        <f t="shared" ca="1" si="47"/>
        <v>-78.428308482208678</v>
      </c>
      <c r="AM60" s="16">
        <f t="shared" ca="1" si="47"/>
        <v>768.12934711443893</v>
      </c>
      <c r="AN60" s="15">
        <f t="shared" ca="1" si="47"/>
        <v>214.43697589231485</v>
      </c>
      <c r="AO60" s="15">
        <f t="shared" ca="1" si="47"/>
        <v>504.76191536975784</v>
      </c>
      <c r="AP60" s="15">
        <f t="shared" ca="1" si="47"/>
        <v>-148.01380520337401</v>
      </c>
      <c r="AQ60" s="15">
        <f t="shared" ca="1" si="47"/>
        <v>764.39725727744906</v>
      </c>
      <c r="AR60" s="15">
        <f t="shared" ca="1" si="47"/>
        <v>211.61557699128159</v>
      </c>
      <c r="AS60" s="15">
        <f t="shared" ca="1" si="47"/>
        <v>547.58880604800288</v>
      </c>
      <c r="AU60" s="15">
        <f t="shared" ca="1" si="47"/>
        <v>658.71840322938988</v>
      </c>
      <c r="AV60" s="15">
        <f t="shared" ca="1" si="47"/>
        <v>1408.8999298942999</v>
      </c>
      <c r="AW60" s="15">
        <f t="shared" ca="1" si="47"/>
        <v>1375.5878351133597</v>
      </c>
    </row>
    <row r="61" spans="1:49" x14ac:dyDescent="0.25">
      <c r="P61" s="8"/>
      <c r="AM61" s="8"/>
    </row>
    <row r="62" spans="1:49" x14ac:dyDescent="0.25">
      <c r="C62" s="203" t="s">
        <v>516</v>
      </c>
      <c r="AM62" s="8"/>
    </row>
    <row r="63" spans="1:49" x14ac:dyDescent="0.25">
      <c r="C63" s="1" t="s">
        <v>294</v>
      </c>
      <c r="P63" s="174">
        <f>SUM(E36:P36)/SUM(E$18:P$18)</f>
        <v>0.82667440970686357</v>
      </c>
      <c r="Q63" s="174">
        <f t="shared" ref="Q63" si="48">SUM(F36:Q36)/SUM(F$18:Q$18)</f>
        <v>0.82607703254910059</v>
      </c>
      <c r="R63" s="174">
        <f t="shared" ref="R63" si="49">SUM(G36:R36)/SUM(G$18:R$18)</f>
        <v>0.82604275585505227</v>
      </c>
      <c r="S63" s="174">
        <f t="shared" ref="S63" si="50">SUM(H36:S36)/SUM(H$18:S$18)</f>
        <v>0.8256250823401774</v>
      </c>
      <c r="T63" s="174">
        <f t="shared" ref="T63" si="51">SUM(I36:T36)/SUM(I$18:T$18)</f>
        <v>0.82510755672198188</v>
      </c>
      <c r="U63" s="174">
        <f t="shared" ref="U63" si="52">SUM(J36:U36)/SUM(J$18:U$18)</f>
        <v>0.82486657040492928</v>
      </c>
      <c r="V63" s="174">
        <f t="shared" ref="V63" si="53">SUM(K36:V36)/SUM(K$18:V$18)</f>
        <v>0.8229217049632902</v>
      </c>
      <c r="W63" s="174">
        <f t="shared" ref="W63" si="54">SUM(L36:W36)/SUM(L$18:W$18)</f>
        <v>0.8234879848817811</v>
      </c>
      <c r="X63" s="174">
        <f t="shared" ref="X63" si="55">SUM(M36:X36)/SUM(M$18:X$18)</f>
        <v>0.82359601268371441</v>
      </c>
      <c r="Y63" s="174">
        <f t="shared" ref="Y63" si="56">SUM(N36:Y36)/SUM(N$18:Y$18)</f>
        <v>0.82345652198750974</v>
      </c>
      <c r="Z63" s="174">
        <f t="shared" ref="Z63" si="57">SUM(O36:Z36)/SUM(O$18:Z$18)</f>
        <v>0.82300150378017745</v>
      </c>
      <c r="AA63" s="174">
        <f t="shared" ref="AA63" si="58">SUM(P36:AA36)/SUM(P$18:AA$18)</f>
        <v>0.82306334290801109</v>
      </c>
      <c r="AB63" s="174">
        <f t="shared" ref="AB63" si="59">SUM(Q36:AB36)/SUM(Q$18:AB$18)</f>
        <v>0.82319085814660464</v>
      </c>
      <c r="AC63" s="174">
        <f t="shared" ref="AC63" si="60">SUM(R36:AC36)/SUM(R$18:AC$18)</f>
        <v>0.82327251043725047</v>
      </c>
      <c r="AD63" s="174">
        <f t="shared" ref="AD63" si="61">SUM(S36:AD36)/SUM(S$18:AD$18)</f>
        <v>0.82331273388841753</v>
      </c>
      <c r="AE63" s="174">
        <f t="shared" ref="AE63" si="62">SUM(T36:AE36)/SUM(T$18:AE$18)</f>
        <v>0.82337738132310845</v>
      </c>
      <c r="AF63" s="174">
        <f t="shared" ref="AF63" si="63">SUM(U36:AF36)/SUM(U$18:AF$18)</f>
        <v>0.82344820363147664</v>
      </c>
      <c r="AG63" s="174">
        <f t="shared" ref="AG63" si="64">SUM(V36:AG36)/SUM(V$18:AG$18)</f>
        <v>0.82353884591582049</v>
      </c>
      <c r="AH63" s="174">
        <f t="shared" ref="AH63" si="65">SUM(W36:AH36)/SUM(W$18:AH$18)</f>
        <v>0.82365238073631974</v>
      </c>
      <c r="AJ63" s="174">
        <f ca="1">AJ36/AJ$18</f>
        <v>0.82451216319783482</v>
      </c>
      <c r="AK63" s="174">
        <f t="shared" ref="AK63:AS63" ca="1" si="66">AK36/AK$18</f>
        <v>0.84023287286550064</v>
      </c>
      <c r="AL63" s="174">
        <f t="shared" ca="1" si="66"/>
        <v>0.81203057914276244</v>
      </c>
      <c r="AM63" s="219">
        <f t="shared" ca="1" si="66"/>
        <v>0.82846172757237857</v>
      </c>
      <c r="AN63" s="174">
        <f t="shared" ca="1" si="66"/>
        <v>0.82026399730281008</v>
      </c>
      <c r="AO63" s="174">
        <f t="shared" ca="1" si="66"/>
        <v>0.82874509929008289</v>
      </c>
      <c r="AP63" s="174">
        <f t="shared" ca="1" si="66"/>
        <v>0.81481198092568352</v>
      </c>
      <c r="AQ63" s="174">
        <f t="shared" ca="1" si="66"/>
        <v>0.82735218312427794</v>
      </c>
      <c r="AR63" s="174">
        <f t="shared" ca="1" si="66"/>
        <v>0.82116765611092901</v>
      </c>
      <c r="AS63" s="174">
        <f t="shared" ca="1" si="66"/>
        <v>0.82962930877601315</v>
      </c>
      <c r="AU63" s="174">
        <f t="shared" ref="AU63:AW63" ca="1" si="67">AU36/AU$18</f>
        <v>0.83258660411431884</v>
      </c>
      <c r="AV63" s="174">
        <f t="shared" ca="1" si="67"/>
        <v>0.8229217049632902</v>
      </c>
      <c r="AW63" s="174">
        <f t="shared" ca="1" si="67"/>
        <v>0.82365238073631997</v>
      </c>
    </row>
    <row r="64" spans="1:49" x14ac:dyDescent="0.25">
      <c r="C64" s="1" t="s">
        <v>263</v>
      </c>
      <c r="P64" s="174">
        <f>SUM(E49:P49)/SUM(E$18:P$18)</f>
        <v>7.1775644989990423E-2</v>
      </c>
      <c r="Q64" s="174">
        <f t="shared" ref="Q64" si="68">SUM(F49:Q49)/SUM(F$18:Q$18)</f>
        <v>7.6871431936418155E-2</v>
      </c>
      <c r="R64" s="174">
        <f t="shared" ref="R64" si="69">SUM(G49:R49)/SUM(G$18:R$18)</f>
        <v>8.177303069783623E-2</v>
      </c>
      <c r="S64" s="174">
        <f t="shared" ref="S64" si="70">SUM(H49:S49)/SUM(H$18:S$18)</f>
        <v>8.2086995412600561E-2</v>
      </c>
      <c r="T64" s="174">
        <f t="shared" ref="T64" si="71">SUM(I49:T49)/SUM(I$18:T$18)</f>
        <v>8.0509104636406523E-2</v>
      </c>
      <c r="U64" s="174">
        <f t="shared" ref="U64" si="72">SUM(J49:U49)/SUM(J$18:U$18)</f>
        <v>7.969560129980538E-2</v>
      </c>
      <c r="V64" s="174">
        <f t="shared" ref="V64" si="73">SUM(K49:V49)/SUM(K$18:V$18)</f>
        <v>7.5174940212350494E-2</v>
      </c>
      <c r="W64" s="174">
        <f t="shared" ref="W64" si="74">SUM(L49:W49)/SUM(L$18:W$18)</f>
        <v>7.3984955249356554E-2</v>
      </c>
      <c r="X64" s="174">
        <f t="shared" ref="X64" si="75">SUM(M49:X49)/SUM(M$18:X$18)</f>
        <v>7.1419418092452572E-2</v>
      </c>
      <c r="Y64" s="174">
        <f t="shared" ref="Y64" si="76">SUM(N49:Y49)/SUM(N$18:Y$18)</f>
        <v>6.8862771778321882E-2</v>
      </c>
      <c r="Z64" s="174">
        <f t="shared" ref="Z64" si="77">SUM(O49:Z49)/SUM(O$18:Z$18)</f>
        <v>6.7420095308755729E-2</v>
      </c>
      <c r="AA64" s="174">
        <f t="shared" ref="AA64" si="78">SUM(P49:AA49)/SUM(P$18:AA$18)</f>
        <v>6.5073332204195325E-2</v>
      </c>
      <c r="AB64" s="174">
        <f t="shared" ref="AB64" si="79">SUM(Q49:AB49)/SUM(Q$18:AB$18)</f>
        <v>6.76228147026188E-2</v>
      </c>
      <c r="AC64" s="174">
        <f t="shared" ref="AC64" si="80">SUM(R49:AC49)/SUM(R$18:AC$18)</f>
        <v>6.6715388472400897E-2</v>
      </c>
      <c r="AD64" s="174">
        <f t="shared" ref="AD64" si="81">SUM(S49:AD49)/SUM(S$18:AD$18)</f>
        <v>6.5986358313476573E-2</v>
      </c>
      <c r="AE64" s="174">
        <f t="shared" ref="AE64" si="82">SUM(T49:AE49)/SUM(T$18:AE$18)</f>
        <v>6.6680928967090575E-2</v>
      </c>
      <c r="AF64" s="174">
        <f t="shared" ref="AF64" si="83">SUM(U49:AF49)/SUM(U$18:AF$18)</f>
        <v>6.722042228225944E-2</v>
      </c>
      <c r="AG64" s="174">
        <f t="shared" ref="AG64" si="84">SUM(V49:AG49)/SUM(V$18:AG$18)</f>
        <v>6.7912997974480957E-2</v>
      </c>
      <c r="AH64" s="174">
        <f t="shared" ref="AH64" si="85">SUM(W49:AH49)/SUM(W$18:AH$18)</f>
        <v>6.9273963179399781E-2</v>
      </c>
      <c r="AJ64" s="174">
        <f ca="1">AJ49/AJ$18</f>
        <v>-1.5947894174671146E-2</v>
      </c>
      <c r="AK64" s="174">
        <f t="shared" ref="AK64:AS64" ca="1" si="86">AK49/AK$18</f>
        <v>0.15784241677854771</v>
      </c>
      <c r="AL64" s="174">
        <f t="shared" ca="1" si="86"/>
        <v>-7.2480937923314323E-2</v>
      </c>
      <c r="AM64" s="219">
        <f t="shared" ca="1" si="86"/>
        <v>0.17838184919391573</v>
      </c>
      <c r="AN64" s="174">
        <f t="shared" ca="1" si="86"/>
        <v>3.1981486920162602E-2</v>
      </c>
      <c r="AO64" s="174">
        <f t="shared" ca="1" si="86"/>
        <v>0.12730219792195749</v>
      </c>
      <c r="AP64" s="174">
        <f t="shared" ca="1" si="86"/>
        <v>-9.3743786285152661E-2</v>
      </c>
      <c r="AQ64" s="174">
        <f t="shared" ca="1" si="86"/>
        <v>0.1692817027799442</v>
      </c>
      <c r="AR64" s="174">
        <f t="shared" ca="1" si="86"/>
        <v>2.9648953941897618E-2</v>
      </c>
      <c r="AS64" s="174">
        <f t="shared" ca="1" si="86"/>
        <v>0.13519440696996235</v>
      </c>
      <c r="AU64" s="174">
        <f t="shared" ref="AU64:AW64" ca="1" si="87">AU49/AU$18</f>
        <v>7.3313953878876736E-2</v>
      </c>
      <c r="AV64" s="174">
        <f t="shared" ca="1" si="87"/>
        <v>7.517494021235023E-2</v>
      </c>
      <c r="AW64" s="174">
        <f t="shared" ca="1" si="87"/>
        <v>6.9273963179399711E-2</v>
      </c>
    </row>
    <row r="65" spans="1:49" x14ac:dyDescent="0.25">
      <c r="C65" s="1" t="s">
        <v>264</v>
      </c>
      <c r="P65" s="174">
        <f>SUM(E56:P56)/SUM(E$18:P$18)</f>
        <v>4.3212218160439964E-2</v>
      </c>
      <c r="Q65" s="174">
        <f t="shared" ref="Q65:AH65" si="88">SUM(F56:Q56)/SUM(F$18:Q$18)</f>
        <v>4.7302903171528195E-2</v>
      </c>
      <c r="R65" s="174">
        <f t="shared" si="88"/>
        <v>5.1269539670153255E-2</v>
      </c>
      <c r="S65" s="174">
        <f t="shared" si="88"/>
        <v>5.1620455139077995E-2</v>
      </c>
      <c r="T65" s="174">
        <f t="shared" si="88"/>
        <v>5.0498107921242458E-2</v>
      </c>
      <c r="U65" s="174">
        <f t="shared" si="88"/>
        <v>4.9984710596666447E-2</v>
      </c>
      <c r="V65" s="174">
        <f t="shared" si="88"/>
        <v>4.6656111623644039E-2</v>
      </c>
      <c r="W65" s="174">
        <f t="shared" si="88"/>
        <v>4.5756978168420191E-2</v>
      </c>
      <c r="X65" s="174">
        <f t="shared" si="88"/>
        <v>4.3746302919457886E-2</v>
      </c>
      <c r="Y65" s="174">
        <f t="shared" si="88"/>
        <v>4.1764687530481029E-2</v>
      </c>
      <c r="Z65" s="174">
        <f t="shared" si="88"/>
        <v>4.0727415482915322E-2</v>
      </c>
      <c r="AA65" s="174">
        <f t="shared" si="88"/>
        <v>3.8894958979879844E-2</v>
      </c>
      <c r="AB65" s="174">
        <f t="shared" si="88"/>
        <v>4.0967332720815104E-2</v>
      </c>
      <c r="AC65" s="174">
        <f t="shared" si="88"/>
        <v>4.0333839915199565E-2</v>
      </c>
      <c r="AD65" s="174">
        <f t="shared" si="88"/>
        <v>3.9843594775992523E-2</v>
      </c>
      <c r="AE65" s="174">
        <f t="shared" si="88"/>
        <v>4.0478528370050608E-2</v>
      </c>
      <c r="AF65" s="174">
        <f t="shared" si="88"/>
        <v>4.0993640406228819E-2</v>
      </c>
      <c r="AG65" s="174">
        <f t="shared" si="88"/>
        <v>4.1631044003077947E-2</v>
      </c>
      <c r="AH65" s="174">
        <f t="shared" si="88"/>
        <v>4.2811015569673733E-2</v>
      </c>
      <c r="AJ65" s="174">
        <f ca="1">AJ56/AJ$18</f>
        <v>-2.7133710559122434E-2</v>
      </c>
      <c r="AK65" s="174">
        <f t="shared" ref="AK65:AS65" ca="1" si="89">AK56/AK$18</f>
        <v>0.10945733718926443</v>
      </c>
      <c r="AL65" s="174">
        <f t="shared" ca="1" si="89"/>
        <v>-7.1487132969008424E-2</v>
      </c>
      <c r="AM65" s="219">
        <f t="shared" ca="1" si="89"/>
        <v>0.13019396797186056</v>
      </c>
      <c r="AN65" s="174">
        <f t="shared" ca="1" si="89"/>
        <v>1.1882229495286856E-2</v>
      </c>
      <c r="AO65" s="174">
        <f t="shared" ca="1" si="89"/>
        <v>8.7418625918449303E-2</v>
      </c>
      <c r="AP65" s="174">
        <f t="shared" ca="1" si="89"/>
        <v>-8.7808300893168628E-2</v>
      </c>
      <c r="AQ65" s="174">
        <f t="shared" ca="1" si="89"/>
        <v>0.12352271023349862</v>
      </c>
      <c r="AR65" s="174">
        <f t="shared" ca="1" si="89"/>
        <v>1.1140176401183591E-2</v>
      </c>
      <c r="AS65" s="174">
        <f t="shared" ca="1" si="89"/>
        <v>9.4855479318447261E-2</v>
      </c>
      <c r="AU65" s="174">
        <f t="shared" ref="AU65:AW65" ca="1" si="90">AU56/AU$18</f>
        <v>4.3021922874742408E-2</v>
      </c>
      <c r="AV65" s="174">
        <f t="shared" ca="1" si="90"/>
        <v>4.6656111623643769E-2</v>
      </c>
      <c r="AW65" s="174">
        <f t="shared" ca="1" si="90"/>
        <v>4.2811015569673656E-2</v>
      </c>
    </row>
    <row r="66" spans="1:49" x14ac:dyDescent="0.25">
      <c r="C66" s="1" t="s">
        <v>452</v>
      </c>
      <c r="P66" s="174">
        <f>SUM(E60:P60)/SUM(E$18:P$18)</f>
        <v>0.11168300313916736</v>
      </c>
      <c r="Q66" s="174">
        <f t="shared" ref="Q66:AH66" si="91">SUM(F60:Q60)/SUM(F$18:Q$18)</f>
        <v>0.11659198018832147</v>
      </c>
      <c r="R66" s="174">
        <f t="shared" si="91"/>
        <v>0.12128180647989543</v>
      </c>
      <c r="S66" s="174">
        <f t="shared" si="91"/>
        <v>0.12145064041447733</v>
      </c>
      <c r="T66" s="174">
        <f t="shared" si="91"/>
        <v>0.11973999102006655</v>
      </c>
      <c r="U66" s="174">
        <f t="shared" si="91"/>
        <v>0.11877313987142463</v>
      </c>
      <c r="V66" s="174">
        <f t="shared" si="91"/>
        <v>0.11424553038725085</v>
      </c>
      <c r="W66" s="174">
        <f t="shared" si="91"/>
        <v>0.11287319178670481</v>
      </c>
      <c r="X66" s="174">
        <f t="shared" si="91"/>
        <v>0.11019045776138713</v>
      </c>
      <c r="Y66" s="174">
        <f t="shared" si="91"/>
        <v>0.10755711733295585</v>
      </c>
      <c r="Z66" s="174">
        <f t="shared" si="91"/>
        <v>0.10584325327971771</v>
      </c>
      <c r="AA66" s="174">
        <f t="shared" si="91"/>
        <v>0.1034278696648242</v>
      </c>
      <c r="AB66" s="174">
        <f t="shared" si="91"/>
        <v>0.10578652396685288</v>
      </c>
      <c r="AC66" s="174">
        <f t="shared" si="91"/>
        <v>0.10472179257451056</v>
      </c>
      <c r="AD66" s="174">
        <f t="shared" si="91"/>
        <v>0.1038647187095962</v>
      </c>
      <c r="AE66" s="174">
        <f t="shared" si="91"/>
        <v>0.10443784921324202</v>
      </c>
      <c r="AF66" s="174">
        <f t="shared" si="91"/>
        <v>0.10485402491055525</v>
      </c>
      <c r="AG66" s="174">
        <f t="shared" si="91"/>
        <v>0.10542144594081702</v>
      </c>
      <c r="AH66" s="174">
        <f t="shared" si="91"/>
        <v>0.10661956739162227</v>
      </c>
      <c r="AJ66" s="174">
        <f ca="1">AJ60/AJ$18</f>
        <v>2.7509779431984495E-2</v>
      </c>
      <c r="AK66" s="174">
        <f t="shared" ref="AK66:AS66" ca="1" si="92">AK60/AK$18</f>
        <v>0.19899561303505514</v>
      </c>
      <c r="AL66" s="174">
        <f t="shared" ca="1" si="92"/>
        <v>-2.8582133024314227E-2</v>
      </c>
      <c r="AM66" s="219">
        <f t="shared" ca="1" si="92"/>
        <v>0.21155800068259015</v>
      </c>
      <c r="AN66" s="174">
        <f t="shared" ca="1" si="92"/>
        <v>7.2972889541605176E-2</v>
      </c>
      <c r="AO66" s="174">
        <f t="shared" ca="1" si="92"/>
        <v>0.1672038168696951</v>
      </c>
      <c r="AP66" s="174">
        <f t="shared" ca="1" si="92"/>
        <v>-5.1683052683629375E-2</v>
      </c>
      <c r="AQ66" s="174">
        <f t="shared" ca="1" si="92"/>
        <v>0.20094784365445956</v>
      </c>
      <c r="AR66" s="174">
        <f t="shared" ca="1" si="92"/>
        <v>6.8826862663319541E-2</v>
      </c>
      <c r="AS66" s="174">
        <f t="shared" ca="1" si="92"/>
        <v>0.1733209476877198</v>
      </c>
      <c r="AU66" s="174">
        <f t="shared" ref="AU66:AW66" ca="1" si="93">AU60/AU$18</f>
        <v>0.11558800622411956</v>
      </c>
      <c r="AV66" s="174">
        <f t="shared" ca="1" si="93"/>
        <v>0.11424553038725062</v>
      </c>
      <c r="AW66" s="174">
        <f t="shared" ca="1" si="93"/>
        <v>0.10661956739162222</v>
      </c>
    </row>
    <row r="67" spans="1:49" x14ac:dyDescent="0.25">
      <c r="A67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5882-0DA4-4FB2-8541-3A607A7521D7}">
  <sheetPr>
    <tabColor theme="3"/>
  </sheetPr>
  <dimension ref="A3:BL150"/>
  <sheetViews>
    <sheetView showGridLines="0" zoomScale="85" zoomScaleNormal="85" workbookViewId="0">
      <pane xSplit="3" ySplit="10" topLeftCell="D39" activePane="bottomRight" state="frozen"/>
      <selection activeCell="G47" sqref="G47"/>
      <selection pane="topRight" activeCell="G47" sqref="G47"/>
      <selection pane="bottomLeft" activeCell="G47" sqref="G47"/>
      <selection pane="bottomRight" activeCell="E72" sqref="E72"/>
    </sheetView>
  </sheetViews>
  <sheetFormatPr defaultRowHeight="15" outlineLevelRow="1" outlineLevelCol="1" x14ac:dyDescent="0.25"/>
  <cols>
    <col min="1" max="2" width="2.5703125" customWidth="1"/>
    <col min="3" max="3" width="23" bestFit="1" customWidth="1"/>
    <col min="4" max="4" width="2.5703125" customWidth="1" outlineLevel="1"/>
    <col min="5" max="5" width="13.140625" customWidth="1" outlineLevel="1"/>
    <col min="6" max="10" width="9.7109375" customWidth="1" outlineLevel="1"/>
    <col min="11" max="15" width="9.7109375" bestFit="1" customWidth="1"/>
    <col min="16" max="17" width="10.140625" bestFit="1" customWidth="1"/>
    <col min="18" max="22" width="9.7109375" bestFit="1" customWidth="1"/>
    <col min="23" max="34" width="9.7109375" customWidth="1" outlineLevel="1"/>
    <col min="35" max="35" width="2.5703125" customWidth="1"/>
    <col min="36" max="45" width="10.140625" bestFit="1" customWidth="1" outlineLevel="1"/>
    <col min="46" max="46" width="2.5703125" customWidth="1"/>
    <col min="47" max="49" width="10.140625" bestFit="1" customWidth="1" outlineLevel="1"/>
    <col min="50" max="50" width="2.5703125" customWidth="1"/>
    <col min="59" max="59" width="12.140625" bestFit="1" customWidth="1"/>
  </cols>
  <sheetData>
    <row r="3" spans="1:49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1:49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1:49" outlineLevel="1" x14ac:dyDescent="0.25">
      <c r="C5" t="s">
        <v>11</v>
      </c>
      <c r="E5" s="5">
        <f t="shared" ref="E5:K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ref="L5:AH5" si="1">YEAR(L8)</f>
        <v>2021</v>
      </c>
      <c r="M5" s="5">
        <f t="shared" si="1"/>
        <v>2021</v>
      </c>
      <c r="N5" s="5">
        <f t="shared" si="1"/>
        <v>2021</v>
      </c>
      <c r="O5" s="5">
        <f t="shared" si="1"/>
        <v>2021</v>
      </c>
      <c r="P5" s="9">
        <f t="shared" si="1"/>
        <v>2021</v>
      </c>
      <c r="Q5" s="5">
        <f t="shared" si="1"/>
        <v>2021</v>
      </c>
      <c r="R5" s="5">
        <f t="shared" si="1"/>
        <v>2021</v>
      </c>
      <c r="S5" s="5">
        <f t="shared" si="1"/>
        <v>2021</v>
      </c>
      <c r="T5" s="5">
        <f t="shared" si="1"/>
        <v>2021</v>
      </c>
      <c r="U5" s="5">
        <f t="shared" si="1"/>
        <v>2021</v>
      </c>
      <c r="V5" s="5">
        <f t="shared" si="1"/>
        <v>2021</v>
      </c>
      <c r="W5" s="5">
        <f t="shared" si="1"/>
        <v>2022</v>
      </c>
      <c r="X5" s="5">
        <f t="shared" si="1"/>
        <v>2022</v>
      </c>
      <c r="Y5" s="5">
        <f t="shared" si="1"/>
        <v>2022</v>
      </c>
      <c r="Z5" s="5">
        <f t="shared" si="1"/>
        <v>2022</v>
      </c>
      <c r="AA5" s="5">
        <f t="shared" si="1"/>
        <v>2022</v>
      </c>
      <c r="AB5" s="5">
        <f t="shared" si="1"/>
        <v>2022</v>
      </c>
      <c r="AC5" s="5">
        <f t="shared" si="1"/>
        <v>2022</v>
      </c>
      <c r="AD5" s="5">
        <f t="shared" si="1"/>
        <v>2022</v>
      </c>
      <c r="AE5" s="5">
        <f t="shared" si="1"/>
        <v>2022</v>
      </c>
      <c r="AF5" s="5">
        <f t="shared" si="1"/>
        <v>2022</v>
      </c>
      <c r="AG5" s="5">
        <f t="shared" si="1"/>
        <v>2022</v>
      </c>
      <c r="AH5" s="5">
        <f t="shared" si="1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1:49" outlineLevel="1" x14ac:dyDescent="0.25">
      <c r="C6" t="s">
        <v>10</v>
      </c>
      <c r="E6" s="5" t="str">
        <f>"Q"&amp;ROUNDUP(E7/3,0)</f>
        <v>Q3</v>
      </c>
      <c r="F6" s="5" t="str">
        <f t="shared" ref="F6:K6" si="2">"Q"&amp;ROUNDUP(F7/3,0)</f>
        <v>Q3</v>
      </c>
      <c r="G6" s="5" t="str">
        <f t="shared" si="2"/>
        <v>Q3</v>
      </c>
      <c r="H6" s="5" t="str">
        <f t="shared" si="2"/>
        <v>Q4</v>
      </c>
      <c r="I6" s="5" t="str">
        <f t="shared" si="2"/>
        <v>Q4</v>
      </c>
      <c r="J6" s="5" t="str">
        <f t="shared" si="2"/>
        <v>Q4</v>
      </c>
      <c r="K6" s="5" t="str">
        <f t="shared" si="2"/>
        <v>Q1</v>
      </c>
      <c r="L6" s="5" t="str">
        <f t="shared" ref="L6:AH6" si="3">"Q"&amp;ROUNDUP(L7/3,0)</f>
        <v>Q1</v>
      </c>
      <c r="M6" s="5" t="str">
        <f t="shared" si="3"/>
        <v>Q1</v>
      </c>
      <c r="N6" s="5" t="str">
        <f t="shared" si="3"/>
        <v>Q2</v>
      </c>
      <c r="O6" s="5" t="str">
        <f t="shared" si="3"/>
        <v>Q2</v>
      </c>
      <c r="P6" s="9" t="str">
        <f t="shared" si="3"/>
        <v>Q2</v>
      </c>
      <c r="Q6" s="5" t="str">
        <f t="shared" si="3"/>
        <v>Q3</v>
      </c>
      <c r="R6" s="5" t="str">
        <f t="shared" si="3"/>
        <v>Q3</v>
      </c>
      <c r="S6" s="5" t="str">
        <f t="shared" si="3"/>
        <v>Q3</v>
      </c>
      <c r="T6" s="5" t="str">
        <f t="shared" si="3"/>
        <v>Q4</v>
      </c>
      <c r="U6" s="5" t="str">
        <f t="shared" si="3"/>
        <v>Q4</v>
      </c>
      <c r="V6" s="5" t="str">
        <f t="shared" si="3"/>
        <v>Q4</v>
      </c>
      <c r="W6" s="5" t="str">
        <f t="shared" si="3"/>
        <v>Q1</v>
      </c>
      <c r="X6" s="5" t="str">
        <f t="shared" si="3"/>
        <v>Q1</v>
      </c>
      <c r="Y6" s="5" t="str">
        <f t="shared" si="3"/>
        <v>Q1</v>
      </c>
      <c r="Z6" s="5" t="str">
        <f t="shared" si="3"/>
        <v>Q2</v>
      </c>
      <c r="AA6" s="5" t="str">
        <f t="shared" si="3"/>
        <v>Q2</v>
      </c>
      <c r="AB6" s="5" t="str">
        <f t="shared" si="3"/>
        <v>Q2</v>
      </c>
      <c r="AC6" s="5" t="str">
        <f t="shared" si="3"/>
        <v>Q3</v>
      </c>
      <c r="AD6" s="5" t="str">
        <f t="shared" si="3"/>
        <v>Q3</v>
      </c>
      <c r="AE6" s="5" t="str">
        <f t="shared" si="3"/>
        <v>Q3</v>
      </c>
      <c r="AF6" s="5" t="str">
        <f t="shared" si="3"/>
        <v>Q4</v>
      </c>
      <c r="AG6" s="5" t="str">
        <f t="shared" si="3"/>
        <v>Q4</v>
      </c>
      <c r="AH6" s="5" t="str">
        <f t="shared" si="3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1:49" outlineLevel="1" x14ac:dyDescent="0.25">
      <c r="C7" t="s">
        <v>12</v>
      </c>
      <c r="E7" s="5">
        <f>MONTH(E8)</f>
        <v>7</v>
      </c>
      <c r="F7" s="5">
        <f t="shared" ref="F7:K7" si="4">MONTH(F8)</f>
        <v>8</v>
      </c>
      <c r="G7" s="5">
        <f t="shared" si="4"/>
        <v>9</v>
      </c>
      <c r="H7" s="5">
        <f t="shared" si="4"/>
        <v>10</v>
      </c>
      <c r="I7" s="5">
        <f t="shared" si="4"/>
        <v>11</v>
      </c>
      <c r="J7" s="5">
        <f t="shared" si="4"/>
        <v>12</v>
      </c>
      <c r="K7" s="5">
        <f t="shared" si="4"/>
        <v>1</v>
      </c>
      <c r="L7" s="5">
        <f t="shared" ref="L7:AH7" si="5">MONTH(L8)</f>
        <v>2</v>
      </c>
      <c r="M7" s="5">
        <f t="shared" si="5"/>
        <v>3</v>
      </c>
      <c r="N7" s="5">
        <f t="shared" si="5"/>
        <v>4</v>
      </c>
      <c r="O7" s="5">
        <f t="shared" si="5"/>
        <v>5</v>
      </c>
      <c r="P7" s="9">
        <f t="shared" si="5"/>
        <v>6</v>
      </c>
      <c r="Q7" s="5">
        <f t="shared" si="5"/>
        <v>7</v>
      </c>
      <c r="R7" s="5">
        <f t="shared" si="5"/>
        <v>8</v>
      </c>
      <c r="S7" s="5">
        <f t="shared" si="5"/>
        <v>9</v>
      </c>
      <c r="T7" s="5">
        <f t="shared" si="5"/>
        <v>10</v>
      </c>
      <c r="U7" s="5">
        <f t="shared" si="5"/>
        <v>11</v>
      </c>
      <c r="V7" s="5">
        <f t="shared" si="5"/>
        <v>12</v>
      </c>
      <c r="W7" s="5">
        <f t="shared" si="5"/>
        <v>1</v>
      </c>
      <c r="X7" s="5">
        <f t="shared" si="5"/>
        <v>2</v>
      </c>
      <c r="Y7" s="5">
        <f t="shared" si="5"/>
        <v>3</v>
      </c>
      <c r="Z7" s="5">
        <f t="shared" si="5"/>
        <v>4</v>
      </c>
      <c r="AA7" s="5">
        <f t="shared" si="5"/>
        <v>5</v>
      </c>
      <c r="AB7" s="5">
        <f t="shared" si="5"/>
        <v>6</v>
      </c>
      <c r="AC7" s="5">
        <f t="shared" si="5"/>
        <v>7</v>
      </c>
      <c r="AD7" s="5">
        <f t="shared" si="5"/>
        <v>8</v>
      </c>
      <c r="AE7" s="5">
        <f t="shared" si="5"/>
        <v>9</v>
      </c>
      <c r="AF7" s="5">
        <f t="shared" si="5"/>
        <v>10</v>
      </c>
      <c r="AG7" s="5">
        <f t="shared" si="5"/>
        <v>11</v>
      </c>
      <c r="AH7" s="5">
        <f t="shared" si="5"/>
        <v>12</v>
      </c>
      <c r="AJ7" s="5"/>
      <c r="AM7" s="8"/>
    </row>
    <row r="8" spans="1:49" outlineLevel="1" x14ac:dyDescent="0.25">
      <c r="C8" t="s">
        <v>9</v>
      </c>
      <c r="E8" s="6">
        <v>44043</v>
      </c>
      <c r="F8" s="7">
        <f t="shared" ref="F8:L8" si="6">EOMONTH(E8,1)</f>
        <v>44074</v>
      </c>
      <c r="G8" s="7">
        <f t="shared" si="6"/>
        <v>44104</v>
      </c>
      <c r="H8" s="7">
        <f t="shared" si="6"/>
        <v>44135</v>
      </c>
      <c r="I8" s="7">
        <f t="shared" si="6"/>
        <v>44165</v>
      </c>
      <c r="J8" s="7">
        <f t="shared" si="6"/>
        <v>44196</v>
      </c>
      <c r="K8" s="7">
        <f t="shared" si="6"/>
        <v>44227</v>
      </c>
      <c r="L8" s="7">
        <f t="shared" si="6"/>
        <v>44255</v>
      </c>
      <c r="M8" s="7">
        <f t="shared" ref="M8:AH8" si="7">EOMONTH(L8,1)</f>
        <v>44286</v>
      </c>
      <c r="N8" s="7">
        <f t="shared" si="7"/>
        <v>44316</v>
      </c>
      <c r="O8" s="7">
        <f t="shared" si="7"/>
        <v>44347</v>
      </c>
      <c r="P8" s="10">
        <f t="shared" si="7"/>
        <v>44377</v>
      </c>
      <c r="Q8" s="7">
        <f t="shared" si="7"/>
        <v>44408</v>
      </c>
      <c r="R8" s="7">
        <f t="shared" si="7"/>
        <v>44439</v>
      </c>
      <c r="S8" s="7">
        <f t="shared" si="7"/>
        <v>44469</v>
      </c>
      <c r="T8" s="7">
        <f t="shared" si="7"/>
        <v>44500</v>
      </c>
      <c r="U8" s="7">
        <f t="shared" si="7"/>
        <v>44530</v>
      </c>
      <c r="V8" s="7">
        <f t="shared" si="7"/>
        <v>44561</v>
      </c>
      <c r="W8" s="7">
        <f t="shared" si="7"/>
        <v>44592</v>
      </c>
      <c r="X8" s="7">
        <f t="shared" si="7"/>
        <v>44620</v>
      </c>
      <c r="Y8" s="7">
        <f t="shared" si="7"/>
        <v>44651</v>
      </c>
      <c r="Z8" s="7">
        <f t="shared" si="7"/>
        <v>44681</v>
      </c>
      <c r="AA8" s="7">
        <f t="shared" si="7"/>
        <v>44712</v>
      </c>
      <c r="AB8" s="7">
        <f t="shared" si="7"/>
        <v>44742</v>
      </c>
      <c r="AC8" s="7">
        <f t="shared" si="7"/>
        <v>44773</v>
      </c>
      <c r="AD8" s="7">
        <f t="shared" si="7"/>
        <v>44804</v>
      </c>
      <c r="AE8" s="7">
        <f t="shared" si="7"/>
        <v>44834</v>
      </c>
      <c r="AF8" s="7">
        <f t="shared" si="7"/>
        <v>44865</v>
      </c>
      <c r="AG8" s="7">
        <f t="shared" si="7"/>
        <v>44895</v>
      </c>
      <c r="AH8" s="7">
        <f t="shared" si="7"/>
        <v>44926</v>
      </c>
      <c r="AM8" s="8"/>
    </row>
    <row r="9" spans="1:49" outlineLevel="1" x14ac:dyDescent="0.25">
      <c r="C9" t="s">
        <v>17</v>
      </c>
      <c r="E9" s="5" t="str">
        <f t="shared" ref="E9:K9" si="8">TEXT(E8,"mmm-yy")&amp;LEFT(E3,1)</f>
        <v>Jul-20A</v>
      </c>
      <c r="F9" s="5" t="str">
        <f t="shared" si="8"/>
        <v>Aug-20A</v>
      </c>
      <c r="G9" s="5" t="str">
        <f t="shared" si="8"/>
        <v>Sep-20A</v>
      </c>
      <c r="H9" s="5" t="str">
        <f t="shared" si="8"/>
        <v>Oct-20A</v>
      </c>
      <c r="I9" s="5" t="str">
        <f t="shared" si="8"/>
        <v>Nov-20A</v>
      </c>
      <c r="J9" s="5" t="str">
        <f t="shared" si="8"/>
        <v>Dec-20A</v>
      </c>
      <c r="K9" s="5" t="str">
        <f t="shared" si="8"/>
        <v>Jan-21A</v>
      </c>
      <c r="L9" s="5" t="str">
        <f t="shared" ref="L9:AH9" si="9">TEXT(L8,"mmm-yy")&amp;LEFT(L3,1)</f>
        <v>Feb-21A</v>
      </c>
      <c r="M9" s="5" t="str">
        <f t="shared" si="9"/>
        <v>Mar-21A</v>
      </c>
      <c r="N9" s="5" t="str">
        <f t="shared" si="9"/>
        <v>Apr-21A</v>
      </c>
      <c r="O9" s="5" t="str">
        <f t="shared" si="9"/>
        <v>May-21A</v>
      </c>
      <c r="P9" s="9" t="str">
        <f t="shared" si="9"/>
        <v>Jun-21A</v>
      </c>
      <c r="Q9" s="5" t="str">
        <f t="shared" si="9"/>
        <v>Jul-21F</v>
      </c>
      <c r="R9" s="5" t="str">
        <f t="shared" si="9"/>
        <v>Aug-21F</v>
      </c>
      <c r="S9" s="5" t="str">
        <f t="shared" si="9"/>
        <v>Sep-21F</v>
      </c>
      <c r="T9" s="5" t="str">
        <f t="shared" si="9"/>
        <v>Oct-21F</v>
      </c>
      <c r="U9" s="5" t="str">
        <f t="shared" si="9"/>
        <v>Nov-21F</v>
      </c>
      <c r="V9" s="5" t="str">
        <f t="shared" si="9"/>
        <v>Dec-21F</v>
      </c>
      <c r="W9" s="5" t="str">
        <f t="shared" si="9"/>
        <v>Jan-22F</v>
      </c>
      <c r="X9" s="5" t="str">
        <f t="shared" si="9"/>
        <v>Feb-22F</v>
      </c>
      <c r="Y9" s="5" t="str">
        <f t="shared" si="9"/>
        <v>Mar-22F</v>
      </c>
      <c r="Z9" s="5" t="str">
        <f t="shared" si="9"/>
        <v>Apr-22F</v>
      </c>
      <c r="AA9" s="5" t="str">
        <f t="shared" si="9"/>
        <v>May-22F</v>
      </c>
      <c r="AB9" s="5" t="str">
        <f t="shared" si="9"/>
        <v>Jun-22F</v>
      </c>
      <c r="AC9" s="5" t="str">
        <f t="shared" si="9"/>
        <v>Jul-22F</v>
      </c>
      <c r="AD9" s="5" t="str">
        <f t="shared" si="9"/>
        <v>Aug-22F</v>
      </c>
      <c r="AE9" s="5" t="str">
        <f t="shared" si="9"/>
        <v>Sep-22F</v>
      </c>
      <c r="AF9" s="5" t="str">
        <f t="shared" si="9"/>
        <v>Oct-22F</v>
      </c>
      <c r="AG9" s="5" t="str">
        <f t="shared" si="9"/>
        <v>Nov-22F</v>
      </c>
      <c r="AH9" s="5" t="str">
        <f t="shared" si="9"/>
        <v>Dec-22F</v>
      </c>
      <c r="AM9" s="8"/>
      <c r="AU9" s="319" t="str">
        <f ca="1">COUNTIF($E$5:$AH$5,AU$5)&amp;"m"</f>
        <v>6m</v>
      </c>
      <c r="AV9" s="319" t="str">
        <f t="shared" ref="AV9:AW9" ca="1" si="10">COUNTIF($E$5:$AH$5,AV$5)&amp;"m"</f>
        <v>12m</v>
      </c>
      <c r="AW9" s="319" t="str">
        <f t="shared" ca="1" si="10"/>
        <v>12m</v>
      </c>
    </row>
    <row r="10" spans="1:49" x14ac:dyDescent="0.25">
      <c r="E10" s="43" t="str">
        <f t="shared" ref="E10:K10" si="11">E$9</f>
        <v>Jul-20A</v>
      </c>
      <c r="F10" s="43" t="str">
        <f t="shared" si="11"/>
        <v>Aug-20A</v>
      </c>
      <c r="G10" s="43" t="str">
        <f t="shared" si="11"/>
        <v>Sep-20A</v>
      </c>
      <c r="H10" s="43" t="str">
        <f t="shared" si="11"/>
        <v>Oct-20A</v>
      </c>
      <c r="I10" s="43" t="str">
        <f t="shared" si="11"/>
        <v>Nov-20A</v>
      </c>
      <c r="J10" s="43" t="str">
        <f t="shared" si="11"/>
        <v>Dec-20A</v>
      </c>
      <c r="K10" s="43" t="str">
        <f t="shared" si="11"/>
        <v>Jan-21A</v>
      </c>
      <c r="L10" s="43" t="str">
        <f t="shared" ref="L10:AH10" si="12">L$9</f>
        <v>Feb-21A</v>
      </c>
      <c r="M10" s="43" t="str">
        <f t="shared" si="12"/>
        <v>Mar-21A</v>
      </c>
      <c r="N10" s="43" t="str">
        <f t="shared" si="12"/>
        <v>Apr-21A</v>
      </c>
      <c r="O10" s="43" t="str">
        <f t="shared" si="12"/>
        <v>May-21A</v>
      </c>
      <c r="P10" s="44" t="str">
        <f t="shared" si="12"/>
        <v>Jun-21A</v>
      </c>
      <c r="Q10" s="43" t="str">
        <f t="shared" si="12"/>
        <v>Jul-21F</v>
      </c>
      <c r="R10" s="43" t="str">
        <f t="shared" si="12"/>
        <v>Aug-21F</v>
      </c>
      <c r="S10" s="43" t="str">
        <f t="shared" si="12"/>
        <v>Sep-21F</v>
      </c>
      <c r="T10" s="43" t="str">
        <f t="shared" si="12"/>
        <v>Oct-21F</v>
      </c>
      <c r="U10" s="43" t="str">
        <f t="shared" si="12"/>
        <v>Nov-21F</v>
      </c>
      <c r="V10" s="43" t="str">
        <f t="shared" si="12"/>
        <v>Dec-21F</v>
      </c>
      <c r="W10" s="43" t="str">
        <f t="shared" si="12"/>
        <v>Jan-22F</v>
      </c>
      <c r="X10" s="43" t="str">
        <f t="shared" si="12"/>
        <v>Feb-22F</v>
      </c>
      <c r="Y10" s="43" t="str">
        <f t="shared" si="12"/>
        <v>Mar-22F</v>
      </c>
      <c r="Z10" s="43" t="str">
        <f t="shared" si="12"/>
        <v>Apr-22F</v>
      </c>
      <c r="AA10" s="43" t="str">
        <f t="shared" si="12"/>
        <v>May-22F</v>
      </c>
      <c r="AB10" s="43" t="str">
        <f t="shared" si="12"/>
        <v>Jun-22F</v>
      </c>
      <c r="AC10" s="43" t="str">
        <f t="shared" si="12"/>
        <v>Jul-22F</v>
      </c>
      <c r="AD10" s="43" t="str">
        <f t="shared" si="12"/>
        <v>Aug-22F</v>
      </c>
      <c r="AE10" s="43" t="str">
        <f t="shared" si="12"/>
        <v>Sep-22F</v>
      </c>
      <c r="AF10" s="43" t="str">
        <f t="shared" si="12"/>
        <v>Oct-22F</v>
      </c>
      <c r="AG10" s="43" t="str">
        <f t="shared" si="12"/>
        <v>Nov-22F</v>
      </c>
      <c r="AH10" s="43" t="str">
        <f t="shared" si="12"/>
        <v>Dec-22F</v>
      </c>
      <c r="AJ10" s="43" t="str">
        <f ca="1">AJ6&amp;"'"&amp;RIGHT(AJ5,2)&amp;LEFT(AJ3,1)</f>
        <v>Q3'20A</v>
      </c>
      <c r="AK10" s="43" t="str">
        <f t="shared" ref="AK10:AS10" ca="1" si="13">AK6&amp;"'"&amp;RIGHT(AK5,2)&amp;LEFT(AK3,1)</f>
        <v>Q4'20A</v>
      </c>
      <c r="AL10" s="43" t="str">
        <f t="shared" ca="1" si="13"/>
        <v>Q1'21A</v>
      </c>
      <c r="AM10" s="44" t="str">
        <f t="shared" ca="1" si="13"/>
        <v>Q2'21A</v>
      </c>
      <c r="AN10" s="43" t="str">
        <f t="shared" ca="1" si="13"/>
        <v>Q3'21F</v>
      </c>
      <c r="AO10" s="43" t="str">
        <f t="shared" ca="1" si="13"/>
        <v>Q4'21F</v>
      </c>
      <c r="AP10" s="43" t="str">
        <f t="shared" ca="1" si="13"/>
        <v>Q1'22F</v>
      </c>
      <c r="AQ10" s="43" t="str">
        <f t="shared" ca="1" si="13"/>
        <v>Q2'22F</v>
      </c>
      <c r="AR10" s="43" t="str">
        <f t="shared" ca="1" si="13"/>
        <v>Q3'22F</v>
      </c>
      <c r="AS10" s="43" t="str">
        <f t="shared" ca="1" si="13"/>
        <v>Q4'22F</v>
      </c>
      <c r="AT10" s="11"/>
      <c r="AU10" s="326" t="str">
        <f ca="1">"FY"&amp;RIGHT(AU5,2)</f>
        <v>FY20</v>
      </c>
      <c r="AV10" s="326" t="str">
        <f t="shared" ref="AV10:AW10" ca="1" si="14">"FY"&amp;RIGHT(AV5,2)</f>
        <v>FY21</v>
      </c>
      <c r="AW10" s="326" t="str">
        <f t="shared" ca="1" si="14"/>
        <v>FY22</v>
      </c>
    </row>
    <row r="12" spans="1:49" ht="18.75" x14ac:dyDescent="0.3">
      <c r="A12" t="s">
        <v>231</v>
      </c>
      <c r="B12" t="s">
        <v>231</v>
      </c>
      <c r="C12" s="181" t="s">
        <v>469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</row>
    <row r="13" spans="1:49" x14ac:dyDescent="0.25">
      <c r="C13" s="11"/>
      <c r="D13" s="11"/>
    </row>
    <row r="14" spans="1:49" x14ac:dyDescent="0.25">
      <c r="C14" s="30" t="s">
        <v>271</v>
      </c>
      <c r="D14" s="225"/>
      <c r="E14" s="45" t="str">
        <f t="shared" ref="E14:AH14" si="15">E$9</f>
        <v>Jul-20A</v>
      </c>
      <c r="F14" s="45" t="str">
        <f t="shared" si="15"/>
        <v>Aug-20A</v>
      </c>
      <c r="G14" s="45" t="str">
        <f t="shared" si="15"/>
        <v>Sep-20A</v>
      </c>
      <c r="H14" s="45" t="str">
        <f t="shared" si="15"/>
        <v>Oct-20A</v>
      </c>
      <c r="I14" s="45" t="str">
        <f t="shared" si="15"/>
        <v>Nov-20A</v>
      </c>
      <c r="J14" s="45" t="str">
        <f t="shared" si="15"/>
        <v>Dec-20A</v>
      </c>
      <c r="K14" s="45" t="str">
        <f t="shared" si="15"/>
        <v>Jan-21A</v>
      </c>
      <c r="L14" s="45" t="str">
        <f t="shared" si="15"/>
        <v>Feb-21A</v>
      </c>
      <c r="M14" s="45" t="str">
        <f t="shared" si="15"/>
        <v>Mar-21A</v>
      </c>
      <c r="N14" s="45" t="str">
        <f t="shared" si="15"/>
        <v>Apr-21A</v>
      </c>
      <c r="O14" s="45" t="str">
        <f t="shared" si="15"/>
        <v>May-21A</v>
      </c>
      <c r="P14" s="46" t="str">
        <f t="shared" si="15"/>
        <v>Jun-21A</v>
      </c>
      <c r="Q14" s="45" t="str">
        <f t="shared" si="15"/>
        <v>Jul-21F</v>
      </c>
      <c r="R14" s="45" t="str">
        <f t="shared" si="15"/>
        <v>Aug-21F</v>
      </c>
      <c r="S14" s="45" t="str">
        <f t="shared" si="15"/>
        <v>Sep-21F</v>
      </c>
      <c r="T14" s="45" t="str">
        <f t="shared" si="15"/>
        <v>Oct-21F</v>
      </c>
      <c r="U14" s="45" t="str">
        <f t="shared" si="15"/>
        <v>Nov-21F</v>
      </c>
      <c r="V14" s="45" t="str">
        <f t="shared" si="15"/>
        <v>Dec-21F</v>
      </c>
      <c r="W14" s="45" t="str">
        <f t="shared" si="15"/>
        <v>Jan-22F</v>
      </c>
      <c r="X14" s="45" t="str">
        <f t="shared" si="15"/>
        <v>Feb-22F</v>
      </c>
      <c r="Y14" s="45" t="str">
        <f t="shared" si="15"/>
        <v>Mar-22F</v>
      </c>
      <c r="Z14" s="45" t="str">
        <f t="shared" si="15"/>
        <v>Apr-22F</v>
      </c>
      <c r="AA14" s="45" t="str">
        <f t="shared" si="15"/>
        <v>May-22F</v>
      </c>
      <c r="AB14" s="45" t="str">
        <f t="shared" si="15"/>
        <v>Jun-22F</v>
      </c>
      <c r="AC14" s="45" t="str">
        <f t="shared" si="15"/>
        <v>Jul-22F</v>
      </c>
      <c r="AD14" s="45" t="str">
        <f t="shared" si="15"/>
        <v>Aug-22F</v>
      </c>
      <c r="AE14" s="45" t="str">
        <f t="shared" si="15"/>
        <v>Sep-22F</v>
      </c>
      <c r="AF14" s="45" t="str">
        <f t="shared" si="15"/>
        <v>Oct-22F</v>
      </c>
      <c r="AG14" s="45" t="str">
        <f t="shared" si="15"/>
        <v>Nov-22F</v>
      </c>
      <c r="AH14" s="45" t="str">
        <f t="shared" si="15"/>
        <v>Dec-22F</v>
      </c>
      <c r="AJ14" s="45" t="str">
        <f ca="1">AJ$10</f>
        <v>Q3'20A</v>
      </c>
      <c r="AK14" s="45" t="str">
        <f t="shared" ref="AK14:AW14" ca="1" si="16">AK$10</f>
        <v>Q4'20A</v>
      </c>
      <c r="AL14" s="45" t="str">
        <f t="shared" ca="1" si="16"/>
        <v>Q1'21A</v>
      </c>
      <c r="AM14" s="45" t="str">
        <f t="shared" ca="1" si="16"/>
        <v>Q2'21A</v>
      </c>
      <c r="AN14" s="45" t="str">
        <f t="shared" ca="1" si="16"/>
        <v>Q3'21F</v>
      </c>
      <c r="AO14" s="45" t="str">
        <f t="shared" ca="1" si="16"/>
        <v>Q4'21F</v>
      </c>
      <c r="AP14" s="45" t="str">
        <f t="shared" ca="1" si="16"/>
        <v>Q1'22F</v>
      </c>
      <c r="AQ14" s="45" t="str">
        <f t="shared" ca="1" si="16"/>
        <v>Q2'22F</v>
      </c>
      <c r="AR14" s="45" t="str">
        <f t="shared" ca="1" si="16"/>
        <v>Q3'22F</v>
      </c>
      <c r="AS14" s="45" t="str">
        <f t="shared" ca="1" si="16"/>
        <v>Q4'22F</v>
      </c>
      <c r="AU14" s="45" t="str">
        <f t="shared" ca="1" si="16"/>
        <v>FY20</v>
      </c>
      <c r="AV14" s="45" t="str">
        <f t="shared" ca="1" si="16"/>
        <v>FY21</v>
      </c>
      <c r="AW14" s="45" t="str">
        <f t="shared" ca="1" si="16"/>
        <v>FY22</v>
      </c>
    </row>
    <row r="15" spans="1:49" x14ac:dyDescent="0.25">
      <c r="C15" s="1" t="s">
        <v>1</v>
      </c>
      <c r="D15" s="1"/>
      <c r="E15" s="61">
        <f t="shared" ref="E15:AH15" si="17">E111</f>
        <v>126.49694374548794</v>
      </c>
      <c r="F15" s="61">
        <f t="shared" si="17"/>
        <v>126.24186671451648</v>
      </c>
      <c r="G15" s="61">
        <f t="shared" si="17"/>
        <v>99.184384559310431</v>
      </c>
      <c r="H15" s="61">
        <f t="shared" si="17"/>
        <v>93.614415516835408</v>
      </c>
      <c r="I15" s="61">
        <f t="shared" si="17"/>
        <v>73.484537385297614</v>
      </c>
      <c r="J15" s="61">
        <f t="shared" si="17"/>
        <v>76.704122790040472</v>
      </c>
      <c r="K15" s="61">
        <f t="shared" si="17"/>
        <v>145.72832049513997</v>
      </c>
      <c r="L15" s="61">
        <f t="shared" si="17"/>
        <v>133.00946954302947</v>
      </c>
      <c r="M15" s="61">
        <f t="shared" si="17"/>
        <v>116.0901999762811</v>
      </c>
      <c r="N15" s="61">
        <f t="shared" si="17"/>
        <v>122.17325759457495</v>
      </c>
      <c r="O15" s="61">
        <f t="shared" si="17"/>
        <v>104.10087461813215</v>
      </c>
      <c r="P15" s="17">
        <f t="shared" si="17"/>
        <v>105.89713077189775</v>
      </c>
      <c r="Q15" s="13">
        <f t="shared" si="17"/>
        <v>131.16592604770841</v>
      </c>
      <c r="R15" s="13">
        <f t="shared" si="17"/>
        <v>132.78522489278171</v>
      </c>
      <c r="S15" s="13">
        <f t="shared" si="17"/>
        <v>106.24635764813253</v>
      </c>
      <c r="T15" s="13">
        <f t="shared" si="17"/>
        <v>99.381190637998728</v>
      </c>
      <c r="U15" s="13">
        <f t="shared" si="17"/>
        <v>77.237364789311584</v>
      </c>
      <c r="V15" s="13">
        <f t="shared" si="17"/>
        <v>79.969053049806718</v>
      </c>
      <c r="W15" s="13">
        <f t="shared" si="17"/>
        <v>155.50196821526066</v>
      </c>
      <c r="X15" s="13">
        <f t="shared" si="17"/>
        <v>138.92485509502552</v>
      </c>
      <c r="Y15" s="13">
        <f t="shared" si="17"/>
        <v>120.2006070705694</v>
      </c>
      <c r="Z15" s="13">
        <f t="shared" si="17"/>
        <v>127.68953533137095</v>
      </c>
      <c r="AA15" s="13">
        <f t="shared" si="17"/>
        <v>107.74207002636595</v>
      </c>
      <c r="AB15" s="13">
        <f t="shared" si="17"/>
        <v>110.53740355793188</v>
      </c>
      <c r="AC15" s="13">
        <f t="shared" si="17"/>
        <v>137.21593173115176</v>
      </c>
      <c r="AD15" s="13">
        <f t="shared" si="17"/>
        <v>138.94050378997429</v>
      </c>
      <c r="AE15" s="13">
        <f t="shared" si="17"/>
        <v>111.17781239204669</v>
      </c>
      <c r="AF15" s="13">
        <f t="shared" si="17"/>
        <v>104.01018187115719</v>
      </c>
      <c r="AG15" s="13">
        <f t="shared" si="17"/>
        <v>80.839305631563306</v>
      </c>
      <c r="AH15" s="13">
        <f t="shared" si="17"/>
        <v>83.686225193324276</v>
      </c>
      <c r="AJ15" s="15" cm="1">
        <f t="array" aca="1" ref="AJ15" ca="1">SUMPRODUCT(($E15:$AH15)*(AJ$3&amp;AJ$4&amp;AJ$5&amp;AJ$6=$E$3:$AH$3&amp;$E$4:$AH$4&amp;$E$5:$AH$5&amp;$E$6:$AH$6))</f>
        <v>351.92319501931485</v>
      </c>
      <c r="AK15" s="15" cm="1">
        <f t="array" aca="1" ref="AK15" ca="1">SUMPRODUCT(($E15:$AH15)*(AK$3=$E$3:$AH$3)*(AK$4=$E$4:$AH$4)*(AK$5=$E$5:$AH$5)*(AK$6=$E$6:$AH$6))</f>
        <v>243.80307569217348</v>
      </c>
      <c r="AL15" s="15" cm="1">
        <f t="array" aca="1" ref="AL15" ca="1">SUMPRODUCT(($E15:$AH15)*(AL$3=$E$3:$AH$3)*(AL$4=$E$4:$AH$4)*(AL$5=$E$5:$AH$5)*(AL$6=$E$6:$AH$6))</f>
        <v>394.82799001445056</v>
      </c>
      <c r="AM15" s="16" cm="1">
        <f t="array" aca="1" ref="AM15" ca="1">SUMPRODUCT(($E15:$AH15)*(AM$3=$E$3:$AH$3)*(AM$4=$E$4:$AH$4)*(AM$5=$E$5:$AH$5)*(AM$6=$E$6:$AH$6))</f>
        <v>332.17126298460488</v>
      </c>
      <c r="AN15" s="15" cm="1">
        <f t="array" aca="1" ref="AN15" ca="1">SUMPRODUCT(($E15:$AH15)*(AN$3=$E$3:$AH$3)*(AN$4=$E$4:$AH$4)*(AN$5=$E$5:$AH$5)*(AN$6=$E$6:$AH$6))</f>
        <v>370.19750858862267</v>
      </c>
      <c r="AO15" s="15" cm="1">
        <f t="array" aca="1" ref="AO15" ca="1">SUMPRODUCT(($E15:$AH15)*(AO$3=$E$3:$AH$3)*(AO$4=$E$4:$AH$4)*(AO$5=$E$5:$AH$5)*(AO$6=$E$6:$AH$6))</f>
        <v>256.58760847711699</v>
      </c>
      <c r="AP15" s="15" cm="1">
        <f t="array" aca="1" ref="AP15" ca="1">SUMPRODUCT(($E15:$AH15)*(AP$3=$E$3:$AH$3)*(AP$4=$E$4:$AH$4)*(AP$5=$E$5:$AH$5)*(AP$6=$E$6:$AH$6))</f>
        <v>414.62743038085557</v>
      </c>
      <c r="AQ15" s="15" cm="1">
        <f t="array" aca="1" ref="AQ15" ca="1">SUMPRODUCT(($E15:$AH15)*(AQ$3=$E$3:$AH$3)*(AQ$4=$E$4:$AH$4)*(AQ$5=$E$5:$AH$5)*(AQ$6=$E$6:$AH$6))</f>
        <v>345.96900891566878</v>
      </c>
      <c r="AR15" s="15" cm="1">
        <f t="array" aca="1" ref="AR15" ca="1">SUMPRODUCT(($E15:$AH15)*(AR$3=$E$3:$AH$3)*(AR$4=$E$4:$AH$4)*(AR$5=$E$5:$AH$5)*(AR$6=$E$6:$AH$6))</f>
        <v>387.3342479131727</v>
      </c>
      <c r="AS15" s="15" cm="1">
        <f t="array" aca="1" ref="AS15" ca="1">SUMPRODUCT(($E15:$AH15)*(AS$3=$E$3:$AH$3)*(AS$4=$E$4:$AH$4)*(AS$5=$E$5:$AH$5)*(AS$6=$E$6:$AH$6))</f>
        <v>268.53571269604475</v>
      </c>
      <c r="AU15" s="15" cm="1">
        <f t="array" aca="1" ref="AU15" ca="1">SUMPRODUCT(($E15:$AH15)*(AU$5=$E$5:$AH$5))</f>
        <v>595.72627071148838</v>
      </c>
      <c r="AV15" s="15" cm="1">
        <f t="array" aca="1" ref="AV15" ca="1">SUMPRODUCT(($E15:$AH15)*(AV$5=$E$5:$AH$5))</f>
        <v>1353.7843700647952</v>
      </c>
      <c r="AW15" s="15" cm="1">
        <f t="array" aca="1" ref="AW15" ca="1">SUMPRODUCT(($E15:$AH15)*(AW$5=$E$5:$AH$5))</f>
        <v>1416.4663999057416</v>
      </c>
    </row>
    <row r="16" spans="1:49" x14ac:dyDescent="0.25">
      <c r="C16" s="1" t="s">
        <v>2</v>
      </c>
      <c r="D16" s="1"/>
      <c r="E16" s="61">
        <f t="shared" ref="E16:AH16" si="18">E112</f>
        <v>527.50890422961891</v>
      </c>
      <c r="F16" s="61">
        <f t="shared" si="18"/>
        <v>379.30105315649905</v>
      </c>
      <c r="G16" s="61">
        <f t="shared" si="18"/>
        <v>390.89814306965133</v>
      </c>
      <c r="H16" s="61">
        <f t="shared" si="18"/>
        <v>410.91385254641801</v>
      </c>
      <c r="I16" s="61">
        <f t="shared" si="18"/>
        <v>413.70899176726823</v>
      </c>
      <c r="J16" s="61">
        <f t="shared" si="18"/>
        <v>663.35709408499349</v>
      </c>
      <c r="K16" s="61">
        <f t="shared" si="18"/>
        <v>437.32852660626969</v>
      </c>
      <c r="L16" s="61">
        <f t="shared" si="18"/>
        <v>373.17233891405198</v>
      </c>
      <c r="M16" s="61">
        <f t="shared" si="18"/>
        <v>394.71661686681392</v>
      </c>
      <c r="N16" s="61">
        <f t="shared" si="18"/>
        <v>595.98625770862611</v>
      </c>
      <c r="O16" s="61">
        <f t="shared" si="18"/>
        <v>603.64078888479889</v>
      </c>
      <c r="P16" s="17">
        <f t="shared" si="18"/>
        <v>628.47035153436047</v>
      </c>
      <c r="Q16" s="13">
        <f t="shared" si="18"/>
        <v>564.65644530317206</v>
      </c>
      <c r="R16" s="13">
        <f t="shared" si="18"/>
        <v>411.29719344727386</v>
      </c>
      <c r="S16" s="13">
        <f t="shared" si="18"/>
        <v>406.33133643707646</v>
      </c>
      <c r="T16" s="13">
        <f t="shared" si="18"/>
        <v>424.91629301857392</v>
      </c>
      <c r="U16" s="13">
        <f t="shared" si="18"/>
        <v>430.09004599072688</v>
      </c>
      <c r="V16" s="13">
        <f t="shared" si="18"/>
        <v>667.73566023969579</v>
      </c>
      <c r="W16" s="13">
        <f t="shared" si="18"/>
        <v>456.55337897607859</v>
      </c>
      <c r="X16" s="13">
        <f t="shared" si="18"/>
        <v>393.22316373853022</v>
      </c>
      <c r="Y16" s="13">
        <f t="shared" si="18"/>
        <v>411.24291387381072</v>
      </c>
      <c r="Z16" s="13">
        <f t="shared" si="18"/>
        <v>643.97008597424031</v>
      </c>
      <c r="AA16" s="13">
        <f t="shared" si="18"/>
        <v>604.76483390884709</v>
      </c>
      <c r="AB16" s="13">
        <f t="shared" si="18"/>
        <v>663.73245638528749</v>
      </c>
      <c r="AC16" s="13">
        <f t="shared" si="18"/>
        <v>590.70112631304471</v>
      </c>
      <c r="AD16" s="13">
        <f t="shared" si="18"/>
        <v>430.36293617086932</v>
      </c>
      <c r="AE16" s="13">
        <f t="shared" si="18"/>
        <v>425.19132035586466</v>
      </c>
      <c r="AF16" s="13">
        <f t="shared" si="18"/>
        <v>444.7081045533526</v>
      </c>
      <c r="AG16" s="13">
        <f t="shared" si="18"/>
        <v>450.14716351054057</v>
      </c>
      <c r="AH16" s="13">
        <f t="shared" si="18"/>
        <v>698.77377186933325</v>
      </c>
      <c r="AJ16" s="15" cm="1">
        <f t="array" aca="1" ref="AJ16" ca="1">SUMPRODUCT(($E16:$AH16)*(AJ$3&amp;AJ$4&amp;AJ$5&amp;AJ$6=$E$3:$AH$3&amp;$E$4:$AH$4&amp;$E$5:$AH$5&amp;$E$6:$AH$6))</f>
        <v>1297.7081004557692</v>
      </c>
      <c r="AK16" s="15" cm="1">
        <f t="array" aca="1" ref="AK16" ca="1">SUMPRODUCT(($E16:$AH16)*(AK$3=$E$3:$AH$3)*(AK$4=$E$4:$AH$4)*(AK$5=$E$5:$AH$5)*(AK$6=$E$6:$AH$6))</f>
        <v>1487.9799383986797</v>
      </c>
      <c r="AL16" s="15" cm="1">
        <f t="array" aca="1" ref="AL16" ca="1">SUMPRODUCT(($E16:$AH16)*(AL$3=$E$3:$AH$3)*(AL$4=$E$4:$AH$4)*(AL$5=$E$5:$AH$5)*(AL$6=$E$6:$AH$6))</f>
        <v>1205.2174823871355</v>
      </c>
      <c r="AM16" s="16" cm="1">
        <f t="array" aca="1" ref="AM16" ca="1">SUMPRODUCT(($E16:$AH16)*(AM$3=$E$3:$AH$3)*(AM$4=$E$4:$AH$4)*(AM$5=$E$5:$AH$5)*(AM$6=$E$6:$AH$6))</f>
        <v>1828.0973981277853</v>
      </c>
      <c r="AN16" s="15" cm="1">
        <f t="array" aca="1" ref="AN16" ca="1">SUMPRODUCT(($E16:$AH16)*(AN$3=$E$3:$AH$3)*(AN$4=$E$4:$AH$4)*(AN$5=$E$5:$AH$5)*(AN$6=$E$6:$AH$6))</f>
        <v>1382.2849751875224</v>
      </c>
      <c r="AO16" s="15" cm="1">
        <f t="array" aca="1" ref="AO16" ca="1">SUMPRODUCT(($E16:$AH16)*(AO$3=$E$3:$AH$3)*(AO$4=$E$4:$AH$4)*(AO$5=$E$5:$AH$5)*(AO$6=$E$6:$AH$6))</f>
        <v>1522.7419992489965</v>
      </c>
      <c r="AP16" s="15" cm="1">
        <f t="array" aca="1" ref="AP16" ca="1">SUMPRODUCT(($E16:$AH16)*(AP$3=$E$3:$AH$3)*(AP$4=$E$4:$AH$4)*(AP$5=$E$5:$AH$5)*(AP$6=$E$6:$AH$6))</f>
        <v>1261.0194565884194</v>
      </c>
      <c r="AQ16" s="15" cm="1">
        <f t="array" aca="1" ref="AQ16" ca="1">SUMPRODUCT(($E16:$AH16)*(AQ$3=$E$3:$AH$3)*(AQ$4=$E$4:$AH$4)*(AQ$5=$E$5:$AH$5)*(AQ$6=$E$6:$AH$6))</f>
        <v>1912.4673762683751</v>
      </c>
      <c r="AR16" s="15" cm="1">
        <f t="array" aca="1" ref="AR16" ca="1">SUMPRODUCT(($E16:$AH16)*(AR$3=$E$3:$AH$3)*(AR$4=$E$4:$AH$4)*(AR$5=$E$5:$AH$5)*(AR$6=$E$6:$AH$6))</f>
        <v>1446.2553828397788</v>
      </c>
      <c r="AS16" s="15" cm="1">
        <f t="array" aca="1" ref="AS16" ca="1">SUMPRODUCT(($E16:$AH16)*(AS$3=$E$3:$AH$3)*(AS$4=$E$4:$AH$4)*(AS$5=$E$5:$AH$5)*(AS$6=$E$6:$AH$6))</f>
        <v>1593.6290399332265</v>
      </c>
      <c r="AU16" s="15" cm="1">
        <f t="array" aca="1" ref="AU16" ca="1">SUMPRODUCT(($E16:$AH16)*(AU$5=$E$5:$AH$5))</f>
        <v>2785.6880388544491</v>
      </c>
      <c r="AV16" s="15" cm="1">
        <f t="array" aca="1" ref="AV16" ca="1">SUMPRODUCT(($E16:$AH16)*(AV$5=$E$5:$AH$5))</f>
        <v>5938.3418549514399</v>
      </c>
      <c r="AW16" s="15" cm="1">
        <f t="array" aca="1" ref="AW16" ca="1">SUMPRODUCT(($E16:$AH16)*(AW$5=$E$5:$AH$5))</f>
        <v>6213.3712556297987</v>
      </c>
    </row>
    <row r="17" spans="1:49" x14ac:dyDescent="0.25">
      <c r="C17" s="1" t="s">
        <v>3</v>
      </c>
      <c r="D17" s="1"/>
      <c r="E17" s="61">
        <f t="shared" ref="E17:AH17" si="19">E113</f>
        <v>294.36954445743783</v>
      </c>
      <c r="F17" s="61">
        <f t="shared" si="19"/>
        <v>227.2343908897204</v>
      </c>
      <c r="G17" s="61">
        <f t="shared" si="19"/>
        <v>212.88001164241982</v>
      </c>
      <c r="H17" s="61">
        <f t="shared" si="19"/>
        <v>236.12171792905923</v>
      </c>
      <c r="I17" s="61">
        <f t="shared" si="19"/>
        <v>264.79243388910254</v>
      </c>
      <c r="J17" s="61">
        <f t="shared" si="19"/>
        <v>318.19731307875105</v>
      </c>
      <c r="K17" s="61">
        <f t="shared" si="19"/>
        <v>266.11520358221486</v>
      </c>
      <c r="L17" s="61">
        <f t="shared" si="19"/>
        <v>230.11683996994111</v>
      </c>
      <c r="M17" s="61">
        <f t="shared" si="19"/>
        <v>249.61969453859246</v>
      </c>
      <c r="N17" s="61">
        <f t="shared" si="19"/>
        <v>313.00518692325039</v>
      </c>
      <c r="O17" s="61">
        <f t="shared" si="19"/>
        <v>314.66972015002392</v>
      </c>
      <c r="P17" s="17">
        <f t="shared" si="19"/>
        <v>339.60857344205402</v>
      </c>
      <c r="Q17" s="13">
        <f t="shared" si="19"/>
        <v>312.18915202199798</v>
      </c>
      <c r="R17" s="13">
        <f t="shared" si="19"/>
        <v>248.95014141908544</v>
      </c>
      <c r="S17" s="13">
        <f t="shared" si="19"/>
        <v>222.56774250056887</v>
      </c>
      <c r="T17" s="13">
        <f t="shared" si="19"/>
        <v>244.13342038752592</v>
      </c>
      <c r="U17" s="13">
        <f t="shared" si="19"/>
        <v>290.13927115348713</v>
      </c>
      <c r="V17" s="13">
        <f t="shared" si="19"/>
        <v>316.96644246822842</v>
      </c>
      <c r="W17" s="13">
        <f t="shared" si="19"/>
        <v>285.33218715508337</v>
      </c>
      <c r="X17" s="13">
        <f t="shared" si="19"/>
        <v>240.71748567434619</v>
      </c>
      <c r="Y17" s="13">
        <f t="shared" si="19"/>
        <v>250.03195893849954</v>
      </c>
      <c r="Z17" s="13">
        <f t="shared" si="19"/>
        <v>327.33340311283666</v>
      </c>
      <c r="AA17" s="13">
        <f t="shared" si="19"/>
        <v>336.13411964646139</v>
      </c>
      <c r="AB17" s="13">
        <f t="shared" si="19"/>
        <v>352.74922107235341</v>
      </c>
      <c r="AC17" s="13">
        <f t="shared" si="19"/>
        <v>326.58882273644451</v>
      </c>
      <c r="AD17" s="13">
        <f t="shared" si="19"/>
        <v>260.49026234117832</v>
      </c>
      <c r="AE17" s="13">
        <f t="shared" si="19"/>
        <v>232.89828722598594</v>
      </c>
      <c r="AF17" s="13">
        <f t="shared" si="19"/>
        <v>255.50470156699237</v>
      </c>
      <c r="AG17" s="13">
        <f t="shared" si="19"/>
        <v>303.66982716817813</v>
      </c>
      <c r="AH17" s="13">
        <f t="shared" si="19"/>
        <v>331.69987728380556</v>
      </c>
      <c r="AJ17" s="15" cm="1">
        <f t="array" aca="1" ref="AJ17" ca="1">SUMPRODUCT(($E17:$AH17)*(AJ$3&amp;AJ$4&amp;AJ$5&amp;AJ$6=$E$3:$AH$3&amp;$E$4:$AH$4&amp;$E$5:$AH$5&amp;$E$6:$AH$6))</f>
        <v>734.48394698957804</v>
      </c>
      <c r="AK17" s="15" cm="1">
        <f t="array" aca="1" ref="AK17" ca="1">SUMPRODUCT(($E17:$AH17)*(AK$3=$E$3:$AH$3)*(AK$4=$E$4:$AH$4)*(AK$5=$E$5:$AH$5)*(AK$6=$E$6:$AH$6))</f>
        <v>819.11146489691282</v>
      </c>
      <c r="AL17" s="15" cm="1">
        <f t="array" aca="1" ref="AL17" ca="1">SUMPRODUCT(($E17:$AH17)*(AL$3=$E$3:$AH$3)*(AL$4=$E$4:$AH$4)*(AL$5=$E$5:$AH$5)*(AL$6=$E$6:$AH$6))</f>
        <v>745.85173809074843</v>
      </c>
      <c r="AM17" s="16" cm="1">
        <f t="array" aca="1" ref="AM17" ca="1">SUMPRODUCT(($E17:$AH17)*(AM$3=$E$3:$AH$3)*(AM$4=$E$4:$AH$4)*(AM$5=$E$5:$AH$5)*(AM$6=$E$6:$AH$6))</f>
        <v>967.28348051532839</v>
      </c>
      <c r="AN17" s="15" cm="1">
        <f t="array" aca="1" ref="AN17" ca="1">SUMPRODUCT(($E17:$AH17)*(AN$3=$E$3:$AH$3)*(AN$4=$E$4:$AH$4)*(AN$5=$E$5:$AH$5)*(AN$6=$E$6:$AH$6))</f>
        <v>783.70703594165229</v>
      </c>
      <c r="AO17" s="15" cm="1">
        <f t="array" aca="1" ref="AO17" ca="1">SUMPRODUCT(($E17:$AH17)*(AO$3=$E$3:$AH$3)*(AO$4=$E$4:$AH$4)*(AO$5=$E$5:$AH$5)*(AO$6=$E$6:$AH$6))</f>
        <v>851.23913400924152</v>
      </c>
      <c r="AP17" s="15" cm="1">
        <f t="array" aca="1" ref="AP17" ca="1">SUMPRODUCT(($E17:$AH17)*(AP$3=$E$3:$AH$3)*(AP$4=$E$4:$AH$4)*(AP$5=$E$5:$AH$5)*(AP$6=$E$6:$AH$6))</f>
        <v>776.08163176792914</v>
      </c>
      <c r="AQ17" s="15" cm="1">
        <f t="array" aca="1" ref="AQ17" ca="1">SUMPRODUCT(($E17:$AH17)*(AQ$3=$E$3:$AH$3)*(AQ$4=$E$4:$AH$4)*(AQ$5=$E$5:$AH$5)*(AQ$6=$E$6:$AH$6))</f>
        <v>1016.2167438316515</v>
      </c>
      <c r="AR17" s="15" cm="1">
        <f t="array" aca="1" ref="AR17" ca="1">SUMPRODUCT(($E17:$AH17)*(AR$3=$E$3:$AH$3)*(AR$4=$E$4:$AH$4)*(AR$5=$E$5:$AH$5)*(AR$6=$E$6:$AH$6))</f>
        <v>819.97737230360872</v>
      </c>
      <c r="AS17" s="15" cm="1">
        <f t="array" aca="1" ref="AS17" ca="1">SUMPRODUCT(($E17:$AH17)*(AS$3=$E$3:$AH$3)*(AS$4=$E$4:$AH$4)*(AS$5=$E$5:$AH$5)*(AS$6=$E$6:$AH$6))</f>
        <v>890.87440601897606</v>
      </c>
      <c r="AU17" s="15" cm="1">
        <f t="array" aca="1" ref="AU17" ca="1">SUMPRODUCT(($E17:$AH17)*(AU$5=$E$5:$AH$5))</f>
        <v>1553.5954118864909</v>
      </c>
      <c r="AV17" s="15" cm="1">
        <f t="array" aca="1" ref="AV17" ca="1">SUMPRODUCT(($E17:$AH17)*(AV$5=$E$5:$AH$5))</f>
        <v>3348.0813885569701</v>
      </c>
      <c r="AW17" s="15" cm="1">
        <f t="array" aca="1" ref="AW17" ca="1">SUMPRODUCT(($E17:$AH17)*(AW$5=$E$5:$AH$5))</f>
        <v>3503.1501539221649</v>
      </c>
    </row>
    <row r="18" spans="1:49" x14ac:dyDescent="0.25">
      <c r="C18" s="1" t="s">
        <v>4</v>
      </c>
      <c r="D18" s="1"/>
      <c r="E18" s="61">
        <f t="shared" ref="E18:AH18" si="20">E114</f>
        <v>59.460392518849993</v>
      </c>
      <c r="F18" s="61">
        <f t="shared" si="20"/>
        <v>66.802574429821618</v>
      </c>
      <c r="G18" s="61">
        <f t="shared" si="20"/>
        <v>81.45240976778463</v>
      </c>
      <c r="H18" s="61">
        <f t="shared" si="20"/>
        <v>59.957736804239026</v>
      </c>
      <c r="I18" s="61">
        <f t="shared" si="20"/>
        <v>52.608312372633691</v>
      </c>
      <c r="J18" s="61">
        <f t="shared" si="20"/>
        <v>68.168473883173377</v>
      </c>
      <c r="K18" s="61">
        <f t="shared" si="20"/>
        <v>81.564772871577333</v>
      </c>
      <c r="L18" s="61">
        <f t="shared" si="20"/>
        <v>78.899595791337902</v>
      </c>
      <c r="M18" s="61">
        <f t="shared" si="20"/>
        <v>62.499694378206499</v>
      </c>
      <c r="N18" s="61">
        <f t="shared" si="20"/>
        <v>95.41855749264586</v>
      </c>
      <c r="O18" s="61">
        <f t="shared" si="20"/>
        <v>84.406246624552253</v>
      </c>
      <c r="P18" s="17">
        <f t="shared" si="20"/>
        <v>93.574691092192339</v>
      </c>
      <c r="Q18" s="13">
        <f t="shared" si="20"/>
        <v>55.696002206426911</v>
      </c>
      <c r="R18" s="13">
        <f t="shared" si="20"/>
        <v>67.959826126290835</v>
      </c>
      <c r="S18" s="13">
        <f t="shared" si="20"/>
        <v>88.678979621988802</v>
      </c>
      <c r="T18" s="13">
        <f t="shared" si="20"/>
        <v>67.24566467340162</v>
      </c>
      <c r="U18" s="13">
        <f t="shared" si="20"/>
        <v>55.174566267553367</v>
      </c>
      <c r="V18" s="13">
        <f t="shared" si="20"/>
        <v>64.723389077560256</v>
      </c>
      <c r="W18" s="13">
        <f t="shared" si="20"/>
        <v>90.256864434212986</v>
      </c>
      <c r="X18" s="13">
        <f t="shared" si="20"/>
        <v>76.367482605815141</v>
      </c>
      <c r="Y18" s="13">
        <f t="shared" si="20"/>
        <v>60.804249665677403</v>
      </c>
      <c r="Z18" s="13">
        <f t="shared" si="20"/>
        <v>107.26639268095136</v>
      </c>
      <c r="AA18" s="13">
        <f t="shared" si="20"/>
        <v>80.474664450670119</v>
      </c>
      <c r="AB18" s="13">
        <f t="shared" si="20"/>
        <v>104.13414727600639</v>
      </c>
      <c r="AC18" s="13">
        <f t="shared" si="20"/>
        <v>58.264970688160474</v>
      </c>
      <c r="AD18" s="13">
        <f t="shared" si="20"/>
        <v>71.110113998678784</v>
      </c>
      <c r="AE18" s="13">
        <f t="shared" si="20"/>
        <v>92.795039545573488</v>
      </c>
      <c r="AF18" s="13">
        <f t="shared" si="20"/>
        <v>70.37784280733986</v>
      </c>
      <c r="AG18" s="13">
        <f t="shared" si="20"/>
        <v>57.747615260547072</v>
      </c>
      <c r="AH18" s="13">
        <f t="shared" si="20"/>
        <v>67.73190261795834</v>
      </c>
      <c r="AJ18" s="15" cm="1">
        <f t="array" aca="1" ref="AJ18" ca="1">SUMPRODUCT(($E18:$AH18)*(AJ$3&amp;AJ$4&amp;AJ$5&amp;AJ$6=$E$3:$AH$3&amp;$E$4:$AH$4&amp;$E$5:$AH$5&amp;$E$6:$AH$6))</f>
        <v>207.71537671645626</v>
      </c>
      <c r="AK18" s="15" cm="1">
        <f t="array" aca="1" ref="AK18" ca="1">SUMPRODUCT(($E18:$AH18)*(AK$3=$E$3:$AH$3)*(AK$4=$E$4:$AH$4)*(AK$5=$E$5:$AH$5)*(AK$6=$E$6:$AH$6))</f>
        <v>180.73452306004612</v>
      </c>
      <c r="AL18" s="15" cm="1">
        <f t="array" aca="1" ref="AL18" ca="1">SUMPRODUCT(($E18:$AH18)*(AL$3=$E$3:$AH$3)*(AL$4=$E$4:$AH$4)*(AL$5=$E$5:$AH$5)*(AL$6=$E$6:$AH$6))</f>
        <v>222.96406304112173</v>
      </c>
      <c r="AM18" s="16" cm="1">
        <f t="array" aca="1" ref="AM18" ca="1">SUMPRODUCT(($E18:$AH18)*(AM$3=$E$3:$AH$3)*(AM$4=$E$4:$AH$4)*(AM$5=$E$5:$AH$5)*(AM$6=$E$6:$AH$6))</f>
        <v>273.39949520939047</v>
      </c>
      <c r="AN18" s="15" cm="1">
        <f t="array" aca="1" ref="AN18" ca="1">SUMPRODUCT(($E18:$AH18)*(AN$3=$E$3:$AH$3)*(AN$4=$E$4:$AH$4)*(AN$5=$E$5:$AH$5)*(AN$6=$E$6:$AH$6))</f>
        <v>212.33480795470655</v>
      </c>
      <c r="AO18" s="15" cm="1">
        <f t="array" aca="1" ref="AO18" ca="1">SUMPRODUCT(($E18:$AH18)*(AO$3=$E$3:$AH$3)*(AO$4=$E$4:$AH$4)*(AO$5=$E$5:$AH$5)*(AO$6=$E$6:$AH$6))</f>
        <v>187.14362001851524</v>
      </c>
      <c r="AP18" s="15" cm="1">
        <f t="array" aca="1" ref="AP18" ca="1">SUMPRODUCT(($E18:$AH18)*(AP$3=$E$3:$AH$3)*(AP$4=$E$4:$AH$4)*(AP$5=$E$5:$AH$5)*(AP$6=$E$6:$AH$6))</f>
        <v>227.4285967057055</v>
      </c>
      <c r="AQ18" s="15" cm="1">
        <f t="array" aca="1" ref="AQ18" ca="1">SUMPRODUCT(($E18:$AH18)*(AQ$3=$E$3:$AH$3)*(AQ$4=$E$4:$AH$4)*(AQ$5=$E$5:$AH$5)*(AQ$6=$E$6:$AH$6))</f>
        <v>291.87520440762785</v>
      </c>
      <c r="AR18" s="15" cm="1">
        <f t="array" aca="1" ref="AR18" ca="1">SUMPRODUCT(($E18:$AH18)*(AR$3=$E$3:$AH$3)*(AR$4=$E$4:$AH$4)*(AR$5=$E$5:$AH$5)*(AR$6=$E$6:$AH$6))</f>
        <v>222.17012423241277</v>
      </c>
      <c r="AS18" s="15" cm="1">
        <f t="array" aca="1" ref="AS18" ca="1">SUMPRODUCT(($E18:$AH18)*(AS$3=$E$3:$AH$3)*(AS$4=$E$4:$AH$4)*(AS$5=$E$5:$AH$5)*(AS$6=$E$6:$AH$6))</f>
        <v>195.85736068584526</v>
      </c>
      <c r="AU18" s="15" cm="1">
        <f t="array" aca="1" ref="AU18" ca="1">SUMPRODUCT(($E18:$AH18)*(AU$5=$E$5:$AH$5))</f>
        <v>388.44989977650232</v>
      </c>
      <c r="AV18" s="15" cm="1">
        <f t="array" aca="1" ref="AV18" ca="1">SUMPRODUCT(($E18:$AH18)*(AV$5=$E$5:$AH$5))</f>
        <v>895.8419862237339</v>
      </c>
      <c r="AW18" s="15" cm="1">
        <f t="array" aca="1" ref="AW18" ca="1">SUMPRODUCT(($E18:$AH18)*(AW$5=$E$5:$AH$5))</f>
        <v>937.33128603159128</v>
      </c>
    </row>
    <row r="19" spans="1:49" x14ac:dyDescent="0.25">
      <c r="C19" s="1" t="s">
        <v>5</v>
      </c>
      <c r="D19" s="1"/>
      <c r="E19" s="61">
        <f t="shared" ref="E19:AH19" si="21">E129</f>
        <v>51.886249999999997</v>
      </c>
      <c r="F19" s="61">
        <f t="shared" si="21"/>
        <v>44.89875</v>
      </c>
      <c r="G19" s="61">
        <f t="shared" si="21"/>
        <v>39.178750000000001</v>
      </c>
      <c r="H19" s="61">
        <f t="shared" si="21"/>
        <v>41.746250000000003</v>
      </c>
      <c r="I19" s="61">
        <f t="shared" si="21"/>
        <v>50.716250000000002</v>
      </c>
      <c r="J19" s="61">
        <f t="shared" si="21"/>
        <v>61.798749999999998</v>
      </c>
      <c r="K19" s="61">
        <f t="shared" si="21"/>
        <v>52.536250000000003</v>
      </c>
      <c r="L19" s="61">
        <f t="shared" si="21"/>
        <v>42.152500000000003</v>
      </c>
      <c r="M19" s="61">
        <f t="shared" si="21"/>
        <v>36.887500000000003</v>
      </c>
      <c r="N19" s="61">
        <f t="shared" si="21"/>
        <v>54.697499999999998</v>
      </c>
      <c r="O19" s="61">
        <f t="shared" si="21"/>
        <v>61.34375</v>
      </c>
      <c r="P19" s="17">
        <f t="shared" si="21"/>
        <v>66.267499999999998</v>
      </c>
      <c r="Q19" s="13">
        <f t="shared" si="21"/>
        <v>52.048749999999998</v>
      </c>
      <c r="R19" s="13">
        <f t="shared" si="21"/>
        <v>47.823749999999997</v>
      </c>
      <c r="S19" s="13">
        <f t="shared" si="21"/>
        <v>44.134999999999998</v>
      </c>
      <c r="T19" s="13">
        <f t="shared" si="21"/>
        <v>47.45</v>
      </c>
      <c r="U19" s="13">
        <f t="shared" si="21"/>
        <v>50.277500000000003</v>
      </c>
      <c r="V19" s="13">
        <f t="shared" si="21"/>
        <v>60.352499999999999</v>
      </c>
      <c r="W19" s="13">
        <f t="shared" si="21"/>
        <v>52.715000000000003</v>
      </c>
      <c r="X19" s="13">
        <f t="shared" si="21"/>
        <v>44.89875</v>
      </c>
      <c r="Y19" s="13">
        <f t="shared" si="21"/>
        <v>41.567500000000003</v>
      </c>
      <c r="Z19" s="13">
        <f t="shared" si="21"/>
        <v>62.172499999999999</v>
      </c>
      <c r="AA19" s="13">
        <f t="shared" si="21"/>
        <v>60.774999999999999</v>
      </c>
      <c r="AB19" s="13">
        <f t="shared" si="21"/>
        <v>64.723749999999995</v>
      </c>
      <c r="AC19" s="13">
        <f t="shared" si="21"/>
        <v>54.453749999999999</v>
      </c>
      <c r="AD19" s="13">
        <f t="shared" si="21"/>
        <v>50.05</v>
      </c>
      <c r="AE19" s="13">
        <f t="shared" si="21"/>
        <v>46.182499999999997</v>
      </c>
      <c r="AF19" s="13">
        <f t="shared" si="21"/>
        <v>49.66</v>
      </c>
      <c r="AG19" s="13">
        <f t="shared" si="21"/>
        <v>52.6175</v>
      </c>
      <c r="AH19" s="13">
        <f t="shared" si="21"/>
        <v>63.16375</v>
      </c>
      <c r="AJ19" s="15" cm="1">
        <f t="array" aca="1" ref="AJ19" ca="1">SUMPRODUCT(($E19:$AH19)*(AJ$3&amp;AJ$4&amp;AJ$5&amp;AJ$6=$E$3:$AH$3&amp;$E$4:$AH$4&amp;$E$5:$AH$5&amp;$E$6:$AH$6))</f>
        <v>135.96375</v>
      </c>
      <c r="AK19" s="15" cm="1">
        <f t="array" aca="1" ref="AK19" ca="1">SUMPRODUCT(($E19:$AH19)*(AK$3=$E$3:$AH$3)*(AK$4=$E$4:$AH$4)*(AK$5=$E$5:$AH$5)*(AK$6=$E$6:$AH$6))</f>
        <v>154.26125000000002</v>
      </c>
      <c r="AL19" s="15" cm="1">
        <f t="array" aca="1" ref="AL19" ca="1">SUMPRODUCT(($E19:$AH19)*(AL$3=$E$3:$AH$3)*(AL$4=$E$4:$AH$4)*(AL$5=$E$5:$AH$5)*(AL$6=$E$6:$AH$6))</f>
        <v>131.57625000000002</v>
      </c>
      <c r="AM19" s="16" cm="1">
        <f t="array" aca="1" ref="AM19" ca="1">SUMPRODUCT(($E19:$AH19)*(AM$3=$E$3:$AH$3)*(AM$4=$E$4:$AH$4)*(AM$5=$E$5:$AH$5)*(AM$6=$E$6:$AH$6))</f>
        <v>182.30874999999997</v>
      </c>
      <c r="AN19" s="15" cm="1">
        <f t="array" aca="1" ref="AN19" ca="1">SUMPRODUCT(($E19:$AH19)*(AN$3=$E$3:$AH$3)*(AN$4=$E$4:$AH$4)*(AN$5=$E$5:$AH$5)*(AN$6=$E$6:$AH$6))</f>
        <v>144.00749999999999</v>
      </c>
      <c r="AO19" s="15" cm="1">
        <f t="array" aca="1" ref="AO19" ca="1">SUMPRODUCT(($E19:$AH19)*(AO$3=$E$3:$AH$3)*(AO$4=$E$4:$AH$4)*(AO$5=$E$5:$AH$5)*(AO$6=$E$6:$AH$6))</f>
        <v>158.08000000000001</v>
      </c>
      <c r="AP19" s="15" cm="1">
        <f t="array" aca="1" ref="AP19" ca="1">SUMPRODUCT(($E19:$AH19)*(AP$3=$E$3:$AH$3)*(AP$4=$E$4:$AH$4)*(AP$5=$E$5:$AH$5)*(AP$6=$E$6:$AH$6))</f>
        <v>139.18125000000001</v>
      </c>
      <c r="AQ19" s="15" cm="1">
        <f t="array" aca="1" ref="AQ19" ca="1">SUMPRODUCT(($E19:$AH19)*(AQ$3=$E$3:$AH$3)*(AQ$4=$E$4:$AH$4)*(AQ$5=$E$5:$AH$5)*(AQ$6=$E$6:$AH$6))</f>
        <v>187.67124999999999</v>
      </c>
      <c r="AR19" s="15" cm="1">
        <f t="array" aca="1" ref="AR19" ca="1">SUMPRODUCT(($E19:$AH19)*(AR$3=$E$3:$AH$3)*(AR$4=$E$4:$AH$4)*(AR$5=$E$5:$AH$5)*(AR$6=$E$6:$AH$6))</f>
        <v>150.68625</v>
      </c>
      <c r="AS19" s="15" cm="1">
        <f t="array" aca="1" ref="AS19" ca="1">SUMPRODUCT(($E19:$AH19)*(AS$3=$E$3:$AH$3)*(AS$4=$E$4:$AH$4)*(AS$5=$E$5:$AH$5)*(AS$6=$E$6:$AH$6))</f>
        <v>165.44125</v>
      </c>
      <c r="AU19" s="15" cm="1">
        <f t="array" aca="1" ref="AU19" ca="1">SUMPRODUCT(($E19:$AH19)*(AU$5=$E$5:$AH$5))</f>
        <v>290.22500000000002</v>
      </c>
      <c r="AV19" s="15" cm="1">
        <f t="array" aca="1" ref="AV19" ca="1">SUMPRODUCT(($E19:$AH19)*(AV$5=$E$5:$AH$5))</f>
        <v>615.97249999999997</v>
      </c>
      <c r="AW19" s="15" cm="1">
        <f t="array" aca="1" ref="AW19" ca="1">SUMPRODUCT(($E19:$AH19)*(AW$5=$E$5:$AH$5))</f>
        <v>642.98</v>
      </c>
    </row>
    <row r="20" spans="1:49" x14ac:dyDescent="0.25">
      <c r="C20" s="23" t="s">
        <v>6</v>
      </c>
      <c r="D20" s="23"/>
      <c r="E20" s="24">
        <f t="shared" ref="E20:AH20" si="22">E134</f>
        <v>16.302528175795736</v>
      </c>
      <c r="F20" s="24">
        <f t="shared" si="22"/>
        <v>14.790564918819666</v>
      </c>
      <c r="G20" s="24">
        <f t="shared" si="22"/>
        <v>12.928781959499311</v>
      </c>
      <c r="H20" s="24">
        <f t="shared" si="22"/>
        <v>13.989558365598441</v>
      </c>
      <c r="I20" s="24">
        <f t="shared" si="22"/>
        <v>12.653488931208924</v>
      </c>
      <c r="J20" s="24">
        <f t="shared" si="22"/>
        <v>14.497808732520122</v>
      </c>
      <c r="K20" s="24">
        <f t="shared" si="22"/>
        <v>16.030202718433344</v>
      </c>
      <c r="L20" s="24">
        <f t="shared" si="22"/>
        <v>14.534165396825035</v>
      </c>
      <c r="M20" s="24">
        <f t="shared" si="22"/>
        <v>12.960863527441751</v>
      </c>
      <c r="N20" s="24">
        <f t="shared" si="22"/>
        <v>15.875509971251191</v>
      </c>
      <c r="O20" s="24">
        <f t="shared" si="22"/>
        <v>15.316703825418095</v>
      </c>
      <c r="P20" s="64">
        <f t="shared" si="22"/>
        <v>16.368945401238197</v>
      </c>
      <c r="Q20" s="24">
        <f t="shared" si="22"/>
        <v>17.051841355107623</v>
      </c>
      <c r="R20" s="24">
        <f t="shared" si="22"/>
        <v>15.473757420353698</v>
      </c>
      <c r="S20" s="24">
        <f t="shared" si="22"/>
        <v>13.526714036899634</v>
      </c>
      <c r="T20" s="24">
        <f t="shared" si="22"/>
        <v>14.638879725760649</v>
      </c>
      <c r="U20" s="24">
        <f t="shared" si="22"/>
        <v>13.241506713590621</v>
      </c>
      <c r="V20" s="24">
        <f t="shared" si="22"/>
        <v>15.169314264765651</v>
      </c>
      <c r="W20" s="24">
        <f t="shared" si="22"/>
        <v>16.771736113719442</v>
      </c>
      <c r="X20" s="24">
        <f t="shared" si="22"/>
        <v>15.205706868412328</v>
      </c>
      <c r="Y20" s="24">
        <f t="shared" si="22"/>
        <v>13.559243797975324</v>
      </c>
      <c r="Z20" s="24">
        <f t="shared" si="22"/>
        <v>16.610441927920725</v>
      </c>
      <c r="AA20" s="24">
        <f t="shared" si="22"/>
        <v>16.022859163668713</v>
      </c>
      <c r="AB20" s="24">
        <f t="shared" si="22"/>
        <v>17.125612257366782</v>
      </c>
      <c r="AC20" s="24">
        <f t="shared" si="22"/>
        <v>17.838354592349223</v>
      </c>
      <c r="AD20" s="24">
        <f t="shared" si="22"/>
        <v>16.191045752596132</v>
      </c>
      <c r="AE20" s="24">
        <f t="shared" si="22"/>
        <v>14.154560295194507</v>
      </c>
      <c r="AF20" s="24">
        <f t="shared" si="22"/>
        <v>15.32073154780853</v>
      </c>
      <c r="AG20" s="24">
        <f t="shared" si="22"/>
        <v>13.859020322123691</v>
      </c>
      <c r="AH20" s="24">
        <f t="shared" si="22"/>
        <v>15.874423932453366</v>
      </c>
      <c r="AJ20" s="29" cm="1">
        <f t="array" aca="1" ref="AJ20" ca="1">SUMPRODUCT(($E20:$AH20)*(AJ$3&amp;AJ$4&amp;AJ$5&amp;AJ$6=$E$3:$AH$3&amp;$E$4:$AH$4&amp;$E$5:$AH$5&amp;$E$6:$AH$6))</f>
        <v>44.021875054114716</v>
      </c>
      <c r="AK20" s="29" cm="1">
        <f t="array" aca="1" ref="AK20" ca="1">SUMPRODUCT(($E20:$AH20)*(AK$3=$E$3:$AH$3)*(AK$4=$E$4:$AH$4)*(AK$5=$E$5:$AH$5)*(AK$6=$E$6:$AH$6))</f>
        <v>41.140856029327487</v>
      </c>
      <c r="AL20" s="29" cm="1">
        <f t="array" aca="1" ref="AL20" ca="1">SUMPRODUCT(($E20:$AH20)*(AL$3=$E$3:$AH$3)*(AL$4=$E$4:$AH$4)*(AL$5=$E$5:$AH$5)*(AL$6=$E$6:$AH$6))</f>
        <v>43.525231642700128</v>
      </c>
      <c r="AM20" s="240" cm="1">
        <f t="array" aca="1" ref="AM20" ca="1">SUMPRODUCT(($E20:$AH20)*(AM$3=$E$3:$AH$3)*(AM$4=$E$4:$AH$4)*(AM$5=$E$5:$AH$5)*(AM$6=$E$6:$AH$6))</f>
        <v>47.561159197907486</v>
      </c>
      <c r="AN20" s="29" cm="1">
        <f t="array" aca="1" ref="AN20" ca="1">SUMPRODUCT(($E20:$AH20)*(AN$3=$E$3:$AH$3)*(AN$4=$E$4:$AH$4)*(AN$5=$E$5:$AH$5)*(AN$6=$E$6:$AH$6))</f>
        <v>46.052312812360952</v>
      </c>
      <c r="AO20" s="29" cm="1">
        <f t="array" aca="1" ref="AO20" ca="1">SUMPRODUCT(($E20:$AH20)*(AO$3=$E$3:$AH$3)*(AO$4=$E$4:$AH$4)*(AO$5=$E$5:$AH$5)*(AO$6=$E$6:$AH$6))</f>
        <v>43.049700704116923</v>
      </c>
      <c r="AP20" s="29" cm="1">
        <f t="array" aca="1" ref="AP20" ca="1">SUMPRODUCT(($E20:$AH20)*(AP$3=$E$3:$AH$3)*(AP$4=$E$4:$AH$4)*(AP$5=$E$5:$AH$5)*(AP$6=$E$6:$AH$6))</f>
        <v>45.53668678010709</v>
      </c>
      <c r="AQ20" s="29" cm="1">
        <f t="array" aca="1" ref="AQ20" ca="1">SUMPRODUCT(($E20:$AH20)*(AQ$3=$E$3:$AH$3)*(AQ$4=$E$4:$AH$4)*(AQ$5=$E$5:$AH$5)*(AQ$6=$E$6:$AH$6))</f>
        <v>49.75891334895622</v>
      </c>
      <c r="AR20" s="29" cm="1">
        <f t="array" aca="1" ref="AR20" ca="1">SUMPRODUCT(($E20:$AH20)*(AR$3=$E$3:$AH$3)*(AR$4=$E$4:$AH$4)*(AR$5=$E$5:$AH$5)*(AR$6=$E$6:$AH$6))</f>
        <v>48.183960640139865</v>
      </c>
      <c r="AS20" s="29" cm="1">
        <f t="array" aca="1" ref="AS20" ca="1">SUMPRODUCT(($E20:$AH20)*(AS$3=$E$3:$AH$3)*(AS$4=$E$4:$AH$4)*(AS$5=$E$5:$AH$5)*(AS$6=$E$6:$AH$6))</f>
        <v>45.054175802385586</v>
      </c>
      <c r="AU20" s="29" cm="1">
        <f t="array" aca="1" ref="AU20" ca="1">SUMPRODUCT(($E20:$AH20)*(AU$5=$E$5:$AH$5))</f>
        <v>85.16273108344221</v>
      </c>
      <c r="AV20" s="29" cm="1">
        <f t="array" aca="1" ref="AV20" ca="1">SUMPRODUCT(($E20:$AH20)*(AV$5=$E$5:$AH$5))</f>
        <v>180.18840435708549</v>
      </c>
      <c r="AW20" s="29" cm="1">
        <f t="array" aca="1" ref="AW20" ca="1">SUMPRODUCT(($E20:$AH20)*(AW$5=$E$5:$AH$5))</f>
        <v>188.53373657158872</v>
      </c>
    </row>
    <row r="21" spans="1:49" x14ac:dyDescent="0.25">
      <c r="B21" t="s">
        <v>231</v>
      </c>
      <c r="C21" s="25" t="s">
        <v>7</v>
      </c>
      <c r="D21" s="25"/>
      <c r="E21" s="14">
        <f>SUM(E15:E20)</f>
        <v>1076.0245631271903</v>
      </c>
      <c r="F21" s="21">
        <f t="shared" ref="F21:AW21" si="23">SUM(F15:F20)</f>
        <v>859.26920010937727</v>
      </c>
      <c r="G21" s="21">
        <f t="shared" si="23"/>
        <v>836.52248099866563</v>
      </c>
      <c r="H21" s="21">
        <f t="shared" si="23"/>
        <v>856.34353116215016</v>
      </c>
      <c r="I21" s="21">
        <f t="shared" si="23"/>
        <v>867.96401434551092</v>
      </c>
      <c r="J21" s="21">
        <f t="shared" si="23"/>
        <v>1202.7235625694784</v>
      </c>
      <c r="K21" s="14">
        <f t="shared" si="23"/>
        <v>999.30327627363522</v>
      </c>
      <c r="L21" s="21">
        <f t="shared" si="23"/>
        <v>871.88490961518551</v>
      </c>
      <c r="M21" s="21">
        <f t="shared" si="23"/>
        <v>872.77456928733591</v>
      </c>
      <c r="N21" s="21">
        <f t="shared" si="23"/>
        <v>1197.1562696903486</v>
      </c>
      <c r="O21" s="21">
        <f t="shared" si="23"/>
        <v>1183.4780841029253</v>
      </c>
      <c r="P21" s="22">
        <f t="shared" si="23"/>
        <v>1250.1871922417429</v>
      </c>
      <c r="Q21" s="21">
        <f t="shared" si="23"/>
        <v>1132.808116934413</v>
      </c>
      <c r="R21" s="21">
        <f t="shared" si="23"/>
        <v>924.28989330578554</v>
      </c>
      <c r="S21" s="21">
        <f t="shared" si="23"/>
        <v>881.48613024466636</v>
      </c>
      <c r="T21" s="21">
        <f t="shared" si="23"/>
        <v>897.76544844326088</v>
      </c>
      <c r="U21" s="21">
        <f t="shared" si="23"/>
        <v>916.16025491466962</v>
      </c>
      <c r="V21" s="21">
        <f t="shared" si="23"/>
        <v>1204.916359100057</v>
      </c>
      <c r="W21" s="21">
        <f t="shared" si="23"/>
        <v>1057.131134894355</v>
      </c>
      <c r="X21" s="21">
        <f t="shared" si="23"/>
        <v>909.33744398212934</v>
      </c>
      <c r="Y21" s="21">
        <f t="shared" si="23"/>
        <v>897.40647334653238</v>
      </c>
      <c r="Z21" s="21">
        <f t="shared" si="23"/>
        <v>1285.0423590273199</v>
      </c>
      <c r="AA21" s="21">
        <f t="shared" si="23"/>
        <v>1205.9135471960133</v>
      </c>
      <c r="AB21" s="21">
        <f t="shared" si="23"/>
        <v>1313.002590548946</v>
      </c>
      <c r="AC21" s="21">
        <f t="shared" si="23"/>
        <v>1185.0629560611505</v>
      </c>
      <c r="AD21" s="21">
        <f t="shared" si="23"/>
        <v>967.14486205329683</v>
      </c>
      <c r="AE21" s="21">
        <f t="shared" si="23"/>
        <v>922.39951981466538</v>
      </c>
      <c r="AF21" s="21">
        <f t="shared" si="23"/>
        <v>939.58156234665057</v>
      </c>
      <c r="AG21" s="21">
        <f t="shared" si="23"/>
        <v>958.88043189295263</v>
      </c>
      <c r="AH21" s="21">
        <f t="shared" si="23"/>
        <v>1260.9299508968747</v>
      </c>
      <c r="AJ21" s="21">
        <f t="shared" ca="1" si="23"/>
        <v>2771.8162442352332</v>
      </c>
      <c r="AK21" s="21">
        <f t="shared" ca="1" si="23"/>
        <v>2927.0311080771398</v>
      </c>
      <c r="AL21" s="21">
        <f t="shared" ca="1" si="23"/>
        <v>2743.9627551761564</v>
      </c>
      <c r="AM21" s="340">
        <f t="shared" ca="1" si="23"/>
        <v>3630.8215460350161</v>
      </c>
      <c r="AN21" s="21">
        <f t="shared" ca="1" si="23"/>
        <v>2938.5841404848652</v>
      </c>
      <c r="AO21" s="21">
        <f t="shared" ca="1" si="23"/>
        <v>3018.8420624579867</v>
      </c>
      <c r="AP21" s="21">
        <f t="shared" ca="1" si="23"/>
        <v>2863.8750522230166</v>
      </c>
      <c r="AQ21" s="21">
        <f t="shared" ca="1" si="23"/>
        <v>3803.9584967722794</v>
      </c>
      <c r="AR21" s="21">
        <f t="shared" ca="1" si="23"/>
        <v>3074.6073379291133</v>
      </c>
      <c r="AS21" s="21">
        <f t="shared" ca="1" si="23"/>
        <v>3159.3919451364782</v>
      </c>
      <c r="AU21" s="21">
        <f t="shared" ca="1" si="23"/>
        <v>5698.847352312373</v>
      </c>
      <c r="AV21" s="21">
        <f t="shared" ca="1" si="23"/>
        <v>12332.210504154025</v>
      </c>
      <c r="AW21" s="21">
        <f t="shared" ca="1" si="23"/>
        <v>12901.832832060885</v>
      </c>
    </row>
    <row r="22" spans="1:49" x14ac:dyDescent="0.25">
      <c r="P22" s="8"/>
      <c r="AM22" s="8"/>
    </row>
    <row r="23" spans="1:49" x14ac:dyDescent="0.25">
      <c r="C23" s="25" t="s">
        <v>512</v>
      </c>
      <c r="D23" s="1"/>
      <c r="E23" s="101">
        <f t="shared" ref="E23:AH23" si="24">E140</f>
        <v>3.3744595889674516</v>
      </c>
      <c r="F23" s="101">
        <f t="shared" si="24"/>
        <v>3.2450814881140135</v>
      </c>
      <c r="G23" s="101">
        <f t="shared" si="24"/>
        <v>3.2976924758437418</v>
      </c>
      <c r="H23" s="101">
        <f t="shared" si="24"/>
        <v>2.9677844432075244</v>
      </c>
      <c r="I23" s="101">
        <f t="shared" si="24"/>
        <v>2.8582736617052311</v>
      </c>
      <c r="J23" s="101">
        <f t="shared" si="24"/>
        <v>3.8250688753711319</v>
      </c>
      <c r="K23" s="101">
        <f t="shared" si="24"/>
        <v>2.4197863728242792</v>
      </c>
      <c r="L23" s="101">
        <f t="shared" si="24"/>
        <v>2.7617830449740515</v>
      </c>
      <c r="M23" s="101">
        <f t="shared" si="24"/>
        <v>2.5974477714382833</v>
      </c>
      <c r="N23" s="101">
        <f t="shared" si="24"/>
        <v>2.8611841580341184</v>
      </c>
      <c r="O23" s="101">
        <f t="shared" si="24"/>
        <v>2.4159900510676793</v>
      </c>
      <c r="P23" s="102">
        <f t="shared" si="24"/>
        <v>2.6664271522326408</v>
      </c>
      <c r="Q23" s="14">
        <f t="shared" si="24"/>
        <v>2.4913976369110307</v>
      </c>
      <c r="R23" s="14">
        <f t="shared" si="24"/>
        <v>2.6852990617847854</v>
      </c>
      <c r="S23" s="14">
        <f t="shared" si="24"/>
        <v>2.3944873688478592</v>
      </c>
      <c r="T23" s="14">
        <f t="shared" si="24"/>
        <v>2.4663263305371519</v>
      </c>
      <c r="U23" s="14">
        <f t="shared" si="24"/>
        <v>2.3378808649596778</v>
      </c>
      <c r="V23" s="14">
        <f t="shared" si="24"/>
        <v>2.297852352126819</v>
      </c>
      <c r="W23" s="14">
        <f t="shared" si="24"/>
        <v>2.1826158798677953</v>
      </c>
      <c r="X23" s="14">
        <f t="shared" si="24"/>
        <v>2.4658732419601668</v>
      </c>
      <c r="Y23" s="14">
        <f t="shared" si="24"/>
        <v>2.8558387572411696</v>
      </c>
      <c r="Z23" s="14">
        <f t="shared" si="24"/>
        <v>3.1339629355741745</v>
      </c>
      <c r="AA23" s="14">
        <f t="shared" si="24"/>
        <v>2.4541921527379218</v>
      </c>
      <c r="AB23" s="14">
        <f t="shared" si="24"/>
        <v>2.6029146682817945</v>
      </c>
      <c r="AC23" s="14">
        <f t="shared" si="24"/>
        <v>3.0055193721070621</v>
      </c>
      <c r="AD23" s="14">
        <f t="shared" si="24"/>
        <v>3.3939311566232919</v>
      </c>
      <c r="AE23" s="14">
        <f t="shared" si="24"/>
        <v>3.1510273264952429</v>
      </c>
      <c r="AF23" s="14">
        <f t="shared" si="24"/>
        <v>3.2615433868236448</v>
      </c>
      <c r="AG23" s="14">
        <f t="shared" si="24"/>
        <v>3.1508103271121133</v>
      </c>
      <c r="AH23" s="14">
        <f t="shared" si="24"/>
        <v>3.1572611628700624</v>
      </c>
      <c r="AJ23" s="15" cm="1">
        <f t="array" aca="1" ref="AJ23" ca="1">SUMPRODUCT(($E23:$AH23)*(AJ$3&amp;AJ$4&amp;AJ$5&amp;AJ$6=$E$3:$AH$3&amp;$E$4:$AH$4&amp;$E$5:$AH$5&amp;$E$6:$AH$6))</f>
        <v>9.9172335529252074</v>
      </c>
      <c r="AK23" s="15" cm="1">
        <f t="array" aca="1" ref="AK23" ca="1">SUMPRODUCT(($E23:$AH23)*(AK$3=$E$3:$AH$3)*(AK$4=$E$4:$AH$4)*(AK$5=$E$5:$AH$5)*(AK$6=$E$6:$AH$6))</f>
        <v>9.6511269802838875</v>
      </c>
      <c r="AL23" s="15" cm="1">
        <f t="array" aca="1" ref="AL23" ca="1">SUMPRODUCT(($E23:$AH23)*(AL$3=$E$3:$AH$3)*(AL$4=$E$4:$AH$4)*(AL$5=$E$5:$AH$5)*(AL$6=$E$6:$AH$6))</f>
        <v>7.7790171892366136</v>
      </c>
      <c r="AM23" s="16" cm="1">
        <f t="array" aca="1" ref="AM23" ca="1">SUMPRODUCT(($E23:$AH23)*(AM$3=$E$3:$AH$3)*(AM$4=$E$4:$AH$4)*(AM$5=$E$5:$AH$5)*(AM$6=$E$6:$AH$6))</f>
        <v>7.9436013613344389</v>
      </c>
      <c r="AN23" s="15" cm="1">
        <f t="array" aca="1" ref="AN23" ca="1">SUMPRODUCT(($E23:$AH23)*(AN$3=$E$3:$AH$3)*(AN$4=$E$4:$AH$4)*(AN$5=$E$5:$AH$5)*(AN$6=$E$6:$AH$6))</f>
        <v>7.5711840675436743</v>
      </c>
      <c r="AO23" s="15" cm="1">
        <f t="array" aca="1" ref="AO23" ca="1">SUMPRODUCT(($E23:$AH23)*(AO$3=$E$3:$AH$3)*(AO$4=$E$4:$AH$4)*(AO$5=$E$5:$AH$5)*(AO$6=$E$6:$AH$6))</f>
        <v>7.1020595476236483</v>
      </c>
      <c r="AP23" s="15" cm="1">
        <f t="array" aca="1" ref="AP23" ca="1">SUMPRODUCT(($E23:$AH23)*(AP$3=$E$3:$AH$3)*(AP$4=$E$4:$AH$4)*(AP$5=$E$5:$AH$5)*(AP$6=$E$6:$AH$6))</f>
        <v>7.5043278790691321</v>
      </c>
      <c r="AQ23" s="15" cm="1">
        <f t="array" aca="1" ref="AQ23" ca="1">SUMPRODUCT(($E23:$AH23)*(AQ$3=$E$3:$AH$3)*(AQ$4=$E$4:$AH$4)*(AQ$5=$E$5:$AH$5)*(AQ$6=$E$6:$AH$6))</f>
        <v>8.1910697565938904</v>
      </c>
      <c r="AR23" s="15" cm="1">
        <f t="array" aca="1" ref="AR23" ca="1">SUMPRODUCT(($E23:$AH23)*(AR$3=$E$3:$AH$3)*(AR$4=$E$4:$AH$4)*(AR$5=$E$5:$AH$5)*(AR$6=$E$6:$AH$6))</f>
        <v>9.550477855225596</v>
      </c>
      <c r="AS23" s="15" cm="1">
        <f t="array" aca="1" ref="AS23" ca="1">SUMPRODUCT(($E23:$AH23)*(AS$3=$E$3:$AH$3)*(AS$4=$E$4:$AH$4)*(AS$5=$E$5:$AH$5)*(AS$6=$E$6:$AH$6))</f>
        <v>9.5696148768058205</v>
      </c>
      <c r="AU23" s="15" cm="1">
        <f t="array" aca="1" ref="AU23" ca="1">SUMPRODUCT(($E23:$AH23)*(AU$5=$E$5:$AH$5))</f>
        <v>19.568360533209095</v>
      </c>
      <c r="AV23" s="15" cm="1">
        <f t="array" aca="1" ref="AV23" ca="1">SUMPRODUCT(($E23:$AH23)*(AV$5=$E$5:$AH$5))</f>
        <v>30.395862165738379</v>
      </c>
      <c r="AW23" s="15" cm="1">
        <f t="array" aca="1" ref="AW23" ca="1">SUMPRODUCT(($E23:$AH23)*(AW$5=$E$5:$AH$5))</f>
        <v>34.815490367694444</v>
      </c>
    </row>
    <row r="25" spans="1:49" ht="18.75" x14ac:dyDescent="0.3">
      <c r="A25" t="s">
        <v>231</v>
      </c>
      <c r="B25" t="s">
        <v>231</v>
      </c>
      <c r="C25" s="181" t="s">
        <v>387</v>
      </c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</row>
    <row r="26" spans="1:49" x14ac:dyDescent="0.25">
      <c r="C26" s="110" t="s">
        <v>272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5">
      <c r="C27" s="110"/>
      <c r="E27" s="30">
        <v>2010</v>
      </c>
      <c r="F27" s="30">
        <f>E27+1</f>
        <v>2011</v>
      </c>
      <c r="G27" s="30">
        <f t="shared" ref="G27:R27" si="25">F27+1</f>
        <v>2012</v>
      </c>
      <c r="H27" s="30">
        <f t="shared" si="25"/>
        <v>2013</v>
      </c>
      <c r="I27" s="30">
        <f t="shared" si="25"/>
        <v>2014</v>
      </c>
      <c r="J27" s="30">
        <f t="shared" si="25"/>
        <v>2015</v>
      </c>
      <c r="K27" s="30">
        <f t="shared" ref="K27:O27" si="26">J27+1</f>
        <v>2016</v>
      </c>
      <c r="L27" s="30">
        <f t="shared" si="26"/>
        <v>2017</v>
      </c>
      <c r="M27" s="30">
        <f t="shared" si="26"/>
        <v>2018</v>
      </c>
      <c r="N27" s="30">
        <f t="shared" si="26"/>
        <v>2019</v>
      </c>
      <c r="O27" s="228">
        <f t="shared" si="26"/>
        <v>2020</v>
      </c>
      <c r="P27" s="30">
        <f t="shared" si="25"/>
        <v>2021</v>
      </c>
      <c r="Q27" s="30">
        <f t="shared" si="25"/>
        <v>2022</v>
      </c>
      <c r="R27" s="30">
        <f t="shared" si="25"/>
        <v>2023</v>
      </c>
      <c r="S27" s="11"/>
      <c r="T27" s="227" t="s">
        <v>394</v>
      </c>
      <c r="V27" s="11" t="s">
        <v>388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x14ac:dyDescent="0.25">
      <c r="C28" t="s">
        <v>389</v>
      </c>
      <c r="E28" s="226"/>
      <c r="F28" s="226"/>
      <c r="G28" s="226"/>
      <c r="H28" s="226"/>
      <c r="I28" s="226"/>
      <c r="J28" s="31">
        <f>K28/(1+0.079)</f>
        <v>509.20378770864903</v>
      </c>
      <c r="K28" s="31">
        <f>L28/(1+0.079)</f>
        <v>549.43088693763229</v>
      </c>
      <c r="L28" s="31">
        <f>M28/(1+0.079)</f>
        <v>592.83592700570523</v>
      </c>
      <c r="M28" s="31">
        <f>N28/(1+0.079)</f>
        <v>639.66996523915589</v>
      </c>
      <c r="N28" s="31">
        <f>O28/(1+0.079)</f>
        <v>690.20389249304912</v>
      </c>
      <c r="O28" s="32">
        <v>744.73</v>
      </c>
      <c r="P28" s="37">
        <f t="shared" ref="P28:R28" si="27">O28*(1+$T$28)</f>
        <v>778.24284999999998</v>
      </c>
      <c r="Q28" s="37">
        <f t="shared" si="27"/>
        <v>813.26377824999997</v>
      </c>
      <c r="R28" s="37">
        <f t="shared" si="27"/>
        <v>849.86064827124994</v>
      </c>
      <c r="T28" s="174">
        <v>4.4999999999999998E-2</v>
      </c>
      <c r="V28" s="174" t="s">
        <v>393</v>
      </c>
    </row>
    <row r="29" spans="1:49" x14ac:dyDescent="0.25">
      <c r="C29" s="1" t="s">
        <v>390</v>
      </c>
      <c r="E29" s="226"/>
      <c r="F29" s="226"/>
      <c r="G29" s="226"/>
      <c r="H29" s="226"/>
      <c r="I29" s="226"/>
      <c r="J29" s="58">
        <f t="shared" ref="J29:O29" si="28">J30/J28</f>
        <v>0.1194610124047331</v>
      </c>
      <c r="K29" s="58">
        <f t="shared" si="28"/>
        <v>0.11071456200624012</v>
      </c>
      <c r="L29" s="58">
        <f t="shared" si="28"/>
        <v>0.13226256444347612</v>
      </c>
      <c r="M29" s="58">
        <f t="shared" si="28"/>
        <v>0.13821189801673087</v>
      </c>
      <c r="N29" s="58">
        <f t="shared" si="28"/>
        <v>0.1444500691525788</v>
      </c>
      <c r="O29" s="60">
        <f t="shared" si="28"/>
        <v>0.14484444026694238</v>
      </c>
      <c r="P29" s="57">
        <f t="shared" ref="P29:R29" si="29">O29</f>
        <v>0.14484444026694238</v>
      </c>
      <c r="Q29" s="57">
        <f t="shared" si="29"/>
        <v>0.14484444026694238</v>
      </c>
      <c r="R29" s="57">
        <f t="shared" si="29"/>
        <v>0.14484444026694238</v>
      </c>
      <c r="V29" t="s">
        <v>396</v>
      </c>
    </row>
    <row r="30" spans="1:49" x14ac:dyDescent="0.25">
      <c r="C30" s="1" t="s">
        <v>391</v>
      </c>
      <c r="E30" s="31">
        <v>25.97</v>
      </c>
      <c r="F30" s="31">
        <v>29.18</v>
      </c>
      <c r="G30" s="31">
        <v>33.96</v>
      </c>
      <c r="H30" s="31">
        <v>39.44</v>
      </c>
      <c r="I30" s="31">
        <v>50.45</v>
      </c>
      <c r="J30" s="31">
        <v>60.83</v>
      </c>
      <c r="K30" s="31">
        <v>60.83</v>
      </c>
      <c r="L30" s="31">
        <v>78.41</v>
      </c>
      <c r="M30" s="31">
        <v>88.41</v>
      </c>
      <c r="N30" s="31">
        <v>99.7</v>
      </c>
      <c r="O30" s="32">
        <v>107.87</v>
      </c>
      <c r="P30" s="13">
        <f>P28*P29</f>
        <v>112.72414999999999</v>
      </c>
      <c r="Q30" s="13">
        <f>Q28*Q29</f>
        <v>117.79673674999999</v>
      </c>
      <c r="R30" s="13">
        <f>R28*R29</f>
        <v>123.09758990374999</v>
      </c>
    </row>
    <row r="31" spans="1:49" x14ac:dyDescent="0.25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5">
      <c r="C32" s="23" t="s">
        <v>392</v>
      </c>
      <c r="D32" s="27"/>
      <c r="E32" s="229">
        <f t="shared" ref="E32:O32" si="30">E33/E30</f>
        <v>0.11667308432807084</v>
      </c>
      <c r="F32" s="229">
        <f t="shared" si="30"/>
        <v>0.11823166552433174</v>
      </c>
      <c r="G32" s="229">
        <f t="shared" si="30"/>
        <v>0.11866902237926974</v>
      </c>
      <c r="H32" s="229">
        <f t="shared" si="30"/>
        <v>0.12094320486815416</v>
      </c>
      <c r="I32" s="229">
        <f t="shared" si="30"/>
        <v>0.11417244796828542</v>
      </c>
      <c r="J32" s="229">
        <f t="shared" si="30"/>
        <v>0.10964984382705902</v>
      </c>
      <c r="K32" s="229">
        <f t="shared" si="30"/>
        <v>0.10964984382705902</v>
      </c>
      <c r="L32" s="229">
        <f t="shared" si="30"/>
        <v>0.11184797857416146</v>
      </c>
      <c r="M32" s="229">
        <f t="shared" si="30"/>
        <v>0.11378803302793802</v>
      </c>
      <c r="N32" s="229">
        <f t="shared" si="30"/>
        <v>0.11253761283851554</v>
      </c>
      <c r="O32" s="230">
        <f t="shared" si="30"/>
        <v>0.1118939464169834</v>
      </c>
      <c r="P32" s="93">
        <f>O32</f>
        <v>0.1118939464169834</v>
      </c>
      <c r="Q32" s="93">
        <f>P32-0.0025</f>
        <v>0.1093939464169834</v>
      </c>
      <c r="R32" s="93">
        <f>Q32-0.0025</f>
        <v>0.1068939464169834</v>
      </c>
      <c r="V32" t="s">
        <v>395</v>
      </c>
    </row>
    <row r="33" spans="1:64" x14ac:dyDescent="0.25">
      <c r="B33" t="s">
        <v>231</v>
      </c>
      <c r="C33" s="11" t="s">
        <v>54</v>
      </c>
      <c r="D33" s="11"/>
      <c r="E33" s="133">
        <v>3.03</v>
      </c>
      <c r="F33" s="133">
        <v>3.45</v>
      </c>
      <c r="G33" s="133">
        <v>4.03</v>
      </c>
      <c r="H33" s="133">
        <v>4.7699999999999996</v>
      </c>
      <c r="I33" s="133">
        <v>5.76</v>
      </c>
      <c r="J33" s="133">
        <v>6.67</v>
      </c>
      <c r="K33" s="133">
        <v>6.67</v>
      </c>
      <c r="L33" s="133">
        <v>8.77</v>
      </c>
      <c r="M33" s="133">
        <v>10.06</v>
      </c>
      <c r="N33" s="133">
        <v>11.22</v>
      </c>
      <c r="O33" s="135">
        <v>12.07</v>
      </c>
      <c r="P33" s="14">
        <f>P30*P32</f>
        <v>12.613149999999999</v>
      </c>
      <c r="Q33" s="14">
        <f>Q30*Q32</f>
        <v>12.886249908124999</v>
      </c>
      <c r="R33" s="14">
        <f>R30*R32</f>
        <v>13.158387179231248</v>
      </c>
    </row>
    <row r="35" spans="1:64" ht="18.75" x14ac:dyDescent="0.3">
      <c r="A35" t="s">
        <v>231</v>
      </c>
      <c r="B35" t="s">
        <v>231</v>
      </c>
      <c r="C35" s="181" t="s">
        <v>386</v>
      </c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</row>
    <row r="36" spans="1:64" ht="18.75" x14ac:dyDescent="0.3">
      <c r="C36" s="182" t="s">
        <v>466</v>
      </c>
      <c r="D36" s="179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</row>
    <row r="37" spans="1:64" x14ac:dyDescent="0.25">
      <c r="C37" s="110" t="s">
        <v>272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64" x14ac:dyDescent="0.25">
      <c r="C38" s="11"/>
      <c r="D38" s="11"/>
    </row>
    <row r="39" spans="1:64" x14ac:dyDescent="0.25">
      <c r="C39" s="30" t="s">
        <v>266</v>
      </c>
      <c r="D39" s="225"/>
      <c r="E39" s="45" t="str">
        <f t="shared" ref="E39:AH39" si="31">E$9</f>
        <v>Jul-20A</v>
      </c>
      <c r="F39" s="45" t="str">
        <f t="shared" si="31"/>
        <v>Aug-20A</v>
      </c>
      <c r="G39" s="45" t="str">
        <f t="shared" si="31"/>
        <v>Sep-20A</v>
      </c>
      <c r="H39" s="45" t="str">
        <f t="shared" si="31"/>
        <v>Oct-20A</v>
      </c>
      <c r="I39" s="45" t="str">
        <f t="shared" si="31"/>
        <v>Nov-20A</v>
      </c>
      <c r="J39" s="45" t="str">
        <f t="shared" si="31"/>
        <v>Dec-20A</v>
      </c>
      <c r="K39" s="45" t="str">
        <f t="shared" si="31"/>
        <v>Jan-21A</v>
      </c>
      <c r="L39" s="45" t="str">
        <f t="shared" si="31"/>
        <v>Feb-21A</v>
      </c>
      <c r="M39" s="45" t="str">
        <f t="shared" si="31"/>
        <v>Mar-21A</v>
      </c>
      <c r="N39" s="45" t="str">
        <f t="shared" si="31"/>
        <v>Apr-21A</v>
      </c>
      <c r="O39" s="45" t="str">
        <f t="shared" si="31"/>
        <v>May-21A</v>
      </c>
      <c r="P39" s="46" t="str">
        <f t="shared" si="31"/>
        <v>Jun-21A</v>
      </c>
      <c r="Q39" s="45" t="str">
        <f t="shared" si="31"/>
        <v>Jul-21F</v>
      </c>
      <c r="R39" s="45" t="str">
        <f t="shared" si="31"/>
        <v>Aug-21F</v>
      </c>
      <c r="S39" s="45" t="str">
        <f t="shared" si="31"/>
        <v>Sep-21F</v>
      </c>
      <c r="T39" s="45" t="str">
        <f t="shared" si="31"/>
        <v>Oct-21F</v>
      </c>
      <c r="U39" s="45" t="str">
        <f t="shared" si="31"/>
        <v>Nov-21F</v>
      </c>
      <c r="V39" s="45" t="str">
        <f t="shared" si="31"/>
        <v>Dec-21F</v>
      </c>
      <c r="W39" s="45" t="str">
        <f t="shared" si="31"/>
        <v>Jan-22F</v>
      </c>
      <c r="X39" s="45" t="str">
        <f t="shared" si="31"/>
        <v>Feb-22F</v>
      </c>
      <c r="Y39" s="45" t="str">
        <f t="shared" si="31"/>
        <v>Mar-22F</v>
      </c>
      <c r="Z39" s="45" t="str">
        <f t="shared" si="31"/>
        <v>Apr-22F</v>
      </c>
      <c r="AA39" s="45" t="str">
        <f t="shared" si="31"/>
        <v>May-22F</v>
      </c>
      <c r="AB39" s="45" t="str">
        <f t="shared" si="31"/>
        <v>Jun-22F</v>
      </c>
      <c r="AC39" s="45" t="str">
        <f t="shared" si="31"/>
        <v>Jul-22F</v>
      </c>
      <c r="AD39" s="45" t="str">
        <f t="shared" si="31"/>
        <v>Aug-22F</v>
      </c>
      <c r="AE39" s="45" t="str">
        <f t="shared" si="31"/>
        <v>Sep-22F</v>
      </c>
      <c r="AF39" s="45" t="str">
        <f t="shared" si="31"/>
        <v>Oct-22F</v>
      </c>
      <c r="AG39" s="45" t="str">
        <f t="shared" si="31"/>
        <v>Nov-22F</v>
      </c>
      <c r="AH39" s="45" t="str">
        <f t="shared" si="31"/>
        <v>Dec-22F</v>
      </c>
      <c r="AJ39" s="45" t="str">
        <f ca="1">AJ$10</f>
        <v>Q3'20A</v>
      </c>
      <c r="AK39" s="45" t="str">
        <f t="shared" ref="AK39:AW39" ca="1" si="32">AK$10</f>
        <v>Q4'20A</v>
      </c>
      <c r="AL39" s="45" t="str">
        <f t="shared" ca="1" si="32"/>
        <v>Q1'21A</v>
      </c>
      <c r="AM39" s="46" t="str">
        <f t="shared" ca="1" si="32"/>
        <v>Q2'21A</v>
      </c>
      <c r="AN39" s="45" t="str">
        <f t="shared" ca="1" si="32"/>
        <v>Q3'21F</v>
      </c>
      <c r="AO39" s="45" t="str">
        <f t="shared" ca="1" si="32"/>
        <v>Q4'21F</v>
      </c>
      <c r="AP39" s="45" t="str">
        <f t="shared" ca="1" si="32"/>
        <v>Q1'22F</v>
      </c>
      <c r="AQ39" s="45" t="str">
        <f t="shared" ca="1" si="32"/>
        <v>Q2'22F</v>
      </c>
      <c r="AR39" s="45" t="str">
        <f t="shared" ca="1" si="32"/>
        <v>Q3'22F</v>
      </c>
      <c r="AS39" s="45" t="str">
        <f t="shared" ca="1" si="32"/>
        <v>Q4'22F</v>
      </c>
      <c r="AU39" s="45" t="str">
        <f t="shared" ca="1" si="32"/>
        <v>FY20</v>
      </c>
      <c r="AV39" s="45" t="str">
        <f t="shared" ca="1" si="32"/>
        <v>FY21</v>
      </c>
      <c r="AW39" s="45" t="str">
        <f t="shared" ca="1" si="32"/>
        <v>FY22</v>
      </c>
      <c r="AZ39" s="11"/>
      <c r="BA39" s="319"/>
      <c r="BB39" s="319"/>
      <c r="BC39" s="319"/>
      <c r="BD39" s="319"/>
      <c r="BE39" s="319"/>
      <c r="BF39" s="319"/>
      <c r="BG39" s="319"/>
      <c r="BH39" s="319"/>
      <c r="BI39" s="319"/>
      <c r="BJ39" s="319"/>
      <c r="BK39" s="319"/>
      <c r="BL39" s="319"/>
    </row>
    <row r="40" spans="1:64" x14ac:dyDescent="0.25">
      <c r="C40" s="1" t="s">
        <v>128</v>
      </c>
      <c r="E40" s="65">
        <v>176654.29183563858</v>
      </c>
      <c r="F40" s="65">
        <v>164501.87354346373</v>
      </c>
      <c r="G40" s="65">
        <v>144442.86017471817</v>
      </c>
      <c r="H40" s="65">
        <v>167012.86624669342</v>
      </c>
      <c r="I40" s="65">
        <v>153862.91800659217</v>
      </c>
      <c r="J40" s="91">
        <v>168279.8993781858</v>
      </c>
      <c r="K40" s="65">
        <v>176823.51617175847</v>
      </c>
      <c r="L40" s="65">
        <v>173279.80284791815</v>
      </c>
      <c r="M40" s="65">
        <v>148662.46589101126</v>
      </c>
      <c r="N40" s="65">
        <v>191925.87456833871</v>
      </c>
      <c r="O40" s="65">
        <v>164754.45259315724</v>
      </c>
      <c r="P40" s="67">
        <v>188268.94532270054</v>
      </c>
      <c r="Q40" s="83">
        <f>E40*(1+Q41)</f>
        <v>185487.00642742051</v>
      </c>
      <c r="R40" s="83">
        <f t="shared" ref="R40:AH40" si="33">F40*(1+R41)</f>
        <v>172726.96722063693</v>
      </c>
      <c r="S40" s="83">
        <f t="shared" si="33"/>
        <v>151665.00318345407</v>
      </c>
      <c r="T40" s="83">
        <f t="shared" si="33"/>
        <v>175363.50955902808</v>
      </c>
      <c r="U40" s="83">
        <f t="shared" si="33"/>
        <v>161556.06390692177</v>
      </c>
      <c r="V40" s="83">
        <f t="shared" si="33"/>
        <v>176693.89434709511</v>
      </c>
      <c r="W40" s="83">
        <f t="shared" si="33"/>
        <v>185664.6919803464</v>
      </c>
      <c r="X40" s="83">
        <f t="shared" si="33"/>
        <v>181943.79299031408</v>
      </c>
      <c r="Y40" s="83">
        <f t="shared" si="33"/>
        <v>156095.58918556184</v>
      </c>
      <c r="Z40" s="83">
        <f t="shared" si="33"/>
        <v>201522.16829675564</v>
      </c>
      <c r="AA40" s="83">
        <f t="shared" si="33"/>
        <v>172992.1752228151</v>
      </c>
      <c r="AB40" s="83">
        <f t="shared" si="33"/>
        <v>197682.39258883559</v>
      </c>
      <c r="AC40" s="83">
        <f t="shared" si="33"/>
        <v>194761.35674879153</v>
      </c>
      <c r="AD40" s="83">
        <f t="shared" si="33"/>
        <v>181363.31558166878</v>
      </c>
      <c r="AE40" s="83">
        <f t="shared" si="33"/>
        <v>159248.25334262679</v>
      </c>
      <c r="AF40" s="83">
        <f t="shared" si="33"/>
        <v>184131.6850369795</v>
      </c>
      <c r="AG40" s="83">
        <f t="shared" si="33"/>
        <v>169633.86710226786</v>
      </c>
      <c r="AH40" s="83">
        <f t="shared" si="33"/>
        <v>185528.58906444986</v>
      </c>
      <c r="AJ40" s="83" cm="1">
        <f t="array" aca="1" ref="AJ40" ca="1">SUMPRODUCT(($E40:$AH40)*(AJ$3&amp;AJ$4&amp;AJ$5&amp;AJ$6=$E$3:$AH$3&amp;$E$4:$AH$4&amp;$E$5:$AH$5&amp;$E$6:$AH$6))</f>
        <v>485599.02555382054</v>
      </c>
      <c r="AK40" s="83" cm="1">
        <f t="array" aca="1" ref="AK40" ca="1">SUMPRODUCT(($E40:$AH40)*(AK$3=$E$3:$AH$3)*(AK$4=$E$4:$AH$4)*(AK$5=$E$5:$AH$5)*(AK$6=$E$6:$AH$6))</f>
        <v>489155.68363147142</v>
      </c>
      <c r="AL40" s="83" cm="1">
        <f t="array" aca="1" ref="AL40" ca="1">SUMPRODUCT(($E40:$AH40)*(AL$3=$E$3:$AH$3)*(AL$4=$E$4:$AH$4)*(AL$5=$E$5:$AH$5)*(AL$6=$E$6:$AH$6))</f>
        <v>498765.78491068794</v>
      </c>
      <c r="AM40" s="158" cm="1">
        <f t="array" aca="1" ref="AM40" ca="1">SUMPRODUCT(($E40:$AH40)*(AM$3=$E$3:$AH$3)*(AM$4=$E$4:$AH$4)*(AM$5=$E$5:$AH$5)*(AM$6=$E$6:$AH$6))</f>
        <v>544949.27248419647</v>
      </c>
      <c r="AN40" s="83" cm="1">
        <f t="array" aca="1" ref="AN40" ca="1">SUMPRODUCT(($E40:$AH40)*(AN$3=$E$3:$AH$3)*(AN$4=$E$4:$AH$4)*(AN$5=$E$5:$AH$5)*(AN$6=$E$6:$AH$6))</f>
        <v>509878.97683151148</v>
      </c>
      <c r="AO40" s="83" cm="1">
        <f t="array" aca="1" ref="AO40" ca="1">SUMPRODUCT(($E40:$AH40)*(AO$3=$E$3:$AH$3)*(AO$4=$E$4:$AH$4)*(AO$5=$E$5:$AH$5)*(AO$6=$E$6:$AH$6))</f>
        <v>513613.46781304496</v>
      </c>
      <c r="AP40" s="83" cm="1">
        <f t="array" aca="1" ref="AP40" ca="1">SUMPRODUCT(($E40:$AH40)*(AP$3=$E$3:$AH$3)*(AP$4=$E$4:$AH$4)*(AP$5=$E$5:$AH$5)*(AP$6=$E$6:$AH$6))</f>
        <v>523704.07415622228</v>
      </c>
      <c r="AQ40" s="83" cm="1">
        <f t="array" aca="1" ref="AQ40" ca="1">SUMPRODUCT(($E40:$AH40)*(AQ$3=$E$3:$AH$3)*(AQ$4=$E$4:$AH$4)*(AQ$5=$E$5:$AH$5)*(AQ$6=$E$6:$AH$6))</f>
        <v>572196.73610840633</v>
      </c>
      <c r="AR40" s="83" cm="1">
        <f t="array" aca="1" ref="AR40" ca="1">SUMPRODUCT(($E40:$AH40)*(AR$3=$E$3:$AH$3)*(AR$4=$E$4:$AH$4)*(AR$5=$E$5:$AH$5)*(AR$6=$E$6:$AH$6))</f>
        <v>535372.92567308713</v>
      </c>
      <c r="AS40" s="83" cm="1">
        <f t="array" aca="1" ref="AS40" ca="1">SUMPRODUCT(($E40:$AH40)*(AS$3=$E$3:$AH$3)*(AS$4=$E$4:$AH$4)*(AS$5=$E$5:$AH$5)*(AS$6=$E$6:$AH$6))</f>
        <v>539294.14120369719</v>
      </c>
      <c r="AT40" s="83"/>
      <c r="AU40" s="83" cm="1">
        <f t="array" aca="1" ref="AU40" ca="1">SUMPRODUCT(($E40:$AH40)*(AU$5=$E$5:$AH$5))</f>
        <v>974754.70918529201</v>
      </c>
      <c r="AV40" s="83" cm="1">
        <f t="array" aca="1" ref="AV40" ca="1">SUMPRODUCT(($E40:$AH40)*(AV$5=$E$5:$AH$5))</f>
        <v>2067207.5020394411</v>
      </c>
      <c r="AW40" s="83" cm="1">
        <f t="array" aca="1" ref="AW40" ca="1">SUMPRODUCT(($E40:$AH40)*(AW$5=$E$5:$AH$5))</f>
        <v>2170567.8771414133</v>
      </c>
      <c r="BA40" s="319"/>
      <c r="BB40" s="319"/>
      <c r="BC40" s="319"/>
      <c r="BD40" s="319"/>
      <c r="BE40" s="319"/>
      <c r="BF40" s="319"/>
      <c r="BG40" s="58"/>
      <c r="BH40" s="58"/>
      <c r="BI40" s="58"/>
      <c r="BJ40" s="58"/>
      <c r="BK40" s="58"/>
      <c r="BL40" s="58"/>
    </row>
    <row r="41" spans="1:64" x14ac:dyDescent="0.25">
      <c r="C41" s="137" t="s">
        <v>245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57">
        <v>0.05</v>
      </c>
      <c r="R41" s="57">
        <f>Q41</f>
        <v>0.05</v>
      </c>
      <c r="S41" s="57">
        <f t="shared" ref="S41:AH41" si="34">R41</f>
        <v>0.05</v>
      </c>
      <c r="T41" s="57">
        <f t="shared" si="34"/>
        <v>0.05</v>
      </c>
      <c r="U41" s="57">
        <f t="shared" si="34"/>
        <v>0.05</v>
      </c>
      <c r="V41" s="57">
        <f t="shared" si="34"/>
        <v>0.05</v>
      </c>
      <c r="W41" s="57">
        <f t="shared" si="34"/>
        <v>0.05</v>
      </c>
      <c r="X41" s="57">
        <f t="shared" si="34"/>
        <v>0.05</v>
      </c>
      <c r="Y41" s="57">
        <f t="shared" si="34"/>
        <v>0.05</v>
      </c>
      <c r="Z41" s="57">
        <f t="shared" si="34"/>
        <v>0.05</v>
      </c>
      <c r="AA41" s="57">
        <f t="shared" si="34"/>
        <v>0.05</v>
      </c>
      <c r="AB41" s="57">
        <f t="shared" si="34"/>
        <v>0.05</v>
      </c>
      <c r="AC41" s="57">
        <f t="shared" si="34"/>
        <v>0.05</v>
      </c>
      <c r="AD41" s="57">
        <f t="shared" si="34"/>
        <v>0.05</v>
      </c>
      <c r="AE41" s="57">
        <f t="shared" si="34"/>
        <v>0.05</v>
      </c>
      <c r="AF41" s="57">
        <f t="shared" si="34"/>
        <v>0.05</v>
      </c>
      <c r="AG41" s="57">
        <f t="shared" si="34"/>
        <v>0.05</v>
      </c>
      <c r="AH41" s="57">
        <f t="shared" si="34"/>
        <v>0.05</v>
      </c>
      <c r="AJ41" s="83"/>
      <c r="AK41" s="83"/>
      <c r="AL41" s="83"/>
      <c r="AM41" s="158"/>
      <c r="AN41" s="58">
        <f ca="1">AN40/AJ40-1</f>
        <v>4.9999999999999822E-2</v>
      </c>
      <c r="AO41" s="328">
        <f t="shared" ref="AO41:AS41" ca="1" si="35">AO40/AK40-1</f>
        <v>5.0000000000000044E-2</v>
      </c>
      <c r="AP41" s="328">
        <f t="shared" ca="1" si="35"/>
        <v>4.9999999999999822E-2</v>
      </c>
      <c r="AQ41" s="328">
        <f t="shared" ca="1" si="35"/>
        <v>5.0000000000000044E-2</v>
      </c>
      <c r="AR41" s="328">
        <f t="shared" ca="1" si="35"/>
        <v>5.0000000000000044E-2</v>
      </c>
      <c r="AS41" s="328">
        <f t="shared" ca="1" si="35"/>
        <v>5.0000000000000044E-2</v>
      </c>
      <c r="AT41" s="83"/>
      <c r="AU41" s="83"/>
      <c r="AV41" s="83"/>
      <c r="AW41" s="58">
        <f ca="1">AW40/AV40-1</f>
        <v>5.0000000000000044E-2</v>
      </c>
      <c r="BA41" s="319"/>
      <c r="BB41" s="319"/>
      <c r="BC41" s="319"/>
      <c r="BD41" s="319"/>
      <c r="BE41" s="319"/>
      <c r="BF41" s="319"/>
      <c r="BG41" s="58"/>
      <c r="BH41" s="58"/>
      <c r="BI41" s="58"/>
      <c r="BJ41" s="58"/>
      <c r="BK41" s="58"/>
      <c r="BL41" s="58"/>
    </row>
    <row r="42" spans="1:64" x14ac:dyDescent="0.25">
      <c r="C42" s="1" t="s">
        <v>129</v>
      </c>
      <c r="E42" s="65">
        <v>69290.361269591071</v>
      </c>
      <c r="F42" s="65">
        <v>64753.585109786785</v>
      </c>
      <c r="G42" s="65">
        <v>57737.282497835731</v>
      </c>
      <c r="H42" s="65">
        <v>61148.543062880337</v>
      </c>
      <c r="I42" s="65">
        <v>55421.73541334489</v>
      </c>
      <c r="J42" s="91">
        <v>63725.227748840167</v>
      </c>
      <c r="K42" s="65">
        <v>71325.698598370684</v>
      </c>
      <c r="L42" s="65">
        <v>60855.377340556406</v>
      </c>
      <c r="M42" s="65">
        <v>55379.580052884237</v>
      </c>
      <c r="N42" s="65">
        <v>67402.443639915771</v>
      </c>
      <c r="O42" s="65">
        <v>68156.548483749808</v>
      </c>
      <c r="P42" s="67">
        <v>69967.19646171284</v>
      </c>
      <c r="Q42" s="83">
        <f t="shared" ref="Q42:AH42" si="36">E42*(1+Q43)</f>
        <v>74487.138364810395</v>
      </c>
      <c r="R42" s="83">
        <f t="shared" si="36"/>
        <v>69610.103993020792</v>
      </c>
      <c r="S42" s="83">
        <f t="shared" si="36"/>
        <v>62067.578685173408</v>
      </c>
      <c r="T42" s="83">
        <f t="shared" si="36"/>
        <v>65734.683792596363</v>
      </c>
      <c r="U42" s="83">
        <f t="shared" si="36"/>
        <v>59578.365569345755</v>
      </c>
      <c r="V42" s="83">
        <f t="shared" si="36"/>
        <v>68504.619830003183</v>
      </c>
      <c r="W42" s="83">
        <f t="shared" si="36"/>
        <v>76675.125993248483</v>
      </c>
      <c r="X42" s="83">
        <f t="shared" si="36"/>
        <v>65419.530641098136</v>
      </c>
      <c r="Y42" s="83">
        <f t="shared" si="36"/>
        <v>59533.048556850554</v>
      </c>
      <c r="Z42" s="83">
        <f t="shared" si="36"/>
        <v>72457.626912909458</v>
      </c>
      <c r="AA42" s="83">
        <f t="shared" si="36"/>
        <v>73268.289620031035</v>
      </c>
      <c r="AB42" s="83">
        <f t="shared" si="36"/>
        <v>75214.736196341299</v>
      </c>
      <c r="AC42" s="83">
        <f t="shared" si="36"/>
        <v>80073.673742171173</v>
      </c>
      <c r="AD42" s="83">
        <f t="shared" si="36"/>
        <v>74830.861792497351</v>
      </c>
      <c r="AE42" s="83">
        <f t="shared" si="36"/>
        <v>66722.64708656141</v>
      </c>
      <c r="AF42" s="83">
        <f t="shared" si="36"/>
        <v>70664.785077041088</v>
      </c>
      <c r="AG42" s="83">
        <f t="shared" si="36"/>
        <v>64046.74298704668</v>
      </c>
      <c r="AH42" s="83">
        <f t="shared" si="36"/>
        <v>73642.46631725342</v>
      </c>
      <c r="AJ42" s="83" cm="1">
        <f t="array" aca="1" ref="AJ42" ca="1">SUMPRODUCT(($E42:$AH42)*(AJ$3&amp;AJ$4&amp;AJ$5&amp;AJ$6=$E$3:$AH$3&amp;$E$4:$AH$4&amp;$E$5:$AH$5&amp;$E$6:$AH$6))</f>
        <v>191781.22887721358</v>
      </c>
      <c r="AK42" s="83" cm="1">
        <f t="array" aca="1" ref="AK42" ca="1">SUMPRODUCT(($E42:$AH42)*(AK$3=$E$3:$AH$3)*(AK$4=$E$4:$AH$4)*(AK$5=$E$5:$AH$5)*(AK$6=$E$6:$AH$6))</f>
        <v>180295.50622506539</v>
      </c>
      <c r="AL42" s="83" cm="1">
        <f t="array" aca="1" ref="AL42" ca="1">SUMPRODUCT(($E42:$AH42)*(AL$3=$E$3:$AH$3)*(AL$4=$E$4:$AH$4)*(AL$5=$E$5:$AH$5)*(AL$6=$E$6:$AH$6))</f>
        <v>187560.65599181133</v>
      </c>
      <c r="AM42" s="158" cm="1">
        <f t="array" aca="1" ref="AM42" ca="1">SUMPRODUCT(($E42:$AH42)*(AM$3=$E$3:$AH$3)*(AM$4=$E$4:$AH$4)*(AM$5=$E$5:$AH$5)*(AM$6=$E$6:$AH$6))</f>
        <v>205526.1885853784</v>
      </c>
      <c r="AN42" s="83" cm="1">
        <f t="array" aca="1" ref="AN42" ca="1">SUMPRODUCT(($E42:$AH42)*(AN$3=$E$3:$AH$3)*(AN$4=$E$4:$AH$4)*(AN$5=$E$5:$AH$5)*(AN$6=$E$6:$AH$6))</f>
        <v>206164.8210430046</v>
      </c>
      <c r="AO42" s="83" cm="1">
        <f t="array" aca="1" ref="AO42" ca="1">SUMPRODUCT(($E42:$AH42)*(AO$3=$E$3:$AH$3)*(AO$4=$E$4:$AH$4)*(AO$5=$E$5:$AH$5)*(AO$6=$E$6:$AH$6))</f>
        <v>193817.66919194529</v>
      </c>
      <c r="AP42" s="83" cm="1">
        <f t="array" aca="1" ref="AP42" ca="1">SUMPRODUCT(($E42:$AH42)*(AP$3=$E$3:$AH$3)*(AP$4=$E$4:$AH$4)*(AP$5=$E$5:$AH$5)*(AP$6=$E$6:$AH$6))</f>
        <v>201627.70519119716</v>
      </c>
      <c r="AQ42" s="83" cm="1">
        <f t="array" aca="1" ref="AQ42" ca="1">SUMPRODUCT(($E42:$AH42)*(AQ$3=$E$3:$AH$3)*(AQ$4=$E$4:$AH$4)*(AQ$5=$E$5:$AH$5)*(AQ$6=$E$6:$AH$6))</f>
        <v>220940.65272928181</v>
      </c>
      <c r="AR42" s="83" cm="1">
        <f t="array" aca="1" ref="AR42" ca="1">SUMPRODUCT(($E42:$AH42)*(AR$3=$E$3:$AH$3)*(AR$4=$E$4:$AH$4)*(AR$5=$E$5:$AH$5)*(AR$6=$E$6:$AH$6))</f>
        <v>221627.18262122996</v>
      </c>
      <c r="AS42" s="83" cm="1">
        <f t="array" aca="1" ref="AS42" ca="1">SUMPRODUCT(($E42:$AH42)*(AS$3=$E$3:$AH$3)*(AS$4=$E$4:$AH$4)*(AS$5=$E$5:$AH$5)*(AS$6=$E$6:$AH$6))</f>
        <v>208353.99438134118</v>
      </c>
      <c r="AT42" s="83"/>
      <c r="AU42" s="83" cm="1">
        <f t="array" aca="1" ref="AU42" ca="1">SUMPRODUCT(($E42:$AH42)*(AU$5=$E$5:$AH$5))</f>
        <v>372076.735102279</v>
      </c>
      <c r="AV42" s="83" cm="1">
        <f t="array" aca="1" ref="AV42" ca="1">SUMPRODUCT(($E42:$AH42)*(AV$5=$E$5:$AH$5))</f>
        <v>793069.33481213963</v>
      </c>
      <c r="AW42" s="83" cm="1">
        <f t="array" aca="1" ref="AW42" ca="1">SUMPRODUCT(($E42:$AH42)*(AW$5=$E$5:$AH$5))</f>
        <v>852549.53492305009</v>
      </c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</row>
    <row r="43" spans="1:64" x14ac:dyDescent="0.25">
      <c r="C43" s="137" t="s">
        <v>245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57">
        <v>7.4999999999999997E-2</v>
      </c>
      <c r="R43" s="57">
        <f>Q43</f>
        <v>7.4999999999999997E-2</v>
      </c>
      <c r="S43" s="57">
        <f t="shared" ref="S43:AH43" si="37">R43</f>
        <v>7.4999999999999997E-2</v>
      </c>
      <c r="T43" s="57">
        <f t="shared" si="37"/>
        <v>7.4999999999999997E-2</v>
      </c>
      <c r="U43" s="57">
        <f t="shared" si="37"/>
        <v>7.4999999999999997E-2</v>
      </c>
      <c r="V43" s="57">
        <f t="shared" si="37"/>
        <v>7.4999999999999997E-2</v>
      </c>
      <c r="W43" s="57">
        <f t="shared" si="37"/>
        <v>7.4999999999999997E-2</v>
      </c>
      <c r="X43" s="57">
        <f t="shared" si="37"/>
        <v>7.4999999999999997E-2</v>
      </c>
      <c r="Y43" s="57">
        <f t="shared" si="37"/>
        <v>7.4999999999999997E-2</v>
      </c>
      <c r="Z43" s="57">
        <f t="shared" si="37"/>
        <v>7.4999999999999997E-2</v>
      </c>
      <c r="AA43" s="57">
        <f t="shared" si="37"/>
        <v>7.4999999999999997E-2</v>
      </c>
      <c r="AB43" s="57">
        <f t="shared" si="37"/>
        <v>7.4999999999999997E-2</v>
      </c>
      <c r="AC43" s="57">
        <f t="shared" si="37"/>
        <v>7.4999999999999997E-2</v>
      </c>
      <c r="AD43" s="57">
        <f t="shared" si="37"/>
        <v>7.4999999999999997E-2</v>
      </c>
      <c r="AE43" s="57">
        <f t="shared" si="37"/>
        <v>7.4999999999999997E-2</v>
      </c>
      <c r="AF43" s="57">
        <f t="shared" si="37"/>
        <v>7.4999999999999997E-2</v>
      </c>
      <c r="AG43" s="57">
        <f t="shared" si="37"/>
        <v>7.4999999999999997E-2</v>
      </c>
      <c r="AH43" s="57">
        <f t="shared" si="37"/>
        <v>7.4999999999999997E-2</v>
      </c>
      <c r="AJ43" s="83"/>
      <c r="AK43" s="83"/>
      <c r="AL43" s="83"/>
      <c r="AM43" s="158"/>
      <c r="AN43" s="328">
        <f ca="1">AN42/AJ42-1</f>
        <v>7.4999999999999956E-2</v>
      </c>
      <c r="AO43" s="328">
        <f t="shared" ref="AO43" ca="1" si="38">AO42/AK42-1</f>
        <v>7.4999999999999956E-2</v>
      </c>
      <c r="AP43" s="328">
        <f t="shared" ref="AP43" ca="1" si="39">AP42/AL42-1</f>
        <v>7.4999999999999956E-2</v>
      </c>
      <c r="AQ43" s="328">
        <f t="shared" ref="AQ43" ca="1" si="40">AQ42/AM42-1</f>
        <v>7.5000000000000178E-2</v>
      </c>
      <c r="AR43" s="328">
        <f t="shared" ref="AR43" ca="1" si="41">AR42/AN42-1</f>
        <v>7.5000000000000178E-2</v>
      </c>
      <c r="AS43" s="328">
        <f t="shared" ref="AS43" ca="1" si="42">AS42/AO42-1</f>
        <v>7.4999999999999956E-2</v>
      </c>
      <c r="AT43" s="83"/>
      <c r="AU43" s="83"/>
      <c r="AV43" s="83"/>
      <c r="AW43" s="328">
        <f ca="1">AW42/AV42-1</f>
        <v>7.4999999999999956E-2</v>
      </c>
    </row>
    <row r="44" spans="1:64" x14ac:dyDescent="0.25">
      <c r="C44" s="1" t="s">
        <v>130</v>
      </c>
      <c r="E44" s="65">
        <v>260240.43562125921</v>
      </c>
      <c r="F44" s="65">
        <v>230509.93525365114</v>
      </c>
      <c r="G44" s="65">
        <v>198327.34520530072</v>
      </c>
      <c r="H44" s="65">
        <v>206511.92080969442</v>
      </c>
      <c r="I44" s="65">
        <v>183375.69470653331</v>
      </c>
      <c r="J44" s="91">
        <v>217599.55551154693</v>
      </c>
      <c r="K44" s="65">
        <v>250940.26467379177</v>
      </c>
      <c r="L44" s="65">
        <v>216825.70680027452</v>
      </c>
      <c r="M44" s="65">
        <v>198340.23793072524</v>
      </c>
      <c r="N44" s="65">
        <v>232561.85068582834</v>
      </c>
      <c r="O44" s="65">
        <v>241296.02111192641</v>
      </c>
      <c r="P44" s="67">
        <v>251714.48475674939</v>
      </c>
      <c r="Q44" s="83">
        <f t="shared" ref="Q44:AH44" si="43">E44*(1+Q45)</f>
        <v>270650.05304610956</v>
      </c>
      <c r="R44" s="83">
        <f t="shared" si="43"/>
        <v>239730.33266379719</v>
      </c>
      <c r="S44" s="83">
        <f t="shared" si="43"/>
        <v>206260.43901351275</v>
      </c>
      <c r="T44" s="83">
        <f t="shared" si="43"/>
        <v>214772.39764208221</v>
      </c>
      <c r="U44" s="83">
        <f t="shared" si="43"/>
        <v>190710.72249479464</v>
      </c>
      <c r="V44" s="83">
        <f t="shared" si="43"/>
        <v>226303.53773200882</v>
      </c>
      <c r="W44" s="83">
        <f t="shared" si="43"/>
        <v>260977.87526074346</v>
      </c>
      <c r="X44" s="83">
        <f t="shared" si="43"/>
        <v>225498.73507228552</v>
      </c>
      <c r="Y44" s="83">
        <f t="shared" si="43"/>
        <v>206273.84744795426</v>
      </c>
      <c r="Z44" s="83">
        <f t="shared" si="43"/>
        <v>241864.32471326148</v>
      </c>
      <c r="AA44" s="83">
        <f t="shared" si="43"/>
        <v>250947.86195640347</v>
      </c>
      <c r="AB44" s="83">
        <f t="shared" si="43"/>
        <v>261783.06414701938</v>
      </c>
      <c r="AC44" s="83">
        <f t="shared" si="43"/>
        <v>281476.05516795395</v>
      </c>
      <c r="AD44" s="83">
        <f t="shared" si="43"/>
        <v>249319.54597034908</v>
      </c>
      <c r="AE44" s="83">
        <f t="shared" si="43"/>
        <v>214510.85657405326</v>
      </c>
      <c r="AF44" s="83">
        <f t="shared" si="43"/>
        <v>223363.2935477655</v>
      </c>
      <c r="AG44" s="83">
        <f t="shared" si="43"/>
        <v>198339.15139458643</v>
      </c>
      <c r="AH44" s="83">
        <f t="shared" si="43"/>
        <v>235355.67924128918</v>
      </c>
      <c r="AJ44" s="83" cm="1">
        <f t="array" aca="1" ref="AJ44" ca="1">SUMPRODUCT(($E44:$AH44)*(AJ$3&amp;AJ$4&amp;AJ$5&amp;AJ$6=$E$3:$AH$3&amp;$E$4:$AH$4&amp;$E$5:$AH$5&amp;$E$6:$AH$6))</f>
        <v>689077.7160802111</v>
      </c>
      <c r="AK44" s="83" cm="1">
        <f t="array" aca="1" ref="AK44" ca="1">SUMPRODUCT(($E44:$AH44)*(AK$3=$E$3:$AH$3)*(AK$4=$E$4:$AH$4)*(AK$5=$E$5:$AH$5)*(AK$6=$E$6:$AH$6))</f>
        <v>607487.17102777469</v>
      </c>
      <c r="AL44" s="83" cm="1">
        <f t="array" aca="1" ref="AL44" ca="1">SUMPRODUCT(($E44:$AH44)*(AL$3=$E$3:$AH$3)*(AL$4=$E$4:$AH$4)*(AL$5=$E$5:$AH$5)*(AL$6=$E$6:$AH$6))</f>
        <v>666106.20940479147</v>
      </c>
      <c r="AM44" s="158" cm="1">
        <f t="array" aca="1" ref="AM44" ca="1">SUMPRODUCT(($E44:$AH44)*(AM$3=$E$3:$AH$3)*(AM$4=$E$4:$AH$4)*(AM$5=$E$5:$AH$5)*(AM$6=$E$6:$AH$6))</f>
        <v>725572.35655450413</v>
      </c>
      <c r="AN44" s="83" cm="1">
        <f t="array" aca="1" ref="AN44" ca="1">SUMPRODUCT(($E44:$AH44)*(AN$3=$E$3:$AH$3)*(AN$4=$E$4:$AH$4)*(AN$5=$E$5:$AH$5)*(AN$6=$E$6:$AH$6))</f>
        <v>716640.8247234195</v>
      </c>
      <c r="AO44" s="83" cm="1">
        <f t="array" aca="1" ref="AO44" ca="1">SUMPRODUCT(($E44:$AH44)*(AO$3=$E$3:$AH$3)*(AO$4=$E$4:$AH$4)*(AO$5=$E$5:$AH$5)*(AO$6=$E$6:$AH$6))</f>
        <v>631786.65786888567</v>
      </c>
      <c r="AP44" s="83" cm="1">
        <f t="array" aca="1" ref="AP44" ca="1">SUMPRODUCT(($E44:$AH44)*(AP$3=$E$3:$AH$3)*(AP$4=$E$4:$AH$4)*(AP$5=$E$5:$AH$5)*(AP$6=$E$6:$AH$6))</f>
        <v>692750.45778098318</v>
      </c>
      <c r="AQ44" s="83" cm="1">
        <f t="array" aca="1" ref="AQ44" ca="1">SUMPRODUCT(($E44:$AH44)*(AQ$3=$E$3:$AH$3)*(AQ$4=$E$4:$AH$4)*(AQ$5=$E$5:$AH$5)*(AQ$6=$E$6:$AH$6))</f>
        <v>754595.25081668433</v>
      </c>
      <c r="AR44" s="83" cm="1">
        <f t="array" aca="1" ref="AR44" ca="1">SUMPRODUCT(($E44:$AH44)*(AR$3=$E$3:$AH$3)*(AR$4=$E$4:$AH$4)*(AR$5=$E$5:$AH$5)*(AR$6=$E$6:$AH$6))</f>
        <v>745306.45771235635</v>
      </c>
      <c r="AS44" s="83" cm="1">
        <f t="array" aca="1" ref="AS44" ca="1">SUMPRODUCT(($E44:$AH44)*(AS$3=$E$3:$AH$3)*(AS$4=$E$4:$AH$4)*(AS$5=$E$5:$AH$5)*(AS$6=$E$6:$AH$6))</f>
        <v>657058.12418364105</v>
      </c>
      <c r="AT44" s="83"/>
      <c r="AU44" s="83" cm="1">
        <f t="array" aca="1" ref="AU44" ca="1">SUMPRODUCT(($E44:$AH44)*(AU$5=$E$5:$AH$5))</f>
        <v>1296564.8871079858</v>
      </c>
      <c r="AV44" s="83" cm="1">
        <f t="array" aca="1" ref="AV44" ca="1">SUMPRODUCT(($E44:$AH44)*(AV$5=$E$5:$AH$5))</f>
        <v>2740106.0485516004</v>
      </c>
      <c r="AW44" s="83" cm="1">
        <f t="array" aca="1" ref="AW44" ca="1">SUMPRODUCT(($E44:$AH44)*(AW$5=$E$5:$AH$5))</f>
        <v>2849710.2904936653</v>
      </c>
    </row>
    <row r="45" spans="1:64" x14ac:dyDescent="0.25">
      <c r="C45" s="137" t="s">
        <v>245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57">
        <v>0.04</v>
      </c>
      <c r="R45" s="57">
        <f>Q45</f>
        <v>0.04</v>
      </c>
      <c r="S45" s="57">
        <f t="shared" ref="S45:AH45" si="44">R45</f>
        <v>0.04</v>
      </c>
      <c r="T45" s="57">
        <f t="shared" si="44"/>
        <v>0.04</v>
      </c>
      <c r="U45" s="57">
        <f t="shared" si="44"/>
        <v>0.04</v>
      </c>
      <c r="V45" s="57">
        <f t="shared" si="44"/>
        <v>0.04</v>
      </c>
      <c r="W45" s="57">
        <f t="shared" si="44"/>
        <v>0.04</v>
      </c>
      <c r="X45" s="57">
        <f t="shared" si="44"/>
        <v>0.04</v>
      </c>
      <c r="Y45" s="57">
        <f t="shared" si="44"/>
        <v>0.04</v>
      </c>
      <c r="Z45" s="57">
        <f t="shared" si="44"/>
        <v>0.04</v>
      </c>
      <c r="AA45" s="57">
        <f t="shared" si="44"/>
        <v>0.04</v>
      </c>
      <c r="AB45" s="57">
        <f t="shared" si="44"/>
        <v>0.04</v>
      </c>
      <c r="AC45" s="57">
        <f t="shared" si="44"/>
        <v>0.04</v>
      </c>
      <c r="AD45" s="57">
        <f t="shared" si="44"/>
        <v>0.04</v>
      </c>
      <c r="AE45" s="57">
        <f t="shared" si="44"/>
        <v>0.04</v>
      </c>
      <c r="AF45" s="57">
        <f t="shared" si="44"/>
        <v>0.04</v>
      </c>
      <c r="AG45" s="57">
        <f t="shared" si="44"/>
        <v>0.04</v>
      </c>
      <c r="AH45" s="57">
        <f t="shared" si="44"/>
        <v>0.04</v>
      </c>
      <c r="AJ45" s="83"/>
      <c r="AK45" s="83"/>
      <c r="AL45" s="83"/>
      <c r="AM45" s="158"/>
      <c r="AN45" s="328">
        <f ca="1">AN44/AJ44-1</f>
        <v>4.0000000000000036E-2</v>
      </c>
      <c r="AO45" s="328">
        <f t="shared" ref="AO45" ca="1" si="45">AO44/AK44-1</f>
        <v>4.0000000000000036E-2</v>
      </c>
      <c r="AP45" s="328">
        <f t="shared" ref="AP45" ca="1" si="46">AP44/AL44-1</f>
        <v>4.0000000000000036E-2</v>
      </c>
      <c r="AQ45" s="328">
        <f t="shared" ref="AQ45" ca="1" si="47">AQ44/AM44-1</f>
        <v>4.0000000000000036E-2</v>
      </c>
      <c r="AR45" s="328">
        <f t="shared" ref="AR45" ca="1" si="48">AR44/AN44-1</f>
        <v>4.0000000000000036E-2</v>
      </c>
      <c r="AS45" s="328">
        <f t="shared" ref="AS45" ca="1" si="49">AS44/AO44-1</f>
        <v>4.0000000000000036E-2</v>
      </c>
      <c r="AT45" s="83"/>
      <c r="AU45" s="83"/>
      <c r="AV45" s="83"/>
      <c r="AW45" s="328">
        <f ca="1">AW44/AV44-1</f>
        <v>4.0000000000000258E-2</v>
      </c>
    </row>
    <row r="46" spans="1:64" x14ac:dyDescent="0.25">
      <c r="C46" s="1" t="s">
        <v>131</v>
      </c>
      <c r="E46" s="91">
        <v>55971.055266467527</v>
      </c>
      <c r="F46" s="91">
        <v>50254.086052397084</v>
      </c>
      <c r="G46" s="91">
        <v>45312.579691087107</v>
      </c>
      <c r="H46" s="91">
        <v>47725.23421171253</v>
      </c>
      <c r="I46" s="91">
        <v>43666.856397975353</v>
      </c>
      <c r="J46" s="91">
        <v>50319.756413845069</v>
      </c>
      <c r="K46" s="91">
        <v>53676.131536539215</v>
      </c>
      <c r="L46" s="91">
        <v>50217.230143148663</v>
      </c>
      <c r="M46" s="91">
        <v>44544.044657853345</v>
      </c>
      <c r="N46" s="91">
        <v>55541.209424923713</v>
      </c>
      <c r="O46" s="91">
        <v>53955.178687652551</v>
      </c>
      <c r="P46" s="67">
        <v>54495.766604981982</v>
      </c>
      <c r="Q46" s="83">
        <f t="shared" ref="Q46:AH46" si="50">E46*(1+Q47)</f>
        <v>57370.331648129213</v>
      </c>
      <c r="R46" s="83">
        <f t="shared" si="50"/>
        <v>51510.43820370701</v>
      </c>
      <c r="S46" s="83">
        <f t="shared" si="50"/>
        <v>46445.394183364282</v>
      </c>
      <c r="T46" s="83">
        <f t="shared" si="50"/>
        <v>48918.365067005339</v>
      </c>
      <c r="U46" s="83">
        <f t="shared" si="50"/>
        <v>44758.527807924729</v>
      </c>
      <c r="V46" s="83">
        <f t="shared" si="50"/>
        <v>51577.750324191191</v>
      </c>
      <c r="W46" s="83">
        <f t="shared" si="50"/>
        <v>55018.034824952687</v>
      </c>
      <c r="X46" s="83">
        <f t="shared" si="50"/>
        <v>51472.660896727379</v>
      </c>
      <c r="Y46" s="83">
        <f t="shared" si="50"/>
        <v>45657.645774299672</v>
      </c>
      <c r="Z46" s="83">
        <f t="shared" si="50"/>
        <v>56929.739660546802</v>
      </c>
      <c r="AA46" s="83">
        <f t="shared" si="50"/>
        <v>55304.058154843857</v>
      </c>
      <c r="AB46" s="83">
        <f t="shared" si="50"/>
        <v>55858.16077010653</v>
      </c>
      <c r="AC46" s="83">
        <f t="shared" si="50"/>
        <v>58804.589939332436</v>
      </c>
      <c r="AD46" s="83">
        <f t="shared" si="50"/>
        <v>52798.199158799682</v>
      </c>
      <c r="AE46" s="83">
        <f t="shared" si="50"/>
        <v>47606.529037948385</v>
      </c>
      <c r="AF46" s="83">
        <f t="shared" si="50"/>
        <v>50141.32419368047</v>
      </c>
      <c r="AG46" s="83">
        <f t="shared" si="50"/>
        <v>45877.491003122843</v>
      </c>
      <c r="AH46" s="83">
        <f t="shared" si="50"/>
        <v>52867.194082295966</v>
      </c>
      <c r="AJ46" s="83" cm="1">
        <f t="array" aca="1" ref="AJ46" ca="1">SUMPRODUCT(($E46:$AH46)*(AJ$3&amp;AJ$4&amp;AJ$5&amp;AJ$6=$E$3:$AH$3&amp;$E$4:$AH$4&amp;$E$5:$AH$5&amp;$E$6:$AH$6))</f>
        <v>151537.72100995173</v>
      </c>
      <c r="AK46" s="83" cm="1">
        <f t="array" aca="1" ref="AK46" ca="1">SUMPRODUCT(($E46:$AH46)*(AK$3=$E$3:$AH$3)*(AK$4=$E$4:$AH$4)*(AK$5=$E$5:$AH$5)*(AK$6=$E$6:$AH$6))</f>
        <v>141711.84702353296</v>
      </c>
      <c r="AL46" s="83" cm="1">
        <f t="array" aca="1" ref="AL46" ca="1">SUMPRODUCT(($E46:$AH46)*(AL$3=$E$3:$AH$3)*(AL$4=$E$4:$AH$4)*(AL$5=$E$5:$AH$5)*(AL$6=$E$6:$AH$6))</f>
        <v>148437.40633754124</v>
      </c>
      <c r="AM46" s="158" cm="1">
        <f t="array" aca="1" ref="AM46" ca="1">SUMPRODUCT(($E46:$AH46)*(AM$3=$E$3:$AH$3)*(AM$4=$E$4:$AH$4)*(AM$5=$E$5:$AH$5)*(AM$6=$E$6:$AH$6))</f>
        <v>163992.15471755824</v>
      </c>
      <c r="AN46" s="83" cm="1">
        <f t="array" aca="1" ref="AN46" ca="1">SUMPRODUCT(($E46:$AH46)*(AN$3=$E$3:$AH$3)*(AN$4=$E$4:$AH$4)*(AN$5=$E$5:$AH$5)*(AN$6=$E$6:$AH$6))</f>
        <v>155326.16403520052</v>
      </c>
      <c r="AO46" s="83" cm="1">
        <f t="array" aca="1" ref="AO46" ca="1">SUMPRODUCT(($E46:$AH46)*(AO$3=$E$3:$AH$3)*(AO$4=$E$4:$AH$4)*(AO$5=$E$5:$AH$5)*(AO$6=$E$6:$AH$6))</f>
        <v>145254.64319912126</v>
      </c>
      <c r="AP46" s="83" cm="1">
        <f t="array" aca="1" ref="AP46" ca="1">SUMPRODUCT(($E46:$AH46)*(AP$3=$E$3:$AH$3)*(AP$4=$E$4:$AH$4)*(AP$5=$E$5:$AH$5)*(AP$6=$E$6:$AH$6))</f>
        <v>152148.34149597975</v>
      </c>
      <c r="AQ46" s="83" cm="1">
        <f t="array" aca="1" ref="AQ46" ca="1">SUMPRODUCT(($E46:$AH46)*(AQ$3=$E$3:$AH$3)*(AQ$4=$E$4:$AH$4)*(AQ$5=$E$5:$AH$5)*(AQ$6=$E$6:$AH$6))</f>
        <v>168091.9585854972</v>
      </c>
      <c r="AR46" s="83" cm="1">
        <f t="array" aca="1" ref="AR46" ca="1">SUMPRODUCT(($E46:$AH46)*(AR$3=$E$3:$AH$3)*(AR$4=$E$4:$AH$4)*(AR$5=$E$5:$AH$5)*(AR$6=$E$6:$AH$6))</f>
        <v>159209.31813608049</v>
      </c>
      <c r="AS46" s="83" cm="1">
        <f t="array" aca="1" ref="AS46" ca="1">SUMPRODUCT(($E46:$AH46)*(AS$3=$E$3:$AH$3)*(AS$4=$E$4:$AH$4)*(AS$5=$E$5:$AH$5)*(AS$6=$E$6:$AH$6))</f>
        <v>148886.00927909926</v>
      </c>
      <c r="AT46" s="83"/>
      <c r="AU46" s="83" cm="1">
        <f t="array" aca="1" ref="AU46" ca="1">SUMPRODUCT(($E46:$AH46)*(AU$5=$E$5:$AH$5))</f>
        <v>293249.56803348468</v>
      </c>
      <c r="AV46" s="83" cm="1">
        <f t="array" aca="1" ref="AV46" ca="1">SUMPRODUCT(($E46:$AH46)*(AV$5=$E$5:$AH$5))</f>
        <v>613010.3682894212</v>
      </c>
      <c r="AW46" s="83" cm="1">
        <f t="array" aca="1" ref="AW46" ca="1">SUMPRODUCT(($E46:$AH46)*(AW$5=$E$5:$AH$5))</f>
        <v>628335.62749665673</v>
      </c>
    </row>
    <row r="47" spans="1:64" x14ac:dyDescent="0.25">
      <c r="C47" s="138" t="s">
        <v>245</v>
      </c>
      <c r="D47" s="27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40"/>
      <c r="Q47" s="141">
        <v>2.5000000000000001E-2</v>
      </c>
      <c r="R47" s="93">
        <f>Q47</f>
        <v>2.5000000000000001E-2</v>
      </c>
      <c r="S47" s="93">
        <f t="shared" ref="S47:AH47" si="51">R47</f>
        <v>2.5000000000000001E-2</v>
      </c>
      <c r="T47" s="93">
        <f t="shared" si="51"/>
        <v>2.5000000000000001E-2</v>
      </c>
      <c r="U47" s="93">
        <f t="shared" si="51"/>
        <v>2.5000000000000001E-2</v>
      </c>
      <c r="V47" s="93">
        <f t="shared" si="51"/>
        <v>2.5000000000000001E-2</v>
      </c>
      <c r="W47" s="93">
        <f t="shared" si="51"/>
        <v>2.5000000000000001E-2</v>
      </c>
      <c r="X47" s="93">
        <f t="shared" si="51"/>
        <v>2.5000000000000001E-2</v>
      </c>
      <c r="Y47" s="93">
        <f t="shared" si="51"/>
        <v>2.5000000000000001E-2</v>
      </c>
      <c r="Z47" s="93">
        <f t="shared" si="51"/>
        <v>2.5000000000000001E-2</v>
      </c>
      <c r="AA47" s="93">
        <f t="shared" si="51"/>
        <v>2.5000000000000001E-2</v>
      </c>
      <c r="AB47" s="93">
        <f t="shared" si="51"/>
        <v>2.5000000000000001E-2</v>
      </c>
      <c r="AC47" s="93">
        <f t="shared" si="51"/>
        <v>2.5000000000000001E-2</v>
      </c>
      <c r="AD47" s="93">
        <f t="shared" si="51"/>
        <v>2.5000000000000001E-2</v>
      </c>
      <c r="AE47" s="93">
        <f t="shared" si="51"/>
        <v>2.5000000000000001E-2</v>
      </c>
      <c r="AF47" s="93">
        <f t="shared" si="51"/>
        <v>2.5000000000000001E-2</v>
      </c>
      <c r="AG47" s="93">
        <f t="shared" si="51"/>
        <v>2.5000000000000001E-2</v>
      </c>
      <c r="AH47" s="93">
        <f t="shared" si="51"/>
        <v>2.5000000000000001E-2</v>
      </c>
      <c r="AM47" s="8"/>
      <c r="AN47" s="323">
        <f ca="1">AN46/AJ46-1</f>
        <v>2.4999999999999911E-2</v>
      </c>
      <c r="AO47" s="323">
        <f t="shared" ref="AO47" ca="1" si="52">AO46/AK46-1</f>
        <v>2.4999999999999911E-2</v>
      </c>
      <c r="AP47" s="323">
        <f t="shared" ref="AP47" ca="1" si="53">AP46/AL46-1</f>
        <v>2.4999999999999911E-2</v>
      </c>
      <c r="AQ47" s="323">
        <f t="shared" ref="AQ47" ca="1" si="54">AQ46/AM46-1</f>
        <v>2.4999999999999911E-2</v>
      </c>
      <c r="AR47" s="323">
        <f t="shared" ref="AR47" ca="1" si="55">AR46/AN46-1</f>
        <v>2.4999999999999689E-2</v>
      </c>
      <c r="AS47" s="323">
        <f t="shared" ref="AS47" ca="1" si="56">AS46/AO46-1</f>
        <v>2.4999999999999911E-2</v>
      </c>
      <c r="AT47" s="176"/>
      <c r="AU47" s="176"/>
      <c r="AV47" s="176"/>
      <c r="AW47" s="323">
        <f ca="1">AW46/AV46-1</f>
        <v>2.4999999999999911E-2</v>
      </c>
    </row>
    <row r="48" spans="1:64" x14ac:dyDescent="0.25">
      <c r="B48" t="s">
        <v>231</v>
      </c>
      <c r="C48" s="25" t="s">
        <v>127</v>
      </c>
      <c r="E48" s="120">
        <f>SUM(E40:E46)</f>
        <v>562156.14399295638</v>
      </c>
      <c r="F48" s="120">
        <f t="shared" ref="F48:P48" si="57">SUM(F40:F46)</f>
        <v>510019.4799592988</v>
      </c>
      <c r="G48" s="120">
        <f t="shared" si="57"/>
        <v>445820.06756894174</v>
      </c>
      <c r="H48" s="120">
        <f t="shared" si="57"/>
        <v>482398.56433098071</v>
      </c>
      <c r="I48" s="120">
        <f t="shared" si="57"/>
        <v>436327.2045244457</v>
      </c>
      <c r="J48" s="121">
        <f t="shared" si="57"/>
        <v>499924.43905241793</v>
      </c>
      <c r="K48" s="120">
        <f t="shared" si="57"/>
        <v>552765.61098046007</v>
      </c>
      <c r="L48" s="120">
        <f t="shared" si="57"/>
        <v>501178.11713189777</v>
      </c>
      <c r="M48" s="120">
        <f t="shared" si="57"/>
        <v>446926.32853247412</v>
      </c>
      <c r="N48" s="120">
        <f t="shared" si="57"/>
        <v>547431.37831900653</v>
      </c>
      <c r="O48" s="120">
        <f t="shared" si="57"/>
        <v>528162.20087648602</v>
      </c>
      <c r="P48" s="122">
        <f t="shared" si="57"/>
        <v>564446.39314614469</v>
      </c>
      <c r="Q48" s="120">
        <f>Q40+Q42+Q44+Q46</f>
        <v>587994.52948646969</v>
      </c>
      <c r="R48" s="120">
        <f t="shared" ref="R48:AH48" si="58">R40+R42+R44+R46</f>
        <v>533577.84208116191</v>
      </c>
      <c r="S48" s="120">
        <f t="shared" si="58"/>
        <v>466438.41506550455</v>
      </c>
      <c r="T48" s="120">
        <f t="shared" si="58"/>
        <v>504788.95606071199</v>
      </c>
      <c r="U48" s="120">
        <f t="shared" si="58"/>
        <v>456603.6797789869</v>
      </c>
      <c r="V48" s="120">
        <f t="shared" si="58"/>
        <v>523079.80223329831</v>
      </c>
      <c r="W48" s="120">
        <f t="shared" si="58"/>
        <v>578335.72805929102</v>
      </c>
      <c r="X48" s="120">
        <f t="shared" si="58"/>
        <v>524334.7196004251</v>
      </c>
      <c r="Y48" s="120">
        <f t="shared" si="58"/>
        <v>467560.13096466631</v>
      </c>
      <c r="Z48" s="120">
        <f t="shared" si="58"/>
        <v>572773.8595834733</v>
      </c>
      <c r="AA48" s="120">
        <f t="shared" si="58"/>
        <v>552512.38495409349</v>
      </c>
      <c r="AB48" s="120">
        <f t="shared" si="58"/>
        <v>590538.35370230279</v>
      </c>
      <c r="AC48" s="120">
        <f t="shared" si="58"/>
        <v>615115.67559824907</v>
      </c>
      <c r="AD48" s="120">
        <f t="shared" si="58"/>
        <v>558311.92250331491</v>
      </c>
      <c r="AE48" s="120">
        <f t="shared" si="58"/>
        <v>488088.28604118986</v>
      </c>
      <c r="AF48" s="120">
        <f t="shared" si="58"/>
        <v>528301.08785546653</v>
      </c>
      <c r="AG48" s="120">
        <f t="shared" si="58"/>
        <v>477897.25248702377</v>
      </c>
      <c r="AH48" s="120">
        <f t="shared" si="58"/>
        <v>547393.92870528845</v>
      </c>
      <c r="AJ48" s="322">
        <f t="shared" ref="AJ48:AW48" ca="1" si="59">AJ40+AJ42+AJ44+AJ46</f>
        <v>1517995.6915211969</v>
      </c>
      <c r="AK48" s="322">
        <f t="shared" ca="1" si="59"/>
        <v>1418650.2079078446</v>
      </c>
      <c r="AL48" s="322">
        <f t="shared" ca="1" si="59"/>
        <v>1500870.056644832</v>
      </c>
      <c r="AM48" s="329">
        <f t="shared" ca="1" si="59"/>
        <v>1640039.9723416374</v>
      </c>
      <c r="AN48" s="322">
        <f t="shared" ca="1" si="59"/>
        <v>1588010.7866331362</v>
      </c>
      <c r="AO48" s="322">
        <f t="shared" ca="1" si="59"/>
        <v>1484472.4380729974</v>
      </c>
      <c r="AP48" s="322">
        <f t="shared" ca="1" si="59"/>
        <v>1570230.5786243824</v>
      </c>
      <c r="AQ48" s="322">
        <f t="shared" ca="1" si="59"/>
        <v>1715824.5982398696</v>
      </c>
      <c r="AR48" s="322">
        <f t="shared" ca="1" si="59"/>
        <v>1661515.8841427539</v>
      </c>
      <c r="AS48" s="322">
        <f t="shared" ca="1" si="59"/>
        <v>1553592.2690477786</v>
      </c>
      <c r="AU48" s="322">
        <f t="shared" ca="1" si="59"/>
        <v>2936645.8994290419</v>
      </c>
      <c r="AV48" s="322">
        <f t="shared" ca="1" si="59"/>
        <v>6213393.2536926027</v>
      </c>
      <c r="AW48" s="322">
        <f t="shared" ca="1" si="59"/>
        <v>6501163.3300547851</v>
      </c>
    </row>
    <row r="49" spans="2:64" x14ac:dyDescent="0.2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M49" s="8"/>
      <c r="AZ49" t="str">
        <f>AZ50&amp;" "&amp;C50</f>
        <v>Air Search Rates</v>
      </c>
      <c r="BA49">
        <v>1</v>
      </c>
      <c r="BB49">
        <f>BA49+1</f>
        <v>2</v>
      </c>
      <c r="BC49">
        <f t="shared" ref="BC49:BL49" si="60">BB49+1</f>
        <v>3</v>
      </c>
      <c r="BD49">
        <f t="shared" si="60"/>
        <v>4</v>
      </c>
      <c r="BE49">
        <f t="shared" si="60"/>
        <v>5</v>
      </c>
      <c r="BF49">
        <f t="shared" si="60"/>
        <v>6</v>
      </c>
      <c r="BG49">
        <f t="shared" si="60"/>
        <v>7</v>
      </c>
      <c r="BH49">
        <f t="shared" si="60"/>
        <v>8</v>
      </c>
      <c r="BI49">
        <f t="shared" si="60"/>
        <v>9</v>
      </c>
      <c r="BJ49">
        <f t="shared" si="60"/>
        <v>10</v>
      </c>
      <c r="BK49">
        <f t="shared" si="60"/>
        <v>11</v>
      </c>
      <c r="BL49">
        <f t="shared" si="60"/>
        <v>12</v>
      </c>
    </row>
    <row r="50" spans="2:64" x14ac:dyDescent="0.25">
      <c r="B50" t="s">
        <v>231</v>
      </c>
      <c r="C50" s="30" t="s">
        <v>132</v>
      </c>
      <c r="D50" s="225"/>
      <c r="E50" s="45" t="str">
        <f t="shared" ref="E50:AH50" si="61">E$9</f>
        <v>Jul-20A</v>
      </c>
      <c r="F50" s="45" t="str">
        <f t="shared" si="61"/>
        <v>Aug-20A</v>
      </c>
      <c r="G50" s="45" t="str">
        <f t="shared" si="61"/>
        <v>Sep-20A</v>
      </c>
      <c r="H50" s="45" t="str">
        <f t="shared" si="61"/>
        <v>Oct-20A</v>
      </c>
      <c r="I50" s="45" t="str">
        <f t="shared" si="61"/>
        <v>Nov-20A</v>
      </c>
      <c r="J50" s="45" t="str">
        <f t="shared" si="61"/>
        <v>Dec-20A</v>
      </c>
      <c r="K50" s="45" t="str">
        <f t="shared" si="61"/>
        <v>Jan-21A</v>
      </c>
      <c r="L50" s="45" t="str">
        <f t="shared" si="61"/>
        <v>Feb-21A</v>
      </c>
      <c r="M50" s="45" t="str">
        <f t="shared" si="61"/>
        <v>Mar-21A</v>
      </c>
      <c r="N50" s="45" t="str">
        <f t="shared" si="61"/>
        <v>Apr-21A</v>
      </c>
      <c r="O50" s="45" t="str">
        <f t="shared" si="61"/>
        <v>May-21A</v>
      </c>
      <c r="P50" s="46" t="str">
        <f t="shared" si="61"/>
        <v>Jun-21A</v>
      </c>
      <c r="Q50" s="45" t="str">
        <f t="shared" si="61"/>
        <v>Jul-21F</v>
      </c>
      <c r="R50" s="45" t="str">
        <f t="shared" si="61"/>
        <v>Aug-21F</v>
      </c>
      <c r="S50" s="45" t="str">
        <f t="shared" si="61"/>
        <v>Sep-21F</v>
      </c>
      <c r="T50" s="45" t="str">
        <f t="shared" si="61"/>
        <v>Oct-21F</v>
      </c>
      <c r="U50" s="45" t="str">
        <f t="shared" si="61"/>
        <v>Nov-21F</v>
      </c>
      <c r="V50" s="45" t="str">
        <f t="shared" si="61"/>
        <v>Dec-21F</v>
      </c>
      <c r="W50" s="45" t="str">
        <f t="shared" si="61"/>
        <v>Jan-22F</v>
      </c>
      <c r="X50" s="45" t="str">
        <f t="shared" si="61"/>
        <v>Feb-22F</v>
      </c>
      <c r="Y50" s="45" t="str">
        <f t="shared" si="61"/>
        <v>Mar-22F</v>
      </c>
      <c r="Z50" s="45" t="str">
        <f t="shared" si="61"/>
        <v>Apr-22F</v>
      </c>
      <c r="AA50" s="45" t="str">
        <f t="shared" si="61"/>
        <v>May-22F</v>
      </c>
      <c r="AB50" s="45" t="str">
        <f t="shared" si="61"/>
        <v>Jun-22F</v>
      </c>
      <c r="AC50" s="45" t="str">
        <f t="shared" si="61"/>
        <v>Jul-22F</v>
      </c>
      <c r="AD50" s="45" t="str">
        <f t="shared" si="61"/>
        <v>Aug-22F</v>
      </c>
      <c r="AE50" s="45" t="str">
        <f t="shared" si="61"/>
        <v>Sep-22F</v>
      </c>
      <c r="AF50" s="45" t="str">
        <f t="shared" si="61"/>
        <v>Oct-22F</v>
      </c>
      <c r="AG50" s="45" t="str">
        <f t="shared" si="61"/>
        <v>Nov-22F</v>
      </c>
      <c r="AH50" s="45" t="str">
        <f t="shared" si="61"/>
        <v>Dec-22F</v>
      </c>
      <c r="AJ50" s="45" t="str">
        <f ca="1">AJ$10</f>
        <v>Q3'20A</v>
      </c>
      <c r="AK50" s="45" t="str">
        <f t="shared" ref="AK50:AW50" ca="1" si="62">AK$10</f>
        <v>Q4'20A</v>
      </c>
      <c r="AL50" s="45" t="str">
        <f t="shared" ca="1" si="62"/>
        <v>Q1'21A</v>
      </c>
      <c r="AM50" s="46" t="str">
        <f t="shared" ca="1" si="62"/>
        <v>Q2'21A</v>
      </c>
      <c r="AN50" s="45" t="str">
        <f t="shared" ca="1" si="62"/>
        <v>Q3'21F</v>
      </c>
      <c r="AO50" s="45" t="str">
        <f t="shared" ca="1" si="62"/>
        <v>Q4'21F</v>
      </c>
      <c r="AP50" s="45" t="str">
        <f t="shared" ca="1" si="62"/>
        <v>Q1'22F</v>
      </c>
      <c r="AQ50" s="45" t="str">
        <f t="shared" ca="1" si="62"/>
        <v>Q2'22F</v>
      </c>
      <c r="AR50" s="45" t="str">
        <f t="shared" ca="1" si="62"/>
        <v>Q3'22F</v>
      </c>
      <c r="AS50" s="45" t="str">
        <f t="shared" ca="1" si="62"/>
        <v>Q4'22F</v>
      </c>
      <c r="AU50" s="45" t="str">
        <f t="shared" ca="1" si="62"/>
        <v>FY20</v>
      </c>
      <c r="AV50" s="45" t="str">
        <f t="shared" ca="1" si="62"/>
        <v>FY21</v>
      </c>
      <c r="AW50" s="45" t="str">
        <f t="shared" ca="1" si="62"/>
        <v>FY22</v>
      </c>
      <c r="AZ50" s="11" t="s">
        <v>1</v>
      </c>
      <c r="BA50" s="319" t="str">
        <f>_xlfn.XLOOKUP(BA$49,REF!$H$3:$H$14,REF!$I$3:$I$14)</f>
        <v>Jan</v>
      </c>
      <c r="BB50" s="319" t="str">
        <f>_xlfn.XLOOKUP(BB$49,REF!$H$3:$H$14,REF!$I$3:$I$14)</f>
        <v>Feb</v>
      </c>
      <c r="BC50" s="319" t="str">
        <f>_xlfn.XLOOKUP(BC$49,REF!$H$3:$H$14,REF!$I$3:$I$14)</f>
        <v>Mar</v>
      </c>
      <c r="BD50" s="319" t="str">
        <f>_xlfn.XLOOKUP(BD$49,REF!$H$3:$H$14,REF!$I$3:$I$14)</f>
        <v>Apr</v>
      </c>
      <c r="BE50" s="319" t="str">
        <f>_xlfn.XLOOKUP(BE$49,REF!$H$3:$H$14,REF!$I$3:$I$14)</f>
        <v>May</v>
      </c>
      <c r="BF50" s="319" t="str">
        <f>_xlfn.XLOOKUP(BF$49,REF!$H$3:$H$14,REF!$I$3:$I$14)</f>
        <v>Jun</v>
      </c>
      <c r="BG50" s="319" t="str">
        <f>_xlfn.XLOOKUP(BG$49,REF!$H$3:$H$14,REF!$I$3:$I$14)</f>
        <v>Jul</v>
      </c>
      <c r="BH50" s="319" t="str">
        <f>_xlfn.XLOOKUP(BH$49,REF!$H$3:$H$14,REF!$I$3:$I$14)</f>
        <v>Aug</v>
      </c>
      <c r="BI50" s="319" t="str">
        <f>_xlfn.XLOOKUP(BI$49,REF!$H$3:$H$14,REF!$I$3:$I$14)</f>
        <v>Sep</v>
      </c>
      <c r="BJ50" s="319" t="str">
        <f>_xlfn.XLOOKUP(BJ$49,REF!$H$3:$H$14,REF!$I$3:$I$14)</f>
        <v>Oct</v>
      </c>
      <c r="BK50" s="319" t="str">
        <f>_xlfn.XLOOKUP(BK$49,REF!$H$3:$H$14,REF!$I$3:$I$14)</f>
        <v>Nov</v>
      </c>
      <c r="BL50" s="319" t="str">
        <f>_xlfn.XLOOKUP(BL$49,REF!$H$3:$H$14,REF!$I$3:$I$14)</f>
        <v>Dec</v>
      </c>
    </row>
    <row r="51" spans="2:64" x14ac:dyDescent="0.25">
      <c r="B51" s="58"/>
      <c r="C51" s="1" t="s">
        <v>1</v>
      </c>
      <c r="E51" s="58">
        <f>E59/E$48</f>
        <v>0.56870282230015856</v>
      </c>
      <c r="F51" s="58">
        <f t="shared" ref="F51:P51" si="63">F59/F$48</f>
        <v>0.57460185026731714</v>
      </c>
      <c r="G51" s="58">
        <f t="shared" si="63"/>
        <v>0.53782872662982506</v>
      </c>
      <c r="H51" s="58">
        <f t="shared" si="63"/>
        <v>0.55227462880468892</v>
      </c>
      <c r="I51" s="58">
        <f t="shared" si="63"/>
        <v>0.4884710103596227</v>
      </c>
      <c r="J51" s="58">
        <f t="shared" si="63"/>
        <v>0.48765369515059492</v>
      </c>
      <c r="K51" s="58">
        <f t="shared" si="63"/>
        <v>0.55426559679814913</v>
      </c>
      <c r="L51" s="58">
        <f t="shared" si="63"/>
        <v>0.58473849284178181</v>
      </c>
      <c r="M51" s="58">
        <f t="shared" si="63"/>
        <v>0.56630287251207811</v>
      </c>
      <c r="N51" s="58">
        <f t="shared" si="63"/>
        <v>0.48666645465207037</v>
      </c>
      <c r="O51" s="58">
        <f t="shared" si="63"/>
        <v>0.47920063804112484</v>
      </c>
      <c r="P51" s="60">
        <f t="shared" si="63"/>
        <v>0.47199608552167238</v>
      </c>
      <c r="Q51" s="57">
        <f t="shared" ref="Q51:Z55" si="64">E51</f>
        <v>0.56870282230015856</v>
      </c>
      <c r="R51" s="57">
        <f t="shared" si="64"/>
        <v>0.57460185026731714</v>
      </c>
      <c r="S51" s="57">
        <f t="shared" si="64"/>
        <v>0.53782872662982506</v>
      </c>
      <c r="T51" s="57">
        <f t="shared" si="64"/>
        <v>0.55227462880468892</v>
      </c>
      <c r="U51" s="57">
        <f t="shared" si="64"/>
        <v>0.4884710103596227</v>
      </c>
      <c r="V51" s="57">
        <f t="shared" si="64"/>
        <v>0.48765369515059492</v>
      </c>
      <c r="W51" s="57">
        <f t="shared" si="64"/>
        <v>0.55426559679814913</v>
      </c>
      <c r="X51" s="57">
        <f t="shared" si="64"/>
        <v>0.58473849284178181</v>
      </c>
      <c r="Y51" s="57">
        <f t="shared" si="64"/>
        <v>0.56630287251207811</v>
      </c>
      <c r="Z51" s="57">
        <f t="shared" si="64"/>
        <v>0.48666645465207037</v>
      </c>
      <c r="AA51" s="57">
        <f t="shared" ref="AA51:AH55" si="65">O51</f>
        <v>0.47920063804112484</v>
      </c>
      <c r="AB51" s="57">
        <f t="shared" si="65"/>
        <v>0.47199608552167238</v>
      </c>
      <c r="AC51" s="57">
        <f t="shared" si="65"/>
        <v>0.56870282230015856</v>
      </c>
      <c r="AD51" s="57">
        <f t="shared" si="65"/>
        <v>0.57460185026731714</v>
      </c>
      <c r="AE51" s="57">
        <f t="shared" si="65"/>
        <v>0.53782872662982506</v>
      </c>
      <c r="AF51" s="57">
        <f t="shared" si="65"/>
        <v>0.55227462880468892</v>
      </c>
      <c r="AG51" s="57">
        <f t="shared" si="65"/>
        <v>0.4884710103596227</v>
      </c>
      <c r="AH51" s="57">
        <f t="shared" si="65"/>
        <v>0.48765369515059492</v>
      </c>
      <c r="AJ51" s="323">
        <f t="shared" ref="AJ51:AW54" ca="1" si="66">AJ59/AJ$48</f>
        <v>0.56161737910563669</v>
      </c>
      <c r="AK51" s="323">
        <f t="shared" ca="1" si="66"/>
        <v>0.5098788090687969</v>
      </c>
      <c r="AL51" s="323">
        <f t="shared" ca="1" si="66"/>
        <v>0.56802569815511184</v>
      </c>
      <c r="AM51" s="330">
        <f t="shared" ca="1" si="66"/>
        <v>0.47921310029455444</v>
      </c>
      <c r="AN51" s="323">
        <f t="shared" ca="1" si="66"/>
        <v>0.56161642607874673</v>
      </c>
      <c r="AO51" s="323">
        <f t="shared" ca="1" si="66"/>
        <v>0.50987918208097438</v>
      </c>
      <c r="AP51" s="323">
        <f t="shared" ca="1" si="66"/>
        <v>0.5680254534114636</v>
      </c>
      <c r="AQ51" s="323">
        <f t="shared" ca="1" si="66"/>
        <v>0.47921326171560569</v>
      </c>
      <c r="AR51" s="323">
        <f t="shared" ca="1" si="66"/>
        <v>0.56161544690643161</v>
      </c>
      <c r="AS51" s="323">
        <f t="shared" ca="1" si="66"/>
        <v>0.50987954097156318</v>
      </c>
      <c r="AT51" s="323"/>
      <c r="AU51" s="323">
        <f t="shared" ca="1" si="66"/>
        <v>0.53662324101296155</v>
      </c>
      <c r="AV51" s="323">
        <f t="shared" ca="1" si="66"/>
        <v>0.52905325679729698</v>
      </c>
      <c r="AW51" s="323">
        <f t="shared" ca="1" si="66"/>
        <v>0.52905219617411003</v>
      </c>
      <c r="AZ51">
        <v>2020</v>
      </c>
      <c r="BA51" s="365"/>
      <c r="BB51" s="365"/>
      <c r="BC51" s="365"/>
      <c r="BD51" s="365"/>
      <c r="BE51" s="365"/>
      <c r="BF51" s="365"/>
      <c r="BG51" s="58" cm="1">
        <f t="array" ref="BG51">INDEX($E$51:$AH$54,MATCH($AZ$50,$C$51:$C$54,0),MATCH(BG$49&amp;$AZ51,$E$7:$AH$7&amp;$E$5:$AH$5,0))</f>
        <v>0.56870282230015856</v>
      </c>
      <c r="BH51" s="58" cm="1">
        <f t="array" ref="BH51">INDEX($E$51:$AH$54,MATCH($AZ$50,$C$51:$C$54,0),MATCH(BH$49&amp;$AZ51,$E$7:$AH$7&amp;$E$5:$AH$5,0))</f>
        <v>0.57460185026731714</v>
      </c>
      <c r="BI51" s="58" cm="1">
        <f t="array" ref="BI51">INDEX($E$51:$AH$54,MATCH($AZ$50,$C$51:$C$54,0),MATCH(BI$49&amp;$AZ51,$E$7:$AH$7&amp;$E$5:$AH$5,0))</f>
        <v>0.53782872662982506</v>
      </c>
      <c r="BJ51" s="58" cm="1">
        <f t="array" ref="BJ51">INDEX($E$51:$AH$54,MATCH($AZ$50,$C$51:$C$54,0),MATCH(BJ$49&amp;$AZ51,$E$7:$AH$7&amp;$E$5:$AH$5,0))</f>
        <v>0.55227462880468892</v>
      </c>
      <c r="BK51" s="58" cm="1">
        <f t="array" ref="BK51">INDEX($E$51:$AH$54,MATCH($AZ$50,$C$51:$C$54,0),MATCH(BK$49&amp;$AZ51,$E$7:$AH$7&amp;$E$5:$AH$5,0))</f>
        <v>0.4884710103596227</v>
      </c>
      <c r="BL51" s="58" cm="1">
        <f t="array" ref="BL51">INDEX($E$51:$AH$54,MATCH($AZ$50,$C$51:$C$54,0),MATCH(BL$49&amp;$AZ51,$E$7:$AH$7&amp;$E$5:$AH$5,0))</f>
        <v>0.48765369515059492</v>
      </c>
    </row>
    <row r="52" spans="2:64" x14ac:dyDescent="0.25">
      <c r="B52" s="58"/>
      <c r="C52" s="1" t="s">
        <v>2</v>
      </c>
      <c r="E52" s="58">
        <f t="shared" ref="E52:E54" si="67">E60/E$48</f>
        <v>0.15391084317805881</v>
      </c>
      <c r="F52" s="58">
        <f t="shared" ref="F52:P52" si="68">F60/F$48</f>
        <v>0.15267992021388713</v>
      </c>
      <c r="G52" s="58">
        <f t="shared" si="68"/>
        <v>0.1649625993795289</v>
      </c>
      <c r="H52" s="58">
        <f t="shared" si="68"/>
        <v>0.16142198436205624</v>
      </c>
      <c r="I52" s="58">
        <f t="shared" si="68"/>
        <v>0.1883811711976188</v>
      </c>
      <c r="J52" s="58">
        <f t="shared" si="68"/>
        <v>0.18298565313869017</v>
      </c>
      <c r="K52" s="58">
        <f t="shared" si="68"/>
        <v>0.15652552257405292</v>
      </c>
      <c r="L52" s="58">
        <f t="shared" si="68"/>
        <v>0.14674151701315197</v>
      </c>
      <c r="M52" s="58">
        <f t="shared" si="68"/>
        <v>0.1548746101466616</v>
      </c>
      <c r="N52" s="58">
        <f t="shared" si="68"/>
        <v>0.18966086975583546</v>
      </c>
      <c r="O52" s="58">
        <f t="shared" si="68"/>
        <v>0.18838950396774651</v>
      </c>
      <c r="P52" s="60">
        <f t="shared" si="68"/>
        <v>0.19160793471772652</v>
      </c>
      <c r="Q52" s="57">
        <f t="shared" si="64"/>
        <v>0.15391084317805881</v>
      </c>
      <c r="R52" s="57">
        <f t="shared" si="64"/>
        <v>0.15267992021388713</v>
      </c>
      <c r="S52" s="57">
        <f t="shared" si="64"/>
        <v>0.1649625993795289</v>
      </c>
      <c r="T52" s="57">
        <f t="shared" si="64"/>
        <v>0.16142198436205624</v>
      </c>
      <c r="U52" s="57">
        <f t="shared" si="64"/>
        <v>0.1883811711976188</v>
      </c>
      <c r="V52" s="57">
        <f t="shared" si="64"/>
        <v>0.18298565313869017</v>
      </c>
      <c r="W52" s="57">
        <f t="shared" si="64"/>
        <v>0.15652552257405292</v>
      </c>
      <c r="X52" s="57">
        <f t="shared" si="64"/>
        <v>0.14674151701315197</v>
      </c>
      <c r="Y52" s="57">
        <f t="shared" si="64"/>
        <v>0.1548746101466616</v>
      </c>
      <c r="Z52" s="57">
        <f t="shared" si="64"/>
        <v>0.18966086975583546</v>
      </c>
      <c r="AA52" s="57">
        <f t="shared" si="65"/>
        <v>0.18838950396774651</v>
      </c>
      <c r="AB52" s="57">
        <f t="shared" si="65"/>
        <v>0.19160793471772652</v>
      </c>
      <c r="AC52" s="57">
        <f t="shared" si="65"/>
        <v>0.15391084317805881</v>
      </c>
      <c r="AD52" s="57">
        <f t="shared" si="65"/>
        <v>0.15267992021388713</v>
      </c>
      <c r="AE52" s="57">
        <f t="shared" si="65"/>
        <v>0.1649625993795289</v>
      </c>
      <c r="AF52" s="57">
        <f t="shared" si="65"/>
        <v>0.16142198436205624</v>
      </c>
      <c r="AG52" s="57">
        <f t="shared" si="65"/>
        <v>0.1883811711976188</v>
      </c>
      <c r="AH52" s="57">
        <f t="shared" si="65"/>
        <v>0.18298565313869017</v>
      </c>
      <c r="AJ52" s="323">
        <f t="shared" ca="1" si="66"/>
        <v>0.15674306465961632</v>
      </c>
      <c r="AK52" s="323">
        <f t="shared" ca="1" si="66"/>
        <v>0.17731260455836925</v>
      </c>
      <c r="AL52" s="323">
        <f t="shared" ca="1" si="66"/>
        <v>0.1527667923029366</v>
      </c>
      <c r="AM52" s="330">
        <f t="shared" ca="1" si="66"/>
        <v>0.18992155025717353</v>
      </c>
      <c r="AN52" s="323">
        <f t="shared" ca="1" si="66"/>
        <v>0.15674342496224813</v>
      </c>
      <c r="AO52" s="323">
        <f t="shared" ca="1" si="66"/>
        <v>0.17731260173363528</v>
      </c>
      <c r="AP52" s="323">
        <f t="shared" ca="1" si="66"/>
        <v>0.15276684233724541</v>
      </c>
      <c r="AQ52" s="323">
        <f t="shared" ca="1" si="66"/>
        <v>0.18992160223040161</v>
      </c>
      <c r="AR52" s="323">
        <f t="shared" ca="1" si="66"/>
        <v>0.15674379459336771</v>
      </c>
      <c r="AS52" s="323">
        <f t="shared" ca="1" si="66"/>
        <v>0.17731260327075635</v>
      </c>
      <c r="AT52" s="323"/>
      <c r="AU52" s="323">
        <f t="shared" ca="1" si="66"/>
        <v>0.16667990520944492</v>
      </c>
      <c r="AV52" s="323">
        <f t="shared" ca="1" si="66"/>
        <v>0.16945458222731236</v>
      </c>
      <c r="AW52" s="323">
        <f t="shared" ca="1" si="66"/>
        <v>0.16945507476989854</v>
      </c>
      <c r="AZ52">
        <v>2021</v>
      </c>
      <c r="BA52" s="58" cm="1">
        <f t="array" ref="BA52">INDEX($E$51:$AH$54,MATCH($AZ$50,$C$51:$C$54,0),MATCH(BA$49&amp;$AZ52,$E$7:$AH$7&amp;$E$5:$AH$5,0))</f>
        <v>0.55426559679814913</v>
      </c>
      <c r="BB52" s="58" cm="1">
        <f t="array" ref="BB52">INDEX($E$51:$AH$54,MATCH($AZ$50,$C$51:$C$54,0),MATCH(BB$49&amp;$AZ52,$E$7:$AH$7&amp;$E$5:$AH$5,0))</f>
        <v>0.58473849284178181</v>
      </c>
      <c r="BC52" s="58" cm="1">
        <f t="array" ref="BC52">INDEX($E$51:$AH$54,MATCH($AZ$50,$C$51:$C$54,0),MATCH(BC$49&amp;$AZ52,$E$7:$AH$7&amp;$E$5:$AH$5,0))</f>
        <v>0.56630287251207811</v>
      </c>
      <c r="BD52" s="58" cm="1">
        <f t="array" ref="BD52">INDEX($E$51:$AH$54,MATCH($AZ$50,$C$51:$C$54,0),MATCH(BD$49&amp;$AZ52,$E$7:$AH$7&amp;$E$5:$AH$5,0))</f>
        <v>0.48666645465207037</v>
      </c>
      <c r="BE52" s="58" cm="1">
        <f t="array" ref="BE52">INDEX($E$51:$AH$54,MATCH($AZ$50,$C$51:$C$54,0),MATCH(BE$49&amp;$AZ52,$E$7:$AH$7&amp;$E$5:$AH$5,0))</f>
        <v>0.47920063804112484</v>
      </c>
      <c r="BF52" s="58" cm="1">
        <f t="array" ref="BF52">INDEX($E$51:$AH$54,MATCH($AZ$50,$C$51:$C$54,0),MATCH(BF$49&amp;$AZ52,$E$7:$AH$7&amp;$E$5:$AH$5,0))</f>
        <v>0.47199608552167238</v>
      </c>
      <c r="BG52" s="58" cm="1">
        <f t="array" ref="BG52">INDEX($E$51:$AH$54,MATCH($AZ$50,$C$51:$C$54,0),MATCH(BG$49&amp;$AZ52,$E$7:$AH$7&amp;$E$5:$AH$5,0))</f>
        <v>0.56870282230015856</v>
      </c>
      <c r="BH52" s="58" cm="1">
        <f t="array" ref="BH52">INDEX($E$51:$AH$54,MATCH($AZ$50,$C$51:$C$54,0),MATCH(BH$49&amp;$AZ52,$E$7:$AH$7&amp;$E$5:$AH$5,0))</f>
        <v>0.57460185026731714</v>
      </c>
      <c r="BI52" s="58" cm="1">
        <f t="array" ref="BI52">INDEX($E$51:$AH$54,MATCH($AZ$50,$C$51:$C$54,0),MATCH(BI$49&amp;$AZ52,$E$7:$AH$7&amp;$E$5:$AH$5,0))</f>
        <v>0.53782872662982506</v>
      </c>
      <c r="BJ52" s="58" cm="1">
        <f t="array" ref="BJ52">INDEX($E$51:$AH$54,MATCH($AZ$50,$C$51:$C$54,0),MATCH(BJ$49&amp;$AZ52,$E$7:$AH$7&amp;$E$5:$AH$5,0))</f>
        <v>0.55227462880468892</v>
      </c>
      <c r="BK52" s="58" cm="1">
        <f t="array" ref="BK52">INDEX($E$51:$AH$54,MATCH($AZ$50,$C$51:$C$54,0),MATCH(BK$49&amp;$AZ52,$E$7:$AH$7&amp;$E$5:$AH$5,0))</f>
        <v>0.4884710103596227</v>
      </c>
      <c r="BL52" s="58" cm="1">
        <f t="array" ref="BL52">INDEX($E$51:$AH$54,MATCH($AZ$50,$C$51:$C$54,0),MATCH(BL$49&amp;$AZ52,$E$7:$AH$7&amp;$E$5:$AH$5,0))</f>
        <v>0.48765369515059492</v>
      </c>
    </row>
    <row r="53" spans="2:64" x14ac:dyDescent="0.25">
      <c r="B53" s="58"/>
      <c r="C53" s="1" t="s">
        <v>3</v>
      </c>
      <c r="E53" s="58">
        <f t="shared" si="67"/>
        <v>0.19408112189608584</v>
      </c>
      <c r="F53" s="58">
        <f t="shared" ref="F53:P53" si="69">F61/F$48</f>
        <v>0.1925289316480101</v>
      </c>
      <c r="G53" s="58">
        <f t="shared" si="69"/>
        <v>0.20801735405629743</v>
      </c>
      <c r="H53" s="58">
        <f t="shared" si="69"/>
        <v>0.20355264890229963</v>
      </c>
      <c r="I53" s="58">
        <f t="shared" si="69"/>
        <v>0.2375481044427451</v>
      </c>
      <c r="J53" s="58">
        <f t="shared" si="69"/>
        <v>0.23851604499674697</v>
      </c>
      <c r="K53" s="58">
        <f t="shared" si="69"/>
        <v>0.19737822494675289</v>
      </c>
      <c r="L53" s="58">
        <f t="shared" si="69"/>
        <v>0.18504062262655521</v>
      </c>
      <c r="M53" s="58">
        <f t="shared" si="69"/>
        <v>0.19529642921719789</v>
      </c>
      <c r="N53" s="58">
        <f t="shared" si="69"/>
        <v>0.23916180057187458</v>
      </c>
      <c r="O53" s="58">
        <f t="shared" si="69"/>
        <v>0.2375586120414398</v>
      </c>
      <c r="P53" s="60">
        <f t="shared" si="69"/>
        <v>0.24161704377895132</v>
      </c>
      <c r="Q53" s="57">
        <f t="shared" si="64"/>
        <v>0.19408112189608584</v>
      </c>
      <c r="R53" s="57">
        <f t="shared" si="64"/>
        <v>0.1925289316480101</v>
      </c>
      <c r="S53" s="57">
        <f t="shared" si="64"/>
        <v>0.20801735405629743</v>
      </c>
      <c r="T53" s="57">
        <f t="shared" si="64"/>
        <v>0.20355264890229963</v>
      </c>
      <c r="U53" s="57">
        <f t="shared" si="64"/>
        <v>0.2375481044427451</v>
      </c>
      <c r="V53" s="57">
        <f t="shared" si="64"/>
        <v>0.23851604499674697</v>
      </c>
      <c r="W53" s="57">
        <f t="shared" si="64"/>
        <v>0.19737822494675289</v>
      </c>
      <c r="X53" s="57">
        <f t="shared" si="64"/>
        <v>0.18504062262655521</v>
      </c>
      <c r="Y53" s="57">
        <f t="shared" si="64"/>
        <v>0.19529642921719789</v>
      </c>
      <c r="Z53" s="57">
        <f t="shared" si="64"/>
        <v>0.23916180057187458</v>
      </c>
      <c r="AA53" s="57">
        <f t="shared" si="65"/>
        <v>0.2375586120414398</v>
      </c>
      <c r="AB53" s="57">
        <f t="shared" si="65"/>
        <v>0.24161704377895132</v>
      </c>
      <c r="AC53" s="57">
        <f t="shared" si="65"/>
        <v>0.19408112189608584</v>
      </c>
      <c r="AD53" s="57">
        <f t="shared" si="65"/>
        <v>0.1925289316480101</v>
      </c>
      <c r="AE53" s="57">
        <f t="shared" si="65"/>
        <v>0.20801735405629743</v>
      </c>
      <c r="AF53" s="57">
        <f t="shared" si="65"/>
        <v>0.20355264890229963</v>
      </c>
      <c r="AG53" s="57">
        <f t="shared" si="65"/>
        <v>0.2375481044427451</v>
      </c>
      <c r="AH53" s="57">
        <f t="shared" si="65"/>
        <v>0.23851604499674697</v>
      </c>
      <c r="AJ53" s="323">
        <f t="shared" ca="1" si="66"/>
        <v>0.19765254487869502</v>
      </c>
      <c r="AK53" s="323">
        <f t="shared" ca="1" si="66"/>
        <v>0.22632936869007178</v>
      </c>
      <c r="AL53" s="323">
        <f t="shared" ca="1" si="66"/>
        <v>0.19263847709754461</v>
      </c>
      <c r="AM53" s="330">
        <f t="shared" ca="1" si="66"/>
        <v>0.23949051791960294</v>
      </c>
      <c r="AN53" s="323">
        <f t="shared" ca="1" si="66"/>
        <v>0.19765299921925716</v>
      </c>
      <c r="AO53" s="323">
        <f t="shared" ca="1" si="66"/>
        <v>0.22632915558767042</v>
      </c>
      <c r="AP53" s="323">
        <f t="shared" ca="1" si="66"/>
        <v>0.19263854019066134</v>
      </c>
      <c r="AQ53" s="323">
        <f t="shared" ca="1" si="66"/>
        <v>0.23949058345769109</v>
      </c>
      <c r="AR53" s="323">
        <f t="shared" ca="1" si="66"/>
        <v>0.19765346532301495</v>
      </c>
      <c r="AS53" s="323">
        <f t="shared" ca="1" si="66"/>
        <v>0.22632895015831092</v>
      </c>
      <c r="AT53" s="323"/>
      <c r="AU53" s="323">
        <f t="shared" ca="1" si="66"/>
        <v>0.21150589439899498</v>
      </c>
      <c r="AV53" s="323">
        <f t="shared" ca="1" si="66"/>
        <v>0.21433599616436017</v>
      </c>
      <c r="AW53" s="323">
        <f t="shared" ca="1" si="66"/>
        <v>0.2143367224060222</v>
      </c>
      <c r="AZ53">
        <v>2022</v>
      </c>
      <c r="BA53" s="58" cm="1">
        <f t="array" ref="BA53">INDEX($E$51:$AH$54,MATCH($AZ$50,$C$51:$C$54,0),MATCH(BA$49&amp;$AZ53,$E$7:$AH$7&amp;$E$5:$AH$5,0))</f>
        <v>0.55426559679814913</v>
      </c>
      <c r="BB53" s="58" cm="1">
        <f t="array" ref="BB53">INDEX($E$51:$AH$54,MATCH($AZ$50,$C$51:$C$54,0),MATCH(BB$49&amp;$AZ53,$E$7:$AH$7&amp;$E$5:$AH$5,0))</f>
        <v>0.58473849284178181</v>
      </c>
      <c r="BC53" s="58" cm="1">
        <f t="array" ref="BC53">INDEX($E$51:$AH$54,MATCH($AZ$50,$C$51:$C$54,0),MATCH(BC$49&amp;$AZ53,$E$7:$AH$7&amp;$E$5:$AH$5,0))</f>
        <v>0.56630287251207811</v>
      </c>
      <c r="BD53" s="58" cm="1">
        <f t="array" ref="BD53">INDEX($E$51:$AH$54,MATCH($AZ$50,$C$51:$C$54,0),MATCH(BD$49&amp;$AZ53,$E$7:$AH$7&amp;$E$5:$AH$5,0))</f>
        <v>0.48666645465207037</v>
      </c>
      <c r="BE53" s="58" cm="1">
        <f t="array" ref="BE53">INDEX($E$51:$AH$54,MATCH($AZ$50,$C$51:$C$54,0),MATCH(BE$49&amp;$AZ53,$E$7:$AH$7&amp;$E$5:$AH$5,0))</f>
        <v>0.47920063804112484</v>
      </c>
      <c r="BF53" s="58" cm="1">
        <f t="array" ref="BF53">INDEX($E$51:$AH$54,MATCH($AZ$50,$C$51:$C$54,0),MATCH(BF$49&amp;$AZ53,$E$7:$AH$7&amp;$E$5:$AH$5,0))</f>
        <v>0.47199608552167238</v>
      </c>
      <c r="BG53" s="58" cm="1">
        <f t="array" ref="BG53">INDEX($E$51:$AH$54,MATCH($AZ$50,$C$51:$C$54,0),MATCH(BG$49&amp;$AZ53,$E$7:$AH$7&amp;$E$5:$AH$5,0))</f>
        <v>0.56870282230015856</v>
      </c>
      <c r="BH53" s="58" cm="1">
        <f t="array" ref="BH53">INDEX($E$51:$AH$54,MATCH($AZ$50,$C$51:$C$54,0),MATCH(BH$49&amp;$AZ53,$E$7:$AH$7&amp;$E$5:$AH$5,0))</f>
        <v>0.57460185026731714</v>
      </c>
      <c r="BI53" s="58" cm="1">
        <f t="array" ref="BI53">INDEX($E$51:$AH$54,MATCH($AZ$50,$C$51:$C$54,0),MATCH(BI$49&amp;$AZ53,$E$7:$AH$7&amp;$E$5:$AH$5,0))</f>
        <v>0.53782872662982506</v>
      </c>
      <c r="BJ53" s="58" cm="1">
        <f t="array" ref="BJ53">INDEX($E$51:$AH$54,MATCH($AZ$50,$C$51:$C$54,0),MATCH(BJ$49&amp;$AZ53,$E$7:$AH$7&amp;$E$5:$AH$5,0))</f>
        <v>0.55227462880468892</v>
      </c>
      <c r="BK53" s="58" cm="1">
        <f t="array" ref="BK53">INDEX($E$51:$AH$54,MATCH($AZ$50,$C$51:$C$54,0),MATCH(BK$49&amp;$AZ53,$E$7:$AH$7&amp;$E$5:$AH$5,0))</f>
        <v>0.4884710103596227</v>
      </c>
      <c r="BL53" s="58" cm="1">
        <f t="array" ref="BL53">INDEX($E$51:$AH$54,MATCH($AZ$50,$C$51:$C$54,0),MATCH(BL$49&amp;$AZ53,$E$7:$AH$7&amp;$E$5:$AH$5,0))</f>
        <v>0.48765369515059492</v>
      </c>
    </row>
    <row r="54" spans="2:64" x14ac:dyDescent="0.25">
      <c r="B54" s="58"/>
      <c r="C54" s="1" t="s">
        <v>4</v>
      </c>
      <c r="E54" s="58">
        <f t="shared" si="67"/>
        <v>2.7081086776198027E-2</v>
      </c>
      <c r="F54" s="58">
        <f t="shared" ref="F54:P54" si="70">F62/F$48</f>
        <v>2.6864502090420021E-2</v>
      </c>
      <c r="G54" s="58">
        <f t="shared" si="70"/>
        <v>2.902567731018103E-2</v>
      </c>
      <c r="H54" s="58">
        <f t="shared" si="70"/>
        <v>2.8402695195669715E-2</v>
      </c>
      <c r="I54" s="58">
        <f t="shared" si="70"/>
        <v>3.3146247131545827E-2</v>
      </c>
      <c r="J54" s="58">
        <f t="shared" si="70"/>
        <v>3.5020030723077668E-2</v>
      </c>
      <c r="K54" s="58">
        <f t="shared" si="70"/>
        <v>2.7541147666988775E-2</v>
      </c>
      <c r="L54" s="58">
        <f t="shared" si="70"/>
        <v>2.5819621761844914E-2</v>
      </c>
      <c r="M54" s="58">
        <f t="shared" si="70"/>
        <v>2.7250664541934588E-2</v>
      </c>
      <c r="N54" s="58">
        <f t="shared" si="70"/>
        <v>3.3371414033284828E-2</v>
      </c>
      <c r="O54" s="58">
        <f t="shared" si="70"/>
        <v>3.3147713308107882E-2</v>
      </c>
      <c r="P54" s="60">
        <f t="shared" si="70"/>
        <v>3.371400610869088E-2</v>
      </c>
      <c r="Q54" s="57">
        <f t="shared" si="64"/>
        <v>2.7081086776198027E-2</v>
      </c>
      <c r="R54" s="57">
        <f t="shared" si="64"/>
        <v>2.6864502090420021E-2</v>
      </c>
      <c r="S54" s="57">
        <f t="shared" si="64"/>
        <v>2.902567731018103E-2</v>
      </c>
      <c r="T54" s="57">
        <f t="shared" si="64"/>
        <v>2.8402695195669715E-2</v>
      </c>
      <c r="U54" s="57">
        <f t="shared" si="64"/>
        <v>3.3146247131545827E-2</v>
      </c>
      <c r="V54" s="57">
        <f t="shared" si="64"/>
        <v>3.5020030723077668E-2</v>
      </c>
      <c r="W54" s="57">
        <f t="shared" si="64"/>
        <v>2.7541147666988775E-2</v>
      </c>
      <c r="X54" s="57">
        <f t="shared" si="64"/>
        <v>2.5819621761844914E-2</v>
      </c>
      <c r="Y54" s="57">
        <f t="shared" si="64"/>
        <v>2.7250664541934588E-2</v>
      </c>
      <c r="Z54" s="57">
        <f t="shared" si="64"/>
        <v>3.3371414033284828E-2</v>
      </c>
      <c r="AA54" s="57">
        <f t="shared" si="65"/>
        <v>3.3147713308107882E-2</v>
      </c>
      <c r="AB54" s="57">
        <f t="shared" si="65"/>
        <v>3.371400610869088E-2</v>
      </c>
      <c r="AC54" s="57">
        <f t="shared" si="65"/>
        <v>2.7081086776198027E-2</v>
      </c>
      <c r="AD54" s="57">
        <f t="shared" si="65"/>
        <v>2.6864502090420021E-2</v>
      </c>
      <c r="AE54" s="57">
        <f t="shared" si="65"/>
        <v>2.902567731018103E-2</v>
      </c>
      <c r="AF54" s="57">
        <f t="shared" si="65"/>
        <v>2.8402695195669715E-2</v>
      </c>
      <c r="AG54" s="57">
        <f t="shared" si="65"/>
        <v>3.3146247131545827E-2</v>
      </c>
      <c r="AH54" s="57">
        <f t="shared" si="65"/>
        <v>3.5020030723077668E-2</v>
      </c>
      <c r="AJ54" s="323">
        <f t="shared" ca="1" si="66"/>
        <v>2.7579424866794655E-2</v>
      </c>
      <c r="AK54" s="323">
        <f t="shared" ca="1" si="66"/>
        <v>3.2193558142209207E-2</v>
      </c>
      <c r="AL54" s="323">
        <f t="shared" ca="1" si="66"/>
        <v>2.6879787501982971E-2</v>
      </c>
      <c r="AM54" s="330">
        <f t="shared" ca="1" si="66"/>
        <v>3.3417281570177156E-2</v>
      </c>
      <c r="AN54" s="323">
        <f t="shared" ca="1" si="66"/>
        <v>2.7579488263152162E-2</v>
      </c>
      <c r="AO54" s="323">
        <f t="shared" ca="1" si="66"/>
        <v>3.2193481527436542E-2</v>
      </c>
      <c r="AP54" s="323">
        <f t="shared" ca="1" si="66"/>
        <v>2.6879796305673675E-2</v>
      </c>
      <c r="AQ54" s="323">
        <f t="shared" ca="1" si="66"/>
        <v>3.3417290715026672E-2</v>
      </c>
      <c r="AR54" s="323">
        <f t="shared" ca="1" si="66"/>
        <v>2.7579553300885809E-2</v>
      </c>
      <c r="AS54" s="323">
        <f t="shared" ca="1" si="66"/>
        <v>3.2193406469421884E-2</v>
      </c>
      <c r="AT54" s="323"/>
      <c r="AU54" s="323">
        <f t="shared" ca="1" si="66"/>
        <v>2.9808444419936568E-2</v>
      </c>
      <c r="AV54" s="323">
        <f t="shared" ca="1" si="66"/>
        <v>3.0053724104234222E-2</v>
      </c>
      <c r="AW54" s="323">
        <f t="shared" ca="1" si="66"/>
        <v>3.0053848964333378E-2</v>
      </c>
    </row>
    <row r="55" spans="2:64" x14ac:dyDescent="0.25">
      <c r="B55" s="58"/>
      <c r="C55" s="23" t="s">
        <v>133</v>
      </c>
      <c r="D55" s="27"/>
      <c r="E55" s="47">
        <f>1-(E63/E48)</f>
        <v>5.6224125849498874E-2</v>
      </c>
      <c r="F55" s="47">
        <f t="shared" ref="F55:P55" si="71">1-(F63/F48)</f>
        <v>5.3324795780365641E-2</v>
      </c>
      <c r="G55" s="47">
        <f t="shared" si="71"/>
        <v>6.0165642624167681E-2</v>
      </c>
      <c r="H55" s="47">
        <f t="shared" si="71"/>
        <v>5.4348042735285595E-2</v>
      </c>
      <c r="I55" s="47">
        <f t="shared" si="71"/>
        <v>5.2453466868467635E-2</v>
      </c>
      <c r="J55" s="47">
        <f t="shared" si="71"/>
        <v>5.5824575990890302E-2</v>
      </c>
      <c r="K55" s="47">
        <f t="shared" si="71"/>
        <v>6.4289508014056307E-2</v>
      </c>
      <c r="L55" s="47">
        <f t="shared" si="71"/>
        <v>5.7659745756666103E-2</v>
      </c>
      <c r="M55" s="47">
        <f t="shared" si="71"/>
        <v>5.6275423582127782E-2</v>
      </c>
      <c r="N55" s="47">
        <f t="shared" si="71"/>
        <v>5.1139460986934782E-2</v>
      </c>
      <c r="O55" s="47">
        <f t="shared" si="71"/>
        <v>6.1703532641580905E-2</v>
      </c>
      <c r="P55" s="92">
        <f t="shared" si="71"/>
        <v>6.1064929872958973E-2</v>
      </c>
      <c r="Q55" s="93">
        <f t="shared" si="64"/>
        <v>5.6224125849498874E-2</v>
      </c>
      <c r="R55" s="93">
        <f t="shared" si="64"/>
        <v>5.3324795780365641E-2</v>
      </c>
      <c r="S55" s="93">
        <f t="shared" si="64"/>
        <v>6.0165642624167681E-2</v>
      </c>
      <c r="T55" s="93">
        <f t="shared" si="64"/>
        <v>5.4348042735285595E-2</v>
      </c>
      <c r="U55" s="93">
        <f t="shared" si="64"/>
        <v>5.2453466868467635E-2</v>
      </c>
      <c r="V55" s="93">
        <f t="shared" si="64"/>
        <v>5.5824575990890302E-2</v>
      </c>
      <c r="W55" s="93">
        <f t="shared" si="64"/>
        <v>6.4289508014056307E-2</v>
      </c>
      <c r="X55" s="93">
        <f t="shared" si="64"/>
        <v>5.7659745756666103E-2</v>
      </c>
      <c r="Y55" s="93">
        <f t="shared" si="64"/>
        <v>5.6275423582127782E-2</v>
      </c>
      <c r="Z55" s="93">
        <f t="shared" si="64"/>
        <v>5.1139460986934782E-2</v>
      </c>
      <c r="AA55" s="93">
        <f t="shared" si="65"/>
        <v>6.1703532641580905E-2</v>
      </c>
      <c r="AB55" s="93">
        <f t="shared" si="65"/>
        <v>6.1064929872958973E-2</v>
      </c>
      <c r="AC55" s="93">
        <f t="shared" si="65"/>
        <v>5.6224125849498874E-2</v>
      </c>
      <c r="AD55" s="93">
        <f t="shared" si="65"/>
        <v>5.3324795780365641E-2</v>
      </c>
      <c r="AE55" s="93">
        <f t="shared" si="65"/>
        <v>6.0165642624167681E-2</v>
      </c>
      <c r="AF55" s="93">
        <f t="shared" si="65"/>
        <v>5.4348042735285595E-2</v>
      </c>
      <c r="AG55" s="93">
        <f t="shared" si="65"/>
        <v>5.2453466868467635E-2</v>
      </c>
      <c r="AH55" s="93">
        <f t="shared" si="65"/>
        <v>5.5824575990890302E-2</v>
      </c>
      <c r="AJ55" s="323">
        <f t="shared" ref="AJ55:AW55" ca="1" si="72">1-(AJ63/AJ48)</f>
        <v>5.6407586489257366E-2</v>
      </c>
      <c r="AK55" s="323">
        <f t="shared" ca="1" si="72"/>
        <v>5.4285659540552755E-2</v>
      </c>
      <c r="AL55" s="323">
        <f t="shared" ca="1" si="72"/>
        <v>5.9689244942424002E-2</v>
      </c>
      <c r="AM55" s="330">
        <f t="shared" ca="1" si="72"/>
        <v>5.7957549958492005E-2</v>
      </c>
      <c r="AN55" s="323">
        <f t="shared" ca="1" si="72"/>
        <v>5.6407661476595927E-2</v>
      </c>
      <c r="AO55" s="323">
        <f t="shared" ca="1" si="72"/>
        <v>5.4285579070283418E-2</v>
      </c>
      <c r="AP55" s="323">
        <f t="shared" ca="1" si="72"/>
        <v>5.9689367754955924E-2</v>
      </c>
      <c r="AQ55" s="323">
        <f t="shared" ca="1" si="72"/>
        <v>5.7957261881275035E-2</v>
      </c>
      <c r="AR55" s="323">
        <f t="shared" ca="1" si="72"/>
        <v>5.6407739876299767E-2</v>
      </c>
      <c r="AS55" s="323">
        <f t="shared" ca="1" si="72"/>
        <v>5.4285499129947623E-2</v>
      </c>
      <c r="AT55" s="323"/>
      <c r="AU55" s="323">
        <f t="shared" ca="1" si="72"/>
        <v>5.5382514958661977E-2</v>
      </c>
      <c r="AV55" s="323">
        <f t="shared" ca="1" si="72"/>
        <v>5.7102440706796265E-2</v>
      </c>
      <c r="AW55" s="323">
        <f t="shared" ca="1" si="72"/>
        <v>5.7102157685635868E-2</v>
      </c>
    </row>
    <row r="56" spans="2:64" x14ac:dyDescent="0.25">
      <c r="B56" s="58"/>
      <c r="C56" s="88" t="s">
        <v>134</v>
      </c>
      <c r="E56" s="89">
        <f t="shared" ref="E56:AH56" si="73">--(SUM(E51:E55)=1)</f>
        <v>1</v>
      </c>
      <c r="F56" s="89">
        <f t="shared" si="73"/>
        <v>1</v>
      </c>
      <c r="G56" s="89">
        <f t="shared" si="73"/>
        <v>1</v>
      </c>
      <c r="H56" s="89">
        <f t="shared" si="73"/>
        <v>1</v>
      </c>
      <c r="I56" s="89">
        <f t="shared" si="73"/>
        <v>1</v>
      </c>
      <c r="J56" s="89">
        <f t="shared" si="73"/>
        <v>1</v>
      </c>
      <c r="K56" s="89">
        <f t="shared" si="73"/>
        <v>1</v>
      </c>
      <c r="L56" s="89">
        <f t="shared" si="73"/>
        <v>1</v>
      </c>
      <c r="M56" s="89">
        <f t="shared" si="73"/>
        <v>1</v>
      </c>
      <c r="N56" s="89">
        <f t="shared" si="73"/>
        <v>1</v>
      </c>
      <c r="O56" s="89">
        <f t="shared" si="73"/>
        <v>1</v>
      </c>
      <c r="P56" s="90">
        <f t="shared" si="73"/>
        <v>1</v>
      </c>
      <c r="Q56" s="89">
        <f t="shared" si="73"/>
        <v>1</v>
      </c>
      <c r="R56" s="89">
        <f t="shared" si="73"/>
        <v>1</v>
      </c>
      <c r="S56" s="89">
        <f t="shared" si="73"/>
        <v>1</v>
      </c>
      <c r="T56" s="89">
        <f t="shared" si="73"/>
        <v>1</v>
      </c>
      <c r="U56" s="89">
        <f t="shared" si="73"/>
        <v>1</v>
      </c>
      <c r="V56" s="89">
        <f t="shared" si="73"/>
        <v>1</v>
      </c>
      <c r="W56" s="89">
        <f t="shared" si="73"/>
        <v>1</v>
      </c>
      <c r="X56" s="89">
        <f t="shared" si="73"/>
        <v>1</v>
      </c>
      <c r="Y56" s="89">
        <f t="shared" si="73"/>
        <v>1</v>
      </c>
      <c r="Z56" s="89">
        <f t="shared" si="73"/>
        <v>1</v>
      </c>
      <c r="AA56" s="89">
        <f t="shared" si="73"/>
        <v>1</v>
      </c>
      <c r="AB56" s="89">
        <f t="shared" si="73"/>
        <v>1</v>
      </c>
      <c r="AC56" s="89">
        <f t="shared" si="73"/>
        <v>1</v>
      </c>
      <c r="AD56" s="89">
        <f t="shared" si="73"/>
        <v>1</v>
      </c>
      <c r="AE56" s="89">
        <f t="shared" si="73"/>
        <v>1</v>
      </c>
      <c r="AF56" s="89">
        <f t="shared" si="73"/>
        <v>1</v>
      </c>
      <c r="AG56" s="89">
        <f t="shared" si="73"/>
        <v>1</v>
      </c>
      <c r="AH56" s="89">
        <f t="shared" si="73"/>
        <v>1</v>
      </c>
      <c r="AM56" s="8"/>
    </row>
    <row r="57" spans="2:64" x14ac:dyDescent="0.2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M57" s="8"/>
    </row>
    <row r="58" spans="2:64" x14ac:dyDescent="0.25">
      <c r="B58" t="s">
        <v>231</v>
      </c>
      <c r="C58" s="30" t="s">
        <v>267</v>
      </c>
      <c r="D58" s="225"/>
      <c r="E58" s="45" t="str">
        <f t="shared" ref="E58:AH58" si="74">E$9</f>
        <v>Jul-20A</v>
      </c>
      <c r="F58" s="45" t="str">
        <f t="shared" si="74"/>
        <v>Aug-20A</v>
      </c>
      <c r="G58" s="45" t="str">
        <f t="shared" si="74"/>
        <v>Sep-20A</v>
      </c>
      <c r="H58" s="45" t="str">
        <f t="shared" si="74"/>
        <v>Oct-20A</v>
      </c>
      <c r="I58" s="45" t="str">
        <f t="shared" si="74"/>
        <v>Nov-20A</v>
      </c>
      <c r="J58" s="45" t="str">
        <f t="shared" si="74"/>
        <v>Dec-20A</v>
      </c>
      <c r="K58" s="45" t="str">
        <f t="shared" si="74"/>
        <v>Jan-21A</v>
      </c>
      <c r="L58" s="45" t="str">
        <f t="shared" si="74"/>
        <v>Feb-21A</v>
      </c>
      <c r="M58" s="45" t="str">
        <f t="shared" si="74"/>
        <v>Mar-21A</v>
      </c>
      <c r="N58" s="45" t="str">
        <f t="shared" si="74"/>
        <v>Apr-21A</v>
      </c>
      <c r="O58" s="45" t="str">
        <f t="shared" si="74"/>
        <v>May-21A</v>
      </c>
      <c r="P58" s="46" t="str">
        <f t="shared" si="74"/>
        <v>Jun-21A</v>
      </c>
      <c r="Q58" s="45" t="str">
        <f t="shared" si="74"/>
        <v>Jul-21F</v>
      </c>
      <c r="R58" s="45" t="str">
        <f t="shared" si="74"/>
        <v>Aug-21F</v>
      </c>
      <c r="S58" s="45" t="str">
        <f t="shared" si="74"/>
        <v>Sep-21F</v>
      </c>
      <c r="T58" s="45" t="str">
        <f t="shared" si="74"/>
        <v>Oct-21F</v>
      </c>
      <c r="U58" s="45" t="str">
        <f t="shared" si="74"/>
        <v>Nov-21F</v>
      </c>
      <c r="V58" s="45" t="str">
        <f t="shared" si="74"/>
        <v>Dec-21F</v>
      </c>
      <c r="W58" s="45" t="str">
        <f t="shared" si="74"/>
        <v>Jan-22F</v>
      </c>
      <c r="X58" s="45" t="str">
        <f t="shared" si="74"/>
        <v>Feb-22F</v>
      </c>
      <c r="Y58" s="45" t="str">
        <f t="shared" si="74"/>
        <v>Mar-22F</v>
      </c>
      <c r="Z58" s="45" t="str">
        <f t="shared" si="74"/>
        <v>Apr-22F</v>
      </c>
      <c r="AA58" s="45" t="str">
        <f t="shared" si="74"/>
        <v>May-22F</v>
      </c>
      <c r="AB58" s="45" t="str">
        <f t="shared" si="74"/>
        <v>Jun-22F</v>
      </c>
      <c r="AC58" s="45" t="str">
        <f t="shared" si="74"/>
        <v>Jul-22F</v>
      </c>
      <c r="AD58" s="45" t="str">
        <f t="shared" si="74"/>
        <v>Aug-22F</v>
      </c>
      <c r="AE58" s="45" t="str">
        <f t="shared" si="74"/>
        <v>Sep-22F</v>
      </c>
      <c r="AF58" s="45" t="str">
        <f t="shared" si="74"/>
        <v>Oct-22F</v>
      </c>
      <c r="AG58" s="45" t="str">
        <f t="shared" si="74"/>
        <v>Nov-22F</v>
      </c>
      <c r="AH58" s="45" t="str">
        <f t="shared" si="74"/>
        <v>Dec-22F</v>
      </c>
      <c r="AJ58" s="45" t="str">
        <f ca="1">AJ$10</f>
        <v>Q3'20A</v>
      </c>
      <c r="AK58" s="45" t="str">
        <f t="shared" ref="AK58:AW58" ca="1" si="75">AK$10</f>
        <v>Q4'20A</v>
      </c>
      <c r="AL58" s="45" t="str">
        <f t="shared" ca="1" si="75"/>
        <v>Q1'21A</v>
      </c>
      <c r="AM58" s="46" t="str">
        <f t="shared" ca="1" si="75"/>
        <v>Q2'21A</v>
      </c>
      <c r="AN58" s="45" t="str">
        <f t="shared" ca="1" si="75"/>
        <v>Q3'21F</v>
      </c>
      <c r="AO58" s="45" t="str">
        <f t="shared" ca="1" si="75"/>
        <v>Q4'21F</v>
      </c>
      <c r="AP58" s="45" t="str">
        <f t="shared" ca="1" si="75"/>
        <v>Q1'22F</v>
      </c>
      <c r="AQ58" s="45" t="str">
        <f t="shared" ca="1" si="75"/>
        <v>Q2'22F</v>
      </c>
      <c r="AR58" s="45" t="str">
        <f t="shared" ca="1" si="75"/>
        <v>Q3'22F</v>
      </c>
      <c r="AS58" s="45" t="str">
        <f t="shared" ca="1" si="75"/>
        <v>Q4'22F</v>
      </c>
      <c r="AU58" s="45" t="str">
        <f t="shared" ca="1" si="75"/>
        <v>FY20</v>
      </c>
      <c r="AV58" s="45" t="str">
        <f t="shared" ca="1" si="75"/>
        <v>FY21</v>
      </c>
      <c r="AW58" s="45" t="str">
        <f t="shared" ca="1" si="75"/>
        <v>FY22</v>
      </c>
    </row>
    <row r="59" spans="2:64" x14ac:dyDescent="0.25">
      <c r="C59" s="1" t="s">
        <v>1</v>
      </c>
      <c r="E59" s="65">
        <v>319699.78566216864</v>
      </c>
      <c r="F59" s="65">
        <v>293058.13685698796</v>
      </c>
      <c r="G59" s="65">
        <v>239774.83924662651</v>
      </c>
      <c r="H59" s="65">
        <v>266416.48805180722</v>
      </c>
      <c r="I59" s="65">
        <v>213133.19044144574</v>
      </c>
      <c r="J59" s="91">
        <v>243790</v>
      </c>
      <c r="K59" s="65">
        <v>306378.96125957824</v>
      </c>
      <c r="L59" s="65">
        <v>293058.1368569879</v>
      </c>
      <c r="M59" s="65">
        <v>253095.66364921682</v>
      </c>
      <c r="N59" s="65">
        <v>266416.48805180716</v>
      </c>
      <c r="O59" s="65">
        <v>253095.66364921685</v>
      </c>
      <c r="P59" s="67">
        <v>266416.48805180722</v>
      </c>
      <c r="Q59" s="83">
        <f>Q$48*Q51</f>
        <v>334394.14841600909</v>
      </c>
      <c r="R59" s="83">
        <f t="shared" ref="R59:AH62" si="76">R$48*R51</f>
        <v>306594.815321478</v>
      </c>
      <c r="S59" s="83">
        <f t="shared" si="76"/>
        <v>250863.97882591412</v>
      </c>
      <c r="T59" s="83">
        <f t="shared" si="76"/>
        <v>278782.13333313615</v>
      </c>
      <c r="U59" s="83">
        <f t="shared" si="76"/>
        <v>223037.66079556337</v>
      </c>
      <c r="V59" s="83">
        <f t="shared" si="76"/>
        <v>255081.79841771032</v>
      </c>
      <c r="W59" s="83">
        <f t="shared" si="76"/>
        <v>320551.59746247501</v>
      </c>
      <c r="X59" s="83">
        <f t="shared" si="76"/>
        <v>306598.69368377083</v>
      </c>
      <c r="Y59" s="83">
        <f t="shared" si="76"/>
        <v>264780.64523741399</v>
      </c>
      <c r="Z59" s="83">
        <f t="shared" si="76"/>
        <v>278749.82356087171</v>
      </c>
      <c r="AA59" s="83">
        <f t="shared" si="76"/>
        <v>264764.2873956252</v>
      </c>
      <c r="AB59" s="83">
        <f t="shared" si="76"/>
        <v>278731.79129789973</v>
      </c>
      <c r="AC59" s="83">
        <f t="shared" si="76"/>
        <v>349818.02075379301</v>
      </c>
      <c r="AD59" s="83">
        <f t="shared" si="76"/>
        <v>320807.06369670772</v>
      </c>
      <c r="AE59" s="83">
        <f t="shared" si="76"/>
        <v>262507.90136446693</v>
      </c>
      <c r="AF59" s="83">
        <f t="shared" si="76"/>
        <v>291767.28719249112</v>
      </c>
      <c r="AG59" s="83">
        <f t="shared" si="76"/>
        <v>233438.95377042421</v>
      </c>
      <c r="AH59" s="83">
        <f t="shared" si="76"/>
        <v>266938.67203613522</v>
      </c>
      <c r="AJ59" s="83" cm="1">
        <f t="array" aca="1" ref="AJ59" ca="1">SUMPRODUCT(($E59:$AH59)*(AJ$3&amp;AJ$4&amp;AJ$5&amp;AJ$6=$E$3:$AH$3&amp;$E$4:$AH$4&amp;$E$5:$AH$5&amp;$E$6:$AH$6))</f>
        <v>852532.76176578307</v>
      </c>
      <c r="AK59" s="83" cm="1">
        <f t="array" aca="1" ref="AK59" ca="1">SUMPRODUCT(($E59:$AH59)*(AK$3=$E$3:$AH$3)*(AK$4=$E$4:$AH$4)*(AK$5=$E$5:$AH$5)*(AK$6=$E$6:$AH$6))</f>
        <v>723339.67849325296</v>
      </c>
      <c r="AL59" s="83" cm="1">
        <f t="array" aca="1" ref="AL59" ca="1">SUMPRODUCT(($E59:$AH59)*(AL$3=$E$3:$AH$3)*(AL$4=$E$4:$AH$4)*(AL$5=$E$5:$AH$5)*(AL$6=$E$6:$AH$6))</f>
        <v>852532.76176578295</v>
      </c>
      <c r="AM59" s="158" cm="1">
        <f t="array" aca="1" ref="AM59" ca="1">SUMPRODUCT(($E59:$AH59)*(AM$3=$E$3:$AH$3)*(AM$4=$E$4:$AH$4)*(AM$5=$E$5:$AH$5)*(AM$6=$E$6:$AH$6))</f>
        <v>785928.63975283131</v>
      </c>
      <c r="AN59" s="83" cm="1">
        <f t="array" aca="1" ref="AN59" ca="1">SUMPRODUCT(($E59:$AH59)*(AN$3=$E$3:$AH$3)*(AN$4=$E$4:$AH$4)*(AN$5=$E$5:$AH$5)*(AN$6=$E$6:$AH$6))</f>
        <v>891852.94256340119</v>
      </c>
      <c r="AO59" s="83" cm="1">
        <f t="array" aca="1" ref="AO59" ca="1">SUMPRODUCT(($E59:$AH59)*(AO$3=$E$3:$AH$3)*(AO$4=$E$4:$AH$4)*(AO$5=$E$5:$AH$5)*(AO$6=$E$6:$AH$6))</f>
        <v>756901.59254640981</v>
      </c>
      <c r="AP59" s="83" cm="1">
        <f t="array" aca="1" ref="AP59" ca="1">SUMPRODUCT(($E59:$AH59)*(AP$3=$E$3:$AH$3)*(AP$4=$E$4:$AH$4)*(AP$5=$E$5:$AH$5)*(AP$6=$E$6:$AH$6))</f>
        <v>891930.93638365972</v>
      </c>
      <c r="AQ59" s="83" cm="1">
        <f t="array" aca="1" ref="AQ59" ca="1">SUMPRODUCT(($E59:$AH59)*(AQ$3=$E$3:$AH$3)*(AQ$4=$E$4:$AH$4)*(AQ$5=$E$5:$AH$5)*(AQ$6=$E$6:$AH$6))</f>
        <v>822245.90225439658</v>
      </c>
      <c r="AR59" s="83" cm="1">
        <f t="array" aca="1" ref="AR59" ca="1">SUMPRODUCT(($E59:$AH59)*(AR$3=$E$3:$AH$3)*(AR$4=$E$4:$AH$4)*(AR$5=$E$5:$AH$5)*(AR$6=$E$6:$AH$6))</f>
        <v>933132.98581496766</v>
      </c>
      <c r="AS59" s="83" cm="1">
        <f t="array" aca="1" ref="AS59" ca="1">SUMPRODUCT(($E59:$AH59)*(AS$3=$E$3:$AH$3)*(AS$4=$E$4:$AH$4)*(AS$5=$E$5:$AH$5)*(AS$6=$E$6:$AH$6))</f>
        <v>792144.91299905058</v>
      </c>
      <c r="AT59" s="83"/>
      <c r="AU59" s="83" cm="1">
        <f t="array" aca="1" ref="AU59" ca="1">SUMPRODUCT(($E59:$AH59)*(AU$5=$E$5:$AH$5))</f>
        <v>1575872.4402590359</v>
      </c>
      <c r="AV59" s="83" cm="1">
        <f t="array" aca="1" ref="AV59" ca="1">SUMPRODUCT(($E59:$AH59)*(AV$5=$E$5:$AH$5))</f>
        <v>3287215.9366284255</v>
      </c>
      <c r="AW59" s="83" cm="1">
        <f t="array" aca="1" ref="AW59" ca="1">SUMPRODUCT(($E59:$AH59)*(AW$5=$E$5:$AH$5))</f>
        <v>3439454.7374520744</v>
      </c>
    </row>
    <row r="60" spans="2:64" x14ac:dyDescent="0.25">
      <c r="C60" s="1" t="s">
        <v>2</v>
      </c>
      <c r="E60" s="65">
        <v>86521.926119682161</v>
      </c>
      <c r="F60" s="65">
        <v>77869.733507713943</v>
      </c>
      <c r="G60" s="65">
        <v>73543.637201729842</v>
      </c>
      <c r="H60" s="65">
        <v>77869.733507713943</v>
      </c>
      <c r="I60" s="65">
        <v>82195.82981369803</v>
      </c>
      <c r="J60" s="91">
        <v>91479</v>
      </c>
      <c r="K60" s="65">
        <v>86521.926119682161</v>
      </c>
      <c r="L60" s="65">
        <v>73543.637201729842</v>
      </c>
      <c r="M60" s="65">
        <v>69217.540895745726</v>
      </c>
      <c r="N60" s="65">
        <v>103826.31134361858</v>
      </c>
      <c r="O60" s="65">
        <v>99500.215037634494</v>
      </c>
      <c r="P60" s="67">
        <v>108152.4076496027</v>
      </c>
      <c r="Q60" s="83">
        <f>Q$48*Q52</f>
        <v>90498.733817348519</v>
      </c>
      <c r="R60" s="83">
        <f t="shared" ref="R60:AF60" si="77">R$48*R52</f>
        <v>81466.622356849868</v>
      </c>
      <c r="S60" s="83">
        <f t="shared" si="77"/>
        <v>76944.893399673238</v>
      </c>
      <c r="T60" s="83">
        <f t="shared" si="77"/>
        <v>81484.034971370944</v>
      </c>
      <c r="U60" s="83">
        <f t="shared" si="77"/>
        <v>86015.535969908044</v>
      </c>
      <c r="V60" s="83">
        <f t="shared" si="77"/>
        <v>95716.099255316978</v>
      </c>
      <c r="W60" s="83">
        <f t="shared" si="77"/>
        <v>90524.302057725887</v>
      </c>
      <c r="X60" s="83">
        <f t="shared" si="77"/>
        <v>76941.672176832042</v>
      </c>
      <c r="Y60" s="83">
        <f t="shared" si="77"/>
        <v>72413.193003274733</v>
      </c>
      <c r="Z60" s="83">
        <f t="shared" si="77"/>
        <v>108632.78838200832</v>
      </c>
      <c r="AA60" s="83">
        <f t="shared" si="77"/>
        <v>104087.53413753828</v>
      </c>
      <c r="AB60" s="83">
        <f t="shared" si="77"/>
        <v>113151.83432450453</v>
      </c>
      <c r="AC60" s="83">
        <f t="shared" si="77"/>
        <v>94672.97228336781</v>
      </c>
      <c r="AD60" s="83">
        <f t="shared" si="77"/>
        <v>85243.019782268049</v>
      </c>
      <c r="AE60" s="83">
        <f t="shared" si="77"/>
        <v>80516.312392053704</v>
      </c>
      <c r="AF60" s="83">
        <f t="shared" si="77"/>
        <v>85279.409942262413</v>
      </c>
      <c r="AG60" s="83">
        <f t="shared" si="76"/>
        <v>90026.844135629683</v>
      </c>
      <c r="AH60" s="83">
        <f t="shared" si="76"/>
        <v>100165.23556829081</v>
      </c>
      <c r="AJ60" s="83" cm="1">
        <f t="array" aca="1" ref="AJ60" ca="1">SUMPRODUCT(($E60:$AH60)*(AJ$3&amp;AJ$4&amp;AJ$5&amp;AJ$6=$E$3:$AH$3&amp;$E$4:$AH$4&amp;$E$5:$AH$5&amp;$E$6:$AH$6))</f>
        <v>237935.29682912593</v>
      </c>
      <c r="AK60" s="83" cm="1">
        <f t="array" aca="1" ref="AK60" ca="1">SUMPRODUCT(($E60:$AH60)*(AK$3=$E$3:$AH$3)*(AK$4=$E$4:$AH$4)*(AK$5=$E$5:$AH$5)*(AK$6=$E$6:$AH$6))</f>
        <v>251544.56332141196</v>
      </c>
      <c r="AL60" s="83" cm="1">
        <f t="array" aca="1" ref="AL60" ca="1">SUMPRODUCT(($E60:$AH60)*(AL$3=$E$3:$AH$3)*(AL$4=$E$4:$AH$4)*(AL$5=$E$5:$AH$5)*(AL$6=$E$6:$AH$6))</f>
        <v>229283.10421715776</v>
      </c>
      <c r="AM60" s="158" cm="1">
        <f t="array" aca="1" ref="AM60" ca="1">SUMPRODUCT(($E60:$AH60)*(AM$3=$E$3:$AH$3)*(AM$4=$E$4:$AH$4)*(AM$5=$E$5:$AH$5)*(AM$6=$E$6:$AH$6))</f>
        <v>311478.93403085577</v>
      </c>
      <c r="AN60" s="83" cm="1">
        <f t="array" aca="1" ref="AN60" ca="1">SUMPRODUCT(($E60:$AH60)*(AN$3=$E$3:$AH$3)*(AN$4=$E$4:$AH$4)*(AN$5=$E$5:$AH$5)*(AN$6=$E$6:$AH$6))</f>
        <v>248910.24957387161</v>
      </c>
      <c r="AO60" s="83" cm="1">
        <f t="array" aca="1" ref="AO60" ca="1">SUMPRODUCT(($E60:$AH60)*(AO$3=$E$3:$AH$3)*(AO$4=$E$4:$AH$4)*(AO$5=$E$5:$AH$5)*(AO$6=$E$6:$AH$6))</f>
        <v>263215.67019659595</v>
      </c>
      <c r="AP60" s="83" cm="1">
        <f t="array" aca="1" ref="AP60" ca="1">SUMPRODUCT(($E60:$AH60)*(AP$3=$E$3:$AH$3)*(AP$4=$E$4:$AH$4)*(AP$5=$E$5:$AH$5)*(AP$6=$E$6:$AH$6))</f>
        <v>239879.16723783268</v>
      </c>
      <c r="AQ60" s="83" cm="1">
        <f t="array" aca="1" ref="AQ60" ca="1">SUMPRODUCT(($E60:$AH60)*(AQ$3=$E$3:$AH$3)*(AQ$4=$E$4:$AH$4)*(AQ$5=$E$5:$AH$5)*(AQ$6=$E$6:$AH$6))</f>
        <v>325872.15684405115</v>
      </c>
      <c r="AR60" s="83" cm="1">
        <f t="array" aca="1" ref="AR60" ca="1">SUMPRODUCT(($E60:$AH60)*(AR$3=$E$3:$AH$3)*(AR$4=$E$4:$AH$4)*(AR$5=$E$5:$AH$5)*(AR$6=$E$6:$AH$6))</f>
        <v>260432.30445768958</v>
      </c>
      <c r="AS60" s="83" cm="1">
        <f t="array" aca="1" ref="AS60" ca="1">SUMPRODUCT(($E60:$AH60)*(AS$3=$E$3:$AH$3)*(AS$4=$E$4:$AH$4)*(AS$5=$E$5:$AH$5)*(AS$6=$E$6:$AH$6))</f>
        <v>275471.48964618292</v>
      </c>
      <c r="AT60" s="83"/>
      <c r="AU60" s="83" cm="1">
        <f t="array" aca="1" ref="AU60" ca="1">SUMPRODUCT(($E60:$AH60)*(AU$5=$E$5:$AH$5))</f>
        <v>489479.86015053786</v>
      </c>
      <c r="AV60" s="83" cm="1">
        <f t="array" aca="1" ref="AV60" ca="1">SUMPRODUCT(($E60:$AH60)*(AV$5=$E$5:$AH$5))</f>
        <v>1052887.958018481</v>
      </c>
      <c r="AW60" s="83" cm="1">
        <f t="array" aca="1" ref="AW60" ca="1">SUMPRODUCT(($E60:$AH60)*(AW$5=$E$5:$AH$5))</f>
        <v>1101655.1181857563</v>
      </c>
    </row>
    <row r="61" spans="2:64" x14ac:dyDescent="0.25">
      <c r="C61" s="1" t="s">
        <v>3</v>
      </c>
      <c r="E61" s="65">
        <v>109103.89510693055</v>
      </c>
      <c r="F61" s="65">
        <v>98193.505596237505</v>
      </c>
      <c r="G61" s="65">
        <v>92738.31084089099</v>
      </c>
      <c r="H61" s="65">
        <v>98193.505596237519</v>
      </c>
      <c r="I61" s="65">
        <v>103648.70035158403</v>
      </c>
      <c r="J61" s="91">
        <v>119240</v>
      </c>
      <c r="K61" s="65">
        <v>109103.89510693055</v>
      </c>
      <c r="L61" s="65">
        <v>92738.310840890976</v>
      </c>
      <c r="M61" s="65">
        <v>87283.116085544461</v>
      </c>
      <c r="N61" s="65">
        <v>130924.67412831666</v>
      </c>
      <c r="O61" s="65">
        <v>125469.47937297013</v>
      </c>
      <c r="P61" s="67">
        <v>136379.86888366321</v>
      </c>
      <c r="Q61" s="83">
        <f>Q$48*Q53</f>
        <v>114118.63795149517</v>
      </c>
      <c r="R61" s="83">
        <f t="shared" si="76"/>
        <v>102729.17188693675</v>
      </c>
      <c r="S61" s="83">
        <f t="shared" si="76"/>
        <v>97027.284932139271</v>
      </c>
      <c r="T61" s="83">
        <f t="shared" si="76"/>
        <v>102751.12914278446</v>
      </c>
      <c r="U61" s="83">
        <f t="shared" si="76"/>
        <v>108465.33861308052</v>
      </c>
      <c r="V61" s="83">
        <f t="shared" si="76"/>
        <v>124762.92564636689</v>
      </c>
      <c r="W61" s="83">
        <f t="shared" si="76"/>
        <v>114150.87942763085</v>
      </c>
      <c r="X61" s="83">
        <f t="shared" si="76"/>
        <v>97023.222979582904</v>
      </c>
      <c r="Y61" s="83">
        <f t="shared" si="76"/>
        <v>91312.824021724737</v>
      </c>
      <c r="Z61" s="83">
        <f t="shared" si="76"/>
        <v>136985.62757848552</v>
      </c>
      <c r="AA61" s="83">
        <f t="shared" si="76"/>
        <v>131254.07530540013</v>
      </c>
      <c r="AB61" s="83">
        <f t="shared" si="76"/>
        <v>142684.13125963914</v>
      </c>
      <c r="AC61" s="83">
        <f t="shared" si="76"/>
        <v>119382.34041597697</v>
      </c>
      <c r="AD61" s="83">
        <f t="shared" si="76"/>
        <v>107491.19796590983</v>
      </c>
      <c r="AE61" s="83">
        <f t="shared" si="76"/>
        <v>101530.83380816157</v>
      </c>
      <c r="AF61" s="83">
        <f t="shared" si="76"/>
        <v>107537.08585094672</v>
      </c>
      <c r="AG61" s="83">
        <f t="shared" si="76"/>
        <v>113523.58644668845</v>
      </c>
      <c r="AH61" s="83">
        <f t="shared" si="76"/>
        <v>130562.23493001668</v>
      </c>
      <c r="AJ61" s="83" cm="1">
        <f t="array" aca="1" ref="AJ61" ca="1">SUMPRODUCT(($E61:$AH61)*(AJ$3&amp;AJ$4&amp;AJ$5&amp;AJ$6=$E$3:$AH$3&amp;$E$4:$AH$4&amp;$E$5:$AH$5&amp;$E$6:$AH$6))</f>
        <v>300035.71154405904</v>
      </c>
      <c r="AK61" s="83" cm="1">
        <f t="array" aca="1" ref="AK61" ca="1">SUMPRODUCT(($E61:$AH61)*(AK$3=$E$3:$AH$3)*(AK$4=$E$4:$AH$4)*(AK$5=$E$5:$AH$5)*(AK$6=$E$6:$AH$6))</f>
        <v>321082.20594782155</v>
      </c>
      <c r="AL61" s="83" cm="1">
        <f t="array" aca="1" ref="AL61" ca="1">SUMPRODUCT(($E61:$AH61)*(AL$3=$E$3:$AH$3)*(AL$4=$E$4:$AH$4)*(AL$5=$E$5:$AH$5)*(AL$6=$E$6:$AH$6))</f>
        <v>289125.32203336596</v>
      </c>
      <c r="AM61" s="158" cm="1">
        <f t="array" aca="1" ref="AM61" ca="1">SUMPRODUCT(($E61:$AH61)*(AM$3=$E$3:$AH$3)*(AM$4=$E$4:$AH$4)*(AM$5=$E$5:$AH$5)*(AM$6=$E$6:$AH$6))</f>
        <v>392774.02238495002</v>
      </c>
      <c r="AN61" s="83" cm="1">
        <f t="array" aca="1" ref="AN61" ca="1">SUMPRODUCT(($E61:$AH61)*(AN$3=$E$3:$AH$3)*(AN$4=$E$4:$AH$4)*(AN$5=$E$5:$AH$5)*(AN$6=$E$6:$AH$6))</f>
        <v>313875.09477057122</v>
      </c>
      <c r="AO61" s="83" cm="1">
        <f t="array" aca="1" ref="AO61" ca="1">SUMPRODUCT(($E61:$AH61)*(AO$3=$E$3:$AH$3)*(AO$4=$E$4:$AH$4)*(AO$5=$E$5:$AH$5)*(AO$6=$E$6:$AH$6))</f>
        <v>335979.39340223186</v>
      </c>
      <c r="AP61" s="83" cm="1">
        <f t="array" aca="1" ref="AP61" ca="1">SUMPRODUCT(($E61:$AH61)*(AP$3=$E$3:$AH$3)*(AP$4=$E$4:$AH$4)*(AP$5=$E$5:$AH$5)*(AP$6=$E$6:$AH$6))</f>
        <v>302486.92642893852</v>
      </c>
      <c r="AQ61" s="83" cm="1">
        <f t="array" aca="1" ref="AQ61" ca="1">SUMPRODUCT(($E61:$AH61)*(AQ$3=$E$3:$AH$3)*(AQ$4=$E$4:$AH$4)*(AQ$5=$E$5:$AH$5)*(AQ$6=$E$6:$AH$6))</f>
        <v>410923.83414352476</v>
      </c>
      <c r="AR61" s="83" cm="1">
        <f t="array" aca="1" ref="AR61" ca="1">SUMPRODUCT(($E61:$AH61)*(AR$3=$E$3:$AH$3)*(AR$4=$E$4:$AH$4)*(AR$5=$E$5:$AH$5)*(AR$6=$E$6:$AH$6))</f>
        <v>328404.37219004834</v>
      </c>
      <c r="AS61" s="83" cm="1">
        <f t="array" aca="1" ref="AS61" ca="1">SUMPRODUCT(($E61:$AH61)*(AS$3=$E$3:$AH$3)*(AS$4=$E$4:$AH$4)*(AS$5=$E$5:$AH$5)*(AS$6=$E$6:$AH$6))</f>
        <v>351622.90722765186</v>
      </c>
      <c r="AT61" s="83"/>
      <c r="AU61" s="83" cm="1">
        <f t="array" aca="1" ref="AU61" ca="1">SUMPRODUCT(($E61:$AH61)*(AU$5=$E$5:$AH$5))</f>
        <v>621117.91749188059</v>
      </c>
      <c r="AV61" s="83" cm="1">
        <f t="array" aca="1" ref="AV61" ca="1">SUMPRODUCT(($E61:$AH61)*(AV$5=$E$5:$AH$5))</f>
        <v>1331753.832591119</v>
      </c>
      <c r="AW61" s="83" cm="1">
        <f t="array" aca="1" ref="AW61" ca="1">SUMPRODUCT(($E61:$AH61)*(AW$5=$E$5:$AH$5))</f>
        <v>1393438.0399901634</v>
      </c>
    </row>
    <row r="62" spans="2:64" x14ac:dyDescent="0.25">
      <c r="C62" s="23" t="s">
        <v>4</v>
      </c>
      <c r="D62" s="27"/>
      <c r="E62" s="68">
        <v>15223.799317246125</v>
      </c>
      <c r="F62" s="68">
        <v>13701.419385521514</v>
      </c>
      <c r="G62" s="68">
        <v>12940.229419659207</v>
      </c>
      <c r="H62" s="68">
        <v>13701.419385521514</v>
      </c>
      <c r="I62" s="68">
        <v>14462.609351383817</v>
      </c>
      <c r="J62" s="68">
        <v>17507.369214833045</v>
      </c>
      <c r="K62" s="68">
        <v>15223.799317246123</v>
      </c>
      <c r="L62" s="68">
        <v>12940.229419659207</v>
      </c>
      <c r="M62" s="68">
        <v>12179.0394537969</v>
      </c>
      <c r="N62" s="68">
        <v>18268.559180695349</v>
      </c>
      <c r="O62" s="68">
        <v>17507.369214833045</v>
      </c>
      <c r="P62" s="69">
        <v>19029.749146557657</v>
      </c>
      <c r="Q62" s="125">
        <f>Q$48*Q54</f>
        <v>15923.530876952815</v>
      </c>
      <c r="R62" s="125">
        <f t="shared" si="76"/>
        <v>14334.303053991178</v>
      </c>
      <c r="S62" s="125">
        <f t="shared" si="76"/>
        <v>13538.690920763616</v>
      </c>
      <c r="T62" s="125">
        <f t="shared" si="76"/>
        <v>14337.366857132716</v>
      </c>
      <c r="U62" s="125">
        <f t="shared" si="76"/>
        <v>15134.698411127514</v>
      </c>
      <c r="V62" s="125">
        <f t="shared" si="76"/>
        <v>18318.270744831498</v>
      </c>
      <c r="W62" s="125">
        <f t="shared" si="76"/>
        <v>15928.029687576398</v>
      </c>
      <c r="X62" s="125">
        <f t="shared" si="76"/>
        <v>13538.124136685987</v>
      </c>
      <c r="Y62" s="125">
        <f t="shared" si="76"/>
        <v>12741.324282101124</v>
      </c>
      <c r="Z62" s="125">
        <f t="shared" si="76"/>
        <v>19114.273615602633</v>
      </c>
      <c r="AA62" s="125">
        <f t="shared" si="76"/>
        <v>18314.522135637231</v>
      </c>
      <c r="AB62" s="125">
        <f t="shared" si="76"/>
        <v>19909.413664135693</v>
      </c>
      <c r="AC62" s="125">
        <f t="shared" si="76"/>
        <v>16658.000988275857</v>
      </c>
      <c r="AD62" s="125">
        <f t="shared" si="76"/>
        <v>14998.771809196724</v>
      </c>
      <c r="AE62" s="125">
        <f t="shared" si="76"/>
        <v>14167.093089510912</v>
      </c>
      <c r="AF62" s="125">
        <f t="shared" si="76"/>
        <v>15005.174769899542</v>
      </c>
      <c r="AG62" s="125">
        <f t="shared" si="76"/>
        <v>15840.500434421643</v>
      </c>
      <c r="AH62" s="125">
        <f t="shared" si="76"/>
        <v>19169.752200885388</v>
      </c>
      <c r="AJ62" s="83" cm="1">
        <f t="array" aca="1" ref="AJ62" ca="1">SUMPRODUCT(($E62:$AH62)*(AJ$3&amp;AJ$4&amp;AJ$5&amp;AJ$6=$E$3:$AH$3&amp;$E$4:$AH$4&amp;$E$5:$AH$5&amp;$E$6:$AH$6))</f>
        <v>41865.448122426846</v>
      </c>
      <c r="AK62" s="83" cm="1">
        <f t="array" aca="1" ref="AK62" ca="1">SUMPRODUCT(($E62:$AH62)*(AK$3=$E$3:$AH$3)*(AK$4=$E$4:$AH$4)*(AK$5=$E$5:$AH$5)*(AK$6=$E$6:$AH$6))</f>
        <v>45671.397951738378</v>
      </c>
      <c r="AL62" s="83" cm="1">
        <f t="array" aca="1" ref="AL62" ca="1">SUMPRODUCT(($E62:$AH62)*(AL$3=$E$3:$AH$3)*(AL$4=$E$4:$AH$4)*(AL$5=$E$5:$AH$5)*(AL$6=$E$6:$AH$6))</f>
        <v>40343.06819070223</v>
      </c>
      <c r="AM62" s="158" cm="1">
        <f t="array" aca="1" ref="AM62" ca="1">SUMPRODUCT(($E62:$AH62)*(AM$3=$E$3:$AH$3)*(AM$4=$E$4:$AH$4)*(AM$5=$E$5:$AH$5)*(AM$6=$E$6:$AH$6))</f>
        <v>54805.67754208605</v>
      </c>
      <c r="AN62" s="83" cm="1">
        <f t="array" aca="1" ref="AN62" ca="1">SUMPRODUCT(($E62:$AH62)*(AN$3=$E$3:$AH$3)*(AN$4=$E$4:$AH$4)*(AN$5=$E$5:$AH$5)*(AN$6=$E$6:$AH$6))</f>
        <v>43796.524851707611</v>
      </c>
      <c r="AO62" s="83" cm="1">
        <f t="array" aca="1" ref="AO62" ca="1">SUMPRODUCT(($E62:$AH62)*(AO$3=$E$3:$AH$3)*(AO$4=$E$4:$AH$4)*(AO$5=$E$5:$AH$5)*(AO$6=$E$6:$AH$6))</f>
        <v>47790.336013091728</v>
      </c>
      <c r="AP62" s="83" cm="1">
        <f t="array" aca="1" ref="AP62" ca="1">SUMPRODUCT(($E62:$AH62)*(AP$3=$E$3:$AH$3)*(AP$4=$E$4:$AH$4)*(AP$5=$E$5:$AH$5)*(AP$6=$E$6:$AH$6))</f>
        <v>42207.478106363509</v>
      </c>
      <c r="AQ62" s="83" cm="1">
        <f t="array" aca="1" ref="AQ62" ca="1">SUMPRODUCT(($E62:$AH62)*(AQ$3=$E$3:$AH$3)*(AQ$4=$E$4:$AH$4)*(AQ$5=$E$5:$AH$5)*(AQ$6=$E$6:$AH$6))</f>
        <v>57338.209415375561</v>
      </c>
      <c r="AR62" s="83" cm="1">
        <f t="array" aca="1" ref="AR62" ca="1">SUMPRODUCT(($E62:$AH62)*(AR$3=$E$3:$AH$3)*(AR$4=$E$4:$AH$4)*(AR$5=$E$5:$AH$5)*(AR$6=$E$6:$AH$6))</f>
        <v>45823.865886983491</v>
      </c>
      <c r="AS62" s="83" cm="1">
        <f t="array" aca="1" ref="AS62" ca="1">SUMPRODUCT(($E62:$AH62)*(AS$3=$E$3:$AH$3)*(AS$4=$E$4:$AH$4)*(AS$5=$E$5:$AH$5)*(AS$6=$E$6:$AH$6))</f>
        <v>50015.427405206574</v>
      </c>
      <c r="AT62" s="83"/>
      <c r="AU62" s="83" cm="1">
        <f t="array" aca="1" ref="AU62" ca="1">SUMPRODUCT(($E62:$AH62)*(AU$5=$E$5:$AH$5))</f>
        <v>87536.846074165223</v>
      </c>
      <c r="AV62" s="83" cm="1">
        <f t="array" aca="1" ref="AV62" ca="1">SUMPRODUCT(($E62:$AH62)*(AV$5=$E$5:$AH$5))</f>
        <v>186735.60659758767</v>
      </c>
      <c r="AW62" s="83" cm="1">
        <f t="array" aca="1" ref="AW62" ca="1">SUMPRODUCT(($E62:$AH62)*(AW$5=$E$5:$AH$5))</f>
        <v>195384.98081392914</v>
      </c>
    </row>
    <row r="63" spans="2:64" x14ac:dyDescent="0.25">
      <c r="B63" t="s">
        <v>231</v>
      </c>
      <c r="C63" s="25" t="s">
        <v>135</v>
      </c>
      <c r="E63" s="123">
        <f>SUM(E59:E62)</f>
        <v>530549.40620602737</v>
      </c>
      <c r="F63" s="123">
        <f t="shared" ref="F63:P63" si="78">SUM(F59:F62)</f>
        <v>482822.79534646089</v>
      </c>
      <c r="G63" s="123">
        <f t="shared" si="78"/>
        <v>418997.01670890651</v>
      </c>
      <c r="H63" s="123">
        <f t="shared" si="78"/>
        <v>456181.14654128015</v>
      </c>
      <c r="I63" s="123">
        <f t="shared" si="78"/>
        <v>413440.32995811157</v>
      </c>
      <c r="J63" s="123">
        <f t="shared" si="78"/>
        <v>472016.36921483302</v>
      </c>
      <c r="K63" s="123">
        <f t="shared" si="78"/>
        <v>517228.58180343703</v>
      </c>
      <c r="L63" s="123">
        <f t="shared" si="78"/>
        <v>472280.31431926793</v>
      </c>
      <c r="M63" s="123">
        <f t="shared" si="78"/>
        <v>421775.36008430395</v>
      </c>
      <c r="N63" s="123">
        <f t="shared" si="78"/>
        <v>519436.03270443773</v>
      </c>
      <c r="O63" s="123">
        <f t="shared" si="78"/>
        <v>495572.72727465455</v>
      </c>
      <c r="P63" s="124">
        <f t="shared" si="78"/>
        <v>529978.51373163075</v>
      </c>
      <c r="Q63" s="123">
        <f t="shared" ref="Q63:AH63" si="79">SUM(Q59:Q62)</f>
        <v>554935.05106180557</v>
      </c>
      <c r="R63" s="123">
        <f t="shared" si="79"/>
        <v>505124.91261925583</v>
      </c>
      <c r="S63" s="123">
        <f t="shared" si="79"/>
        <v>438374.84807849023</v>
      </c>
      <c r="T63" s="123">
        <f t="shared" si="79"/>
        <v>477354.66430442425</v>
      </c>
      <c r="U63" s="123">
        <f t="shared" si="79"/>
        <v>432653.23378967942</v>
      </c>
      <c r="V63" s="123">
        <f t="shared" si="79"/>
        <v>493879.09406422568</v>
      </c>
      <c r="W63" s="123">
        <f t="shared" si="79"/>
        <v>541154.80863540806</v>
      </c>
      <c r="X63" s="123">
        <f t="shared" si="79"/>
        <v>494101.71297687176</v>
      </c>
      <c r="Y63" s="123">
        <f t="shared" si="79"/>
        <v>441247.9865445146</v>
      </c>
      <c r="Z63" s="123">
        <f t="shared" si="79"/>
        <v>543482.51313696825</v>
      </c>
      <c r="AA63" s="123">
        <f t="shared" si="79"/>
        <v>518420.41897420085</v>
      </c>
      <c r="AB63" s="123">
        <f t="shared" si="79"/>
        <v>554477.17054617917</v>
      </c>
      <c r="AC63" s="123">
        <f t="shared" si="79"/>
        <v>580531.33444141364</v>
      </c>
      <c r="AD63" s="123">
        <f t="shared" si="79"/>
        <v>528540.05325408233</v>
      </c>
      <c r="AE63" s="123">
        <f t="shared" si="79"/>
        <v>458722.14065419312</v>
      </c>
      <c r="AF63" s="123">
        <f t="shared" si="79"/>
        <v>499588.95775559975</v>
      </c>
      <c r="AG63" s="123">
        <f t="shared" si="79"/>
        <v>452829.88478716399</v>
      </c>
      <c r="AH63" s="123">
        <f t="shared" si="79"/>
        <v>516835.8947353281</v>
      </c>
      <c r="AJ63" s="322">
        <f ca="1">SUM(AJ59:AJ62)</f>
        <v>1432369.2182613949</v>
      </c>
      <c r="AK63" s="322">
        <f t="shared" ref="AK63:AS63" ca="1" si="80">SUM(AK59:AK62)</f>
        <v>1341637.845714225</v>
      </c>
      <c r="AL63" s="322">
        <f t="shared" ca="1" si="80"/>
        <v>1411284.2562070088</v>
      </c>
      <c r="AM63" s="329">
        <f t="shared" ca="1" si="80"/>
        <v>1544987.273710723</v>
      </c>
      <c r="AN63" s="322">
        <f t="shared" ca="1" si="80"/>
        <v>1498434.8117595515</v>
      </c>
      <c r="AO63" s="322">
        <f t="shared" ca="1" si="80"/>
        <v>1403886.9921583293</v>
      </c>
      <c r="AP63" s="322">
        <f t="shared" ca="1" si="80"/>
        <v>1476504.5081567944</v>
      </c>
      <c r="AQ63" s="322">
        <f t="shared" ca="1" si="80"/>
        <v>1616380.1026573479</v>
      </c>
      <c r="AR63" s="322">
        <f t="shared" ca="1" si="80"/>
        <v>1567793.5283496892</v>
      </c>
      <c r="AS63" s="322">
        <f t="shared" ca="1" si="80"/>
        <v>1469254.737278092</v>
      </c>
      <c r="AU63" s="322">
        <f t="shared" ref="AU63:AW63" ca="1" si="81">SUM(AU59:AU62)</f>
        <v>2774007.0639756196</v>
      </c>
      <c r="AV63" s="322">
        <f t="shared" ca="1" si="81"/>
        <v>5858593.333835613</v>
      </c>
      <c r="AW63" s="322">
        <f t="shared" ca="1" si="81"/>
        <v>6129932.876441923</v>
      </c>
    </row>
    <row r="64" spans="2:64" x14ac:dyDescent="0.25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M64" s="8"/>
    </row>
    <row r="65" spans="2:64" x14ac:dyDescent="0.25">
      <c r="B65" t="s">
        <v>231</v>
      </c>
      <c r="C65" s="30" t="s">
        <v>225</v>
      </c>
      <c r="D65" s="225"/>
      <c r="E65" s="45" t="str">
        <f t="shared" ref="E65:AH65" si="82">E$9</f>
        <v>Jul-20A</v>
      </c>
      <c r="F65" s="45" t="str">
        <f t="shared" si="82"/>
        <v>Aug-20A</v>
      </c>
      <c r="G65" s="45" t="str">
        <f t="shared" si="82"/>
        <v>Sep-20A</v>
      </c>
      <c r="H65" s="45" t="str">
        <f t="shared" si="82"/>
        <v>Oct-20A</v>
      </c>
      <c r="I65" s="45" t="str">
        <f t="shared" si="82"/>
        <v>Nov-20A</v>
      </c>
      <c r="J65" s="45" t="str">
        <f t="shared" si="82"/>
        <v>Dec-20A</v>
      </c>
      <c r="K65" s="45" t="str">
        <f t="shared" si="82"/>
        <v>Jan-21A</v>
      </c>
      <c r="L65" s="45" t="str">
        <f t="shared" si="82"/>
        <v>Feb-21A</v>
      </c>
      <c r="M65" s="45" t="str">
        <f t="shared" si="82"/>
        <v>Mar-21A</v>
      </c>
      <c r="N65" s="45" t="str">
        <f t="shared" si="82"/>
        <v>Apr-21A</v>
      </c>
      <c r="O65" s="45" t="str">
        <f t="shared" si="82"/>
        <v>May-21A</v>
      </c>
      <c r="P65" s="46" t="str">
        <f t="shared" si="82"/>
        <v>Jun-21A</v>
      </c>
      <c r="Q65" s="45" t="str">
        <f t="shared" si="82"/>
        <v>Jul-21F</v>
      </c>
      <c r="R65" s="45" t="str">
        <f t="shared" si="82"/>
        <v>Aug-21F</v>
      </c>
      <c r="S65" s="45" t="str">
        <f t="shared" si="82"/>
        <v>Sep-21F</v>
      </c>
      <c r="T65" s="45" t="str">
        <f t="shared" si="82"/>
        <v>Oct-21F</v>
      </c>
      <c r="U65" s="45" t="str">
        <f t="shared" si="82"/>
        <v>Nov-21F</v>
      </c>
      <c r="V65" s="45" t="str">
        <f t="shared" si="82"/>
        <v>Dec-21F</v>
      </c>
      <c r="W65" s="45" t="str">
        <f t="shared" si="82"/>
        <v>Jan-22F</v>
      </c>
      <c r="X65" s="45" t="str">
        <f t="shared" si="82"/>
        <v>Feb-22F</v>
      </c>
      <c r="Y65" s="45" t="str">
        <f t="shared" si="82"/>
        <v>Mar-22F</v>
      </c>
      <c r="Z65" s="45" t="str">
        <f t="shared" si="82"/>
        <v>Apr-22F</v>
      </c>
      <c r="AA65" s="45" t="str">
        <f t="shared" si="82"/>
        <v>May-22F</v>
      </c>
      <c r="AB65" s="45" t="str">
        <f t="shared" si="82"/>
        <v>Jun-22F</v>
      </c>
      <c r="AC65" s="45" t="str">
        <f t="shared" si="82"/>
        <v>Jul-22F</v>
      </c>
      <c r="AD65" s="45" t="str">
        <f t="shared" si="82"/>
        <v>Aug-22F</v>
      </c>
      <c r="AE65" s="45" t="str">
        <f t="shared" si="82"/>
        <v>Sep-22F</v>
      </c>
      <c r="AF65" s="45" t="str">
        <f t="shared" si="82"/>
        <v>Oct-22F</v>
      </c>
      <c r="AG65" s="45" t="str">
        <f t="shared" si="82"/>
        <v>Nov-22F</v>
      </c>
      <c r="AH65" s="45" t="str">
        <f t="shared" si="82"/>
        <v>Dec-22F</v>
      </c>
      <c r="AJ65" s="45" t="str">
        <f ca="1">AJ$10</f>
        <v>Q3'20A</v>
      </c>
      <c r="AK65" s="45" t="str">
        <f t="shared" ref="AK65:AW65" ca="1" si="83">AK$10</f>
        <v>Q4'20A</v>
      </c>
      <c r="AL65" s="45" t="str">
        <f t="shared" ca="1" si="83"/>
        <v>Q1'21A</v>
      </c>
      <c r="AM65" s="46" t="str">
        <f t="shared" ca="1" si="83"/>
        <v>Q2'21A</v>
      </c>
      <c r="AN65" s="45" t="str">
        <f t="shared" ca="1" si="83"/>
        <v>Q3'21F</v>
      </c>
      <c r="AO65" s="45" t="str">
        <f t="shared" ca="1" si="83"/>
        <v>Q4'21F</v>
      </c>
      <c r="AP65" s="45" t="str">
        <f t="shared" ca="1" si="83"/>
        <v>Q1'22F</v>
      </c>
      <c r="AQ65" s="45" t="str">
        <f t="shared" ca="1" si="83"/>
        <v>Q2'22F</v>
      </c>
      <c r="AR65" s="45" t="str">
        <f t="shared" ca="1" si="83"/>
        <v>Q3'22F</v>
      </c>
      <c r="AS65" s="45" t="str">
        <f t="shared" ca="1" si="83"/>
        <v>Q4'22F</v>
      </c>
      <c r="AU65" s="45" t="str">
        <f t="shared" ca="1" si="83"/>
        <v>FY20</v>
      </c>
      <c r="AV65" s="45" t="str">
        <f t="shared" ca="1" si="83"/>
        <v>FY21</v>
      </c>
      <c r="AW65" s="45" t="str">
        <f t="shared" ca="1" si="83"/>
        <v>FY22</v>
      </c>
      <c r="AZ65" s="11"/>
      <c r="BA65" s="319"/>
      <c r="BB65" s="319"/>
      <c r="BC65" s="319"/>
      <c r="BD65" s="319"/>
      <c r="BE65" s="319"/>
      <c r="BF65" s="319"/>
      <c r="BG65" s="319"/>
      <c r="BH65" s="319"/>
      <c r="BI65" s="319"/>
      <c r="BJ65" s="319"/>
      <c r="BK65" s="319"/>
      <c r="BL65" s="319"/>
    </row>
    <row r="66" spans="2:64" outlineLevel="1" x14ac:dyDescent="0.25">
      <c r="B66" s="58"/>
      <c r="C66" s="1" t="s">
        <v>1</v>
      </c>
      <c r="E66" s="58">
        <f t="shared" ref="E66:P69" si="84">E72/E59</f>
        <v>1.5255727317202445E-2</v>
      </c>
      <c r="F66" s="58">
        <f t="shared" si="84"/>
        <v>1.564116364786337E-2</v>
      </c>
      <c r="G66" s="58">
        <f t="shared" si="84"/>
        <v>1.5595284078629413E-2</v>
      </c>
      <c r="H66" s="58">
        <f t="shared" si="84"/>
        <v>1.6749688213453431E-2</v>
      </c>
      <c r="I66" s="58">
        <f t="shared" si="84"/>
        <v>1.6881630505214597E-2</v>
      </c>
      <c r="J66" s="59">
        <f t="shared" si="84"/>
        <v>1.4519696558798981E-2</v>
      </c>
      <c r="K66" s="58">
        <f t="shared" si="84"/>
        <v>1.6809949055309418E-2</v>
      </c>
      <c r="L66" s="58">
        <f t="shared" si="84"/>
        <v>1.6193313702587458E-2</v>
      </c>
      <c r="M66" s="58">
        <f t="shared" si="84"/>
        <v>1.6049967379800949E-2</v>
      </c>
      <c r="N66" s="58">
        <f t="shared" si="84"/>
        <v>1.6210752655729209E-2</v>
      </c>
      <c r="O66" s="58">
        <f t="shared" si="84"/>
        <v>1.523389512982979E-2</v>
      </c>
      <c r="P66" s="60">
        <f t="shared" si="84"/>
        <v>1.5474475741542197E-2</v>
      </c>
      <c r="Q66" s="57">
        <f t="shared" ref="Q66:Z69" si="85">E66</f>
        <v>1.5255727317202445E-2</v>
      </c>
      <c r="R66" s="57">
        <f t="shared" si="85"/>
        <v>1.564116364786337E-2</v>
      </c>
      <c r="S66" s="57">
        <f t="shared" si="85"/>
        <v>1.5595284078629413E-2</v>
      </c>
      <c r="T66" s="57">
        <f t="shared" si="85"/>
        <v>1.6749688213453431E-2</v>
      </c>
      <c r="U66" s="57">
        <f t="shared" si="85"/>
        <v>1.6881630505214597E-2</v>
      </c>
      <c r="V66" s="57">
        <f t="shared" si="85"/>
        <v>1.4519696558798981E-2</v>
      </c>
      <c r="W66" s="57">
        <f t="shared" si="85"/>
        <v>1.6809949055309418E-2</v>
      </c>
      <c r="X66" s="57">
        <f t="shared" si="85"/>
        <v>1.6193313702587458E-2</v>
      </c>
      <c r="Y66" s="57">
        <f t="shared" si="85"/>
        <v>1.6049967379800949E-2</v>
      </c>
      <c r="Z66" s="57">
        <f t="shared" si="85"/>
        <v>1.6210752655729209E-2</v>
      </c>
      <c r="AA66" s="57">
        <f t="shared" ref="AA66:AH69" si="86">O66</f>
        <v>1.523389512982979E-2</v>
      </c>
      <c r="AB66" s="57">
        <f t="shared" si="86"/>
        <v>1.5474475741542197E-2</v>
      </c>
      <c r="AC66" s="57">
        <f t="shared" si="86"/>
        <v>1.5255727317202445E-2</v>
      </c>
      <c r="AD66" s="57">
        <f t="shared" si="86"/>
        <v>1.564116364786337E-2</v>
      </c>
      <c r="AE66" s="57">
        <f t="shared" si="86"/>
        <v>1.5595284078629413E-2</v>
      </c>
      <c r="AF66" s="57">
        <f t="shared" si="86"/>
        <v>1.6749688213453431E-2</v>
      </c>
      <c r="AG66" s="57">
        <f t="shared" si="86"/>
        <v>1.6881630505214597E-2</v>
      </c>
      <c r="AH66" s="57">
        <f t="shared" si="86"/>
        <v>1.4519696558798981E-2</v>
      </c>
      <c r="AJ66" s="323">
        <f t="shared" ref="AJ66:AW69" ca="1" si="87">AJ72/AJ59</f>
        <v>1.5483721395018473E-2</v>
      </c>
      <c r="AK66" s="323">
        <f t="shared" ca="1" si="87"/>
        <v>1.6036982413925243E-2</v>
      </c>
      <c r="AL66" s="323">
        <f t="shared" ca="1" si="87"/>
        <v>1.6372361092894666E-2</v>
      </c>
      <c r="AM66" s="330">
        <f t="shared" ca="1" si="87"/>
        <v>1.564658602393549E-2</v>
      </c>
      <c r="AN66" s="323">
        <f t="shared" ca="1" si="87"/>
        <v>1.5483741747744653E-2</v>
      </c>
      <c r="AO66" s="323">
        <f t="shared" ca="1" si="87"/>
        <v>1.6037043152426884E-2</v>
      </c>
      <c r="AP66" s="323">
        <f t="shared" ca="1" si="87"/>
        <v>1.6372372538885453E-2</v>
      </c>
      <c r="AQ66" s="323">
        <f t="shared" ca="1" si="87"/>
        <v>1.5646613912510595E-2</v>
      </c>
      <c r="AR66" s="323">
        <f t="shared" ca="1" si="87"/>
        <v>1.5483762370675377E-2</v>
      </c>
      <c r="AS66" s="323">
        <f t="shared" ca="1" si="87"/>
        <v>1.6037103267018255E-2</v>
      </c>
      <c r="AT66" s="323"/>
      <c r="AU66" s="323">
        <f t="shared" ca="1" si="87"/>
        <v>1.5737673198042004E-2</v>
      </c>
      <c r="AV66" s="323">
        <f t="shared" ca="1" si="87"/>
        <v>1.5880538254109067E-2</v>
      </c>
      <c r="AW66" s="323">
        <f t="shared" ca="1" si="87"/>
        <v>1.5880572095685705E-2</v>
      </c>
      <c r="BA66" s="319"/>
      <c r="BB66" s="319"/>
      <c r="BC66" s="319"/>
      <c r="BD66" s="319"/>
      <c r="BE66" s="319"/>
      <c r="BF66" s="319"/>
      <c r="BG66" s="58"/>
      <c r="BH66" s="58"/>
      <c r="BI66" s="58"/>
      <c r="BJ66" s="58"/>
      <c r="BK66" s="58"/>
      <c r="BL66" s="58"/>
    </row>
    <row r="67" spans="2:64" x14ac:dyDescent="0.25">
      <c r="B67" s="58"/>
      <c r="C67" s="1" t="s">
        <v>2</v>
      </c>
      <c r="E67" s="58">
        <f t="shared" si="84"/>
        <v>8.8958476733059566E-2</v>
      </c>
      <c r="F67" s="58">
        <f t="shared" si="84"/>
        <v>8.8773372182336135E-2</v>
      </c>
      <c r="G67" s="58">
        <f t="shared" si="84"/>
        <v>9.1415114288661614E-2</v>
      </c>
      <c r="H67" s="58">
        <f t="shared" si="84"/>
        <v>8.8728249423973116E-2</v>
      </c>
      <c r="I67" s="58">
        <f t="shared" si="84"/>
        <v>8.8003566661022575E-2</v>
      </c>
      <c r="J67" s="59">
        <f t="shared" si="84"/>
        <v>9.7081581291841065E-2</v>
      </c>
      <c r="K67" s="58">
        <f t="shared" si="84"/>
        <v>8.8740516541427103E-2</v>
      </c>
      <c r="L67" s="58">
        <f t="shared" si="84"/>
        <v>8.4865656883467755E-2</v>
      </c>
      <c r="M67" s="58">
        <f t="shared" si="84"/>
        <v>8.4102396282820444E-2</v>
      </c>
      <c r="N67" s="58">
        <f t="shared" si="84"/>
        <v>8.5253411531923451E-2</v>
      </c>
      <c r="O67" s="58">
        <f t="shared" si="84"/>
        <v>8.1524396493956652E-2</v>
      </c>
      <c r="P67" s="60">
        <f t="shared" si="84"/>
        <v>8.7217263531818023E-2</v>
      </c>
      <c r="Q67" s="57">
        <f t="shared" si="85"/>
        <v>8.8958476733059566E-2</v>
      </c>
      <c r="R67" s="57">
        <f t="shared" si="85"/>
        <v>8.8773372182336135E-2</v>
      </c>
      <c r="S67" s="57">
        <f t="shared" si="85"/>
        <v>9.1415114288661614E-2</v>
      </c>
      <c r="T67" s="57">
        <f t="shared" si="85"/>
        <v>8.8728249423973116E-2</v>
      </c>
      <c r="U67" s="57">
        <f t="shared" si="85"/>
        <v>8.8003566661022575E-2</v>
      </c>
      <c r="V67" s="57">
        <f t="shared" si="85"/>
        <v>9.7081581291841065E-2</v>
      </c>
      <c r="W67" s="57">
        <f t="shared" si="85"/>
        <v>8.8740516541427103E-2</v>
      </c>
      <c r="X67" s="57">
        <f t="shared" si="85"/>
        <v>8.4865656883467755E-2</v>
      </c>
      <c r="Y67" s="57">
        <f t="shared" si="85"/>
        <v>8.4102396282820444E-2</v>
      </c>
      <c r="Z67" s="57">
        <f t="shared" si="85"/>
        <v>8.5253411531923451E-2</v>
      </c>
      <c r="AA67" s="57">
        <f t="shared" si="86"/>
        <v>8.1524396493956652E-2</v>
      </c>
      <c r="AB67" s="57">
        <f t="shared" si="86"/>
        <v>8.7217263531818023E-2</v>
      </c>
      <c r="AC67" s="57">
        <f t="shared" si="86"/>
        <v>8.8958476733059566E-2</v>
      </c>
      <c r="AD67" s="57">
        <f t="shared" si="86"/>
        <v>8.8773372182336135E-2</v>
      </c>
      <c r="AE67" s="57">
        <f t="shared" si="86"/>
        <v>9.1415114288661614E-2</v>
      </c>
      <c r="AF67" s="57">
        <f t="shared" si="86"/>
        <v>8.8728249423973116E-2</v>
      </c>
      <c r="AG67" s="57">
        <f t="shared" si="86"/>
        <v>8.8003566661022575E-2</v>
      </c>
      <c r="AH67" s="57">
        <f t="shared" si="86"/>
        <v>9.7081581291841065E-2</v>
      </c>
      <c r="AJ67" s="323">
        <f t="shared" ca="1" si="87"/>
        <v>8.965722139728162E-2</v>
      </c>
      <c r="AK67" s="323">
        <f t="shared" ca="1" si="87"/>
        <v>9.1529298015860197E-2</v>
      </c>
      <c r="AL67" s="323">
        <f t="shared" ca="1" si="87"/>
        <v>8.6097449780615481E-2</v>
      </c>
      <c r="AM67" s="330">
        <f t="shared" ca="1" si="87"/>
        <v>8.4744091450314113E-2</v>
      </c>
      <c r="AN67" s="323">
        <f t="shared" ca="1" si="87"/>
        <v>8.9657306422093699E-2</v>
      </c>
      <c r="AO67" s="323">
        <f t="shared" ca="1" si="87"/>
        <v>9.1529049107986926E-2</v>
      </c>
      <c r="AP67" s="323">
        <f t="shared" ca="1" si="87"/>
        <v>8.6097522211018115E-2</v>
      </c>
      <c r="AQ67" s="323">
        <f t="shared" ca="1" si="87"/>
        <v>8.4744222512705539E-2</v>
      </c>
      <c r="AR67" s="323">
        <f t="shared" ca="1" si="87"/>
        <v>8.9657393583489592E-2</v>
      </c>
      <c r="AS67" s="323">
        <f t="shared" ca="1" si="87"/>
        <v>9.1528802588905209E-2</v>
      </c>
      <c r="AT67" s="323"/>
      <c r="AU67" s="323">
        <f t="shared" ca="1" si="87"/>
        <v>9.061928487294689E-2</v>
      </c>
      <c r="AV67" s="323">
        <f t="shared" ca="1" si="87"/>
        <v>8.7896524637309487E-2</v>
      </c>
      <c r="AW67" s="323">
        <f t="shared" ca="1" si="87"/>
        <v>8.7896874546626813E-2</v>
      </c>
      <c r="BA67" s="319"/>
      <c r="BB67" s="319"/>
      <c r="BC67" s="319"/>
      <c r="BD67" s="319"/>
      <c r="BE67" s="319"/>
      <c r="BF67" s="319"/>
      <c r="BG67" s="58"/>
      <c r="BH67" s="58"/>
      <c r="BI67" s="58"/>
      <c r="BJ67" s="58"/>
      <c r="BK67" s="58"/>
      <c r="BL67" s="58"/>
    </row>
    <row r="68" spans="2:64" outlineLevel="1" x14ac:dyDescent="0.25">
      <c r="B68" s="58"/>
      <c r="C68" s="1" t="s">
        <v>3</v>
      </c>
      <c r="E68" s="58">
        <f t="shared" si="84"/>
        <v>0.12126043932361441</v>
      </c>
      <c r="F68" s="58">
        <f t="shared" si="84"/>
        <v>0.12378759574741895</v>
      </c>
      <c r="G68" s="58">
        <f t="shared" si="84"/>
        <v>0.1209372695424971</v>
      </c>
      <c r="H68" s="58">
        <f t="shared" si="84"/>
        <v>0.12277708769937784</v>
      </c>
      <c r="I68" s="58">
        <f t="shared" si="84"/>
        <v>0.12321831090324342</v>
      </c>
      <c r="J68" s="59">
        <f t="shared" si="84"/>
        <v>0.12861268324217726</v>
      </c>
      <c r="K68" s="58">
        <f t="shared" si="84"/>
        <v>0.1227857284272682</v>
      </c>
      <c r="L68" s="58">
        <f t="shared" si="84"/>
        <v>0.12302859937637683</v>
      </c>
      <c r="M68" s="58">
        <f t="shared" si="84"/>
        <v>0.12102825738699766</v>
      </c>
      <c r="N68" s="58">
        <f t="shared" si="84"/>
        <v>0.12065380863761488</v>
      </c>
      <c r="O68" s="58">
        <f t="shared" si="84"/>
        <v>0.12310997286796449</v>
      </c>
      <c r="P68" s="60">
        <f t="shared" si="84"/>
        <v>0.12058228775688343</v>
      </c>
      <c r="Q68" s="57">
        <f t="shared" si="85"/>
        <v>0.12126043932361441</v>
      </c>
      <c r="R68" s="57">
        <f t="shared" si="85"/>
        <v>0.12378759574741895</v>
      </c>
      <c r="S68" s="57">
        <f t="shared" si="85"/>
        <v>0.1209372695424971</v>
      </c>
      <c r="T68" s="57">
        <f t="shared" si="85"/>
        <v>0.12277708769937784</v>
      </c>
      <c r="U68" s="57">
        <f t="shared" si="85"/>
        <v>0.12321831090324342</v>
      </c>
      <c r="V68" s="57">
        <f t="shared" si="85"/>
        <v>0.12861268324217726</v>
      </c>
      <c r="W68" s="57">
        <f t="shared" si="85"/>
        <v>0.1227857284272682</v>
      </c>
      <c r="X68" s="57">
        <f t="shared" si="85"/>
        <v>0.12302859937637683</v>
      </c>
      <c r="Y68" s="57">
        <f t="shared" si="85"/>
        <v>0.12102825738699766</v>
      </c>
      <c r="Z68" s="57">
        <f t="shared" si="85"/>
        <v>0.12065380863761488</v>
      </c>
      <c r="AA68" s="57">
        <f t="shared" si="86"/>
        <v>0.12310997286796449</v>
      </c>
      <c r="AB68" s="57">
        <f t="shared" si="86"/>
        <v>0.12058228775688343</v>
      </c>
      <c r="AC68" s="57">
        <f t="shared" si="86"/>
        <v>0.12126043932361441</v>
      </c>
      <c r="AD68" s="57">
        <f t="shared" si="86"/>
        <v>0.12378759574741895</v>
      </c>
      <c r="AE68" s="57">
        <f t="shared" si="86"/>
        <v>0.1209372695424971</v>
      </c>
      <c r="AF68" s="57">
        <f t="shared" si="86"/>
        <v>0.12277708769937784</v>
      </c>
      <c r="AG68" s="57">
        <f t="shared" si="86"/>
        <v>0.12321831090324342</v>
      </c>
      <c r="AH68" s="57">
        <f t="shared" si="86"/>
        <v>0.12861268324217726</v>
      </c>
      <c r="AJ68" s="323">
        <f t="shared" ca="1" si="87"/>
        <v>0.12198761985724145</v>
      </c>
      <c r="AK68" s="323">
        <f t="shared" ca="1" si="87"/>
        <v>0.12508667885837702</v>
      </c>
      <c r="AL68" s="323">
        <f t="shared" ca="1" si="87"/>
        <v>0.12233307313463648</v>
      </c>
      <c r="AM68" s="330">
        <f t="shared" ca="1" si="87"/>
        <v>0.12141358301650035</v>
      </c>
      <c r="AN68" s="323">
        <f t="shared" ca="1" si="87"/>
        <v>0.12198765981359661</v>
      </c>
      <c r="AO68" s="323">
        <f t="shared" ca="1" si="87"/>
        <v>0.12508652515970106</v>
      </c>
      <c r="AP68" s="323">
        <f t="shared" ca="1" si="87"/>
        <v>0.12233309557073699</v>
      </c>
      <c r="AQ68" s="323">
        <f t="shared" ca="1" si="87"/>
        <v>0.1214135033649098</v>
      </c>
      <c r="AR68" s="323">
        <f t="shared" ca="1" si="87"/>
        <v>0.12198769935523587</v>
      </c>
      <c r="AS68" s="323">
        <f t="shared" ca="1" si="87"/>
        <v>0.12508637307314374</v>
      </c>
      <c r="AT68" s="323"/>
      <c r="AU68" s="323">
        <f t="shared" ca="1" si="87"/>
        <v>0.12358965494981317</v>
      </c>
      <c r="AV68" s="323">
        <f t="shared" ca="1" si="87"/>
        <v>0.12267512934568345</v>
      </c>
      <c r="AW68" s="323">
        <f t="shared" ca="1" si="87"/>
        <v>0.12267527329499997</v>
      </c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</row>
    <row r="69" spans="2:64" outlineLevel="1" x14ac:dyDescent="0.25">
      <c r="B69" s="58"/>
      <c r="C69" s="1" t="s">
        <v>4</v>
      </c>
      <c r="E69" s="58">
        <f t="shared" si="84"/>
        <v>0.18473433985998097</v>
      </c>
      <c r="F69" s="58">
        <f t="shared" si="84"/>
        <v>0.19037101940622461</v>
      </c>
      <c r="G69" s="58">
        <f t="shared" si="84"/>
        <v>0.192835674701611</v>
      </c>
      <c r="H69" s="58">
        <f t="shared" si="84"/>
        <v>0.19167720884138706</v>
      </c>
      <c r="I69" s="58">
        <f t="shared" si="84"/>
        <v>0.19495536859334256</v>
      </c>
      <c r="J69" s="59">
        <f t="shared" si="84"/>
        <v>0.18799775025179072</v>
      </c>
      <c r="K69" s="58">
        <f t="shared" si="84"/>
        <v>0.17523363762819685</v>
      </c>
      <c r="L69" s="58">
        <f t="shared" si="84"/>
        <v>0.19312970399398718</v>
      </c>
      <c r="M69" s="58">
        <f t="shared" si="84"/>
        <v>0.18106149885882802</v>
      </c>
      <c r="N69" s="58">
        <f t="shared" si="84"/>
        <v>0.19490781575730229</v>
      </c>
      <c r="O69" s="58">
        <f t="shared" si="84"/>
        <v>0.18964836568316307</v>
      </c>
      <c r="P69" s="60">
        <f t="shared" si="84"/>
        <v>0.18301482345204548</v>
      </c>
      <c r="Q69" s="57">
        <f t="shared" si="85"/>
        <v>0.18473433985998097</v>
      </c>
      <c r="R69" s="57">
        <f t="shared" si="85"/>
        <v>0.19037101940622461</v>
      </c>
      <c r="S69" s="57">
        <f t="shared" si="85"/>
        <v>0.192835674701611</v>
      </c>
      <c r="T69" s="57">
        <f t="shared" si="85"/>
        <v>0.19167720884138706</v>
      </c>
      <c r="U69" s="57">
        <f t="shared" si="85"/>
        <v>0.19495536859334256</v>
      </c>
      <c r="V69" s="57">
        <f t="shared" si="85"/>
        <v>0.18799775025179072</v>
      </c>
      <c r="W69" s="57">
        <f t="shared" si="85"/>
        <v>0.17523363762819685</v>
      </c>
      <c r="X69" s="57">
        <f t="shared" si="85"/>
        <v>0.19312970399398718</v>
      </c>
      <c r="Y69" s="57">
        <f t="shared" si="85"/>
        <v>0.18106149885882802</v>
      </c>
      <c r="Z69" s="57">
        <f t="shared" si="85"/>
        <v>0.19490781575730229</v>
      </c>
      <c r="AA69" s="57">
        <f t="shared" si="86"/>
        <v>0.18964836568316307</v>
      </c>
      <c r="AB69" s="57">
        <f t="shared" si="86"/>
        <v>0.18301482345204548</v>
      </c>
      <c r="AC69" s="57">
        <f t="shared" si="86"/>
        <v>0.18473433985998097</v>
      </c>
      <c r="AD69" s="57">
        <f t="shared" si="86"/>
        <v>0.19037101940622461</v>
      </c>
      <c r="AE69" s="57">
        <f t="shared" si="86"/>
        <v>0.192835674701611</v>
      </c>
      <c r="AF69" s="57">
        <f t="shared" si="86"/>
        <v>0.19167720884138706</v>
      </c>
      <c r="AG69" s="57">
        <f t="shared" si="86"/>
        <v>0.19495536859334256</v>
      </c>
      <c r="AH69" s="57">
        <f t="shared" si="86"/>
        <v>0.18799775025179072</v>
      </c>
      <c r="AJ69" s="323">
        <f t="shared" ca="1" si="87"/>
        <v>0.18908312029889179</v>
      </c>
      <c r="AK69" s="323">
        <f t="shared" ca="1" si="87"/>
        <v>0.19130483363682771</v>
      </c>
      <c r="AL69" s="323">
        <f t="shared" ca="1" si="87"/>
        <v>0.18273323966420693</v>
      </c>
      <c r="AM69" s="330">
        <f t="shared" ca="1" si="87"/>
        <v>0.18909820243318254</v>
      </c>
      <c r="AN69" s="323">
        <f t="shared" ca="1" si="87"/>
        <v>0.18908352833887249</v>
      </c>
      <c r="AO69" s="323">
        <f t="shared" ca="1" si="87"/>
        <v>0.19130501310197218</v>
      </c>
      <c r="AP69" s="323">
        <f t="shared" ca="1" si="87"/>
        <v>0.18273311051855357</v>
      </c>
      <c r="AQ69" s="323">
        <f t="shared" ca="1" si="87"/>
        <v>0.18909830719904377</v>
      </c>
      <c r="AR69" s="323">
        <f t="shared" ca="1" si="87"/>
        <v>0.18908394309114274</v>
      </c>
      <c r="AS69" s="323">
        <f t="shared" ca="1" si="87"/>
        <v>0.19130519125828649</v>
      </c>
      <c r="AT69" s="323"/>
      <c r="AU69" s="323">
        <f t="shared" ca="1" si="87"/>
        <v>0.19024227508390185</v>
      </c>
      <c r="AV69" s="323">
        <f t="shared" ca="1" si="87"/>
        <v>0.1882844284521713</v>
      </c>
      <c r="AW69" s="323">
        <f t="shared" ca="1" si="87"/>
        <v>0.1882848420679489</v>
      </c>
    </row>
    <row r="70" spans="2:64" x14ac:dyDescent="0.25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M70" s="8"/>
      <c r="AZ70" t="str">
        <f>AZ71&amp;" "&amp;C71</f>
        <v>Air Transactions (thousands)</v>
      </c>
      <c r="BA70">
        <v>1</v>
      </c>
      <c r="BB70">
        <f>BA70+1</f>
        <v>2</v>
      </c>
      <c r="BC70">
        <f t="shared" ref="BC70:BL70" si="88">BB70+1</f>
        <v>3</v>
      </c>
      <c r="BD70">
        <f t="shared" si="88"/>
        <v>4</v>
      </c>
      <c r="BE70">
        <f t="shared" si="88"/>
        <v>5</v>
      </c>
      <c r="BF70">
        <f t="shared" si="88"/>
        <v>6</v>
      </c>
      <c r="BG70">
        <f t="shared" si="88"/>
        <v>7</v>
      </c>
      <c r="BH70">
        <f t="shared" si="88"/>
        <v>8</v>
      </c>
      <c r="BI70">
        <f t="shared" si="88"/>
        <v>9</v>
      </c>
      <c r="BJ70">
        <f t="shared" si="88"/>
        <v>10</v>
      </c>
      <c r="BK70">
        <f t="shared" si="88"/>
        <v>11</v>
      </c>
      <c r="BL70">
        <f t="shared" si="88"/>
        <v>12</v>
      </c>
    </row>
    <row r="71" spans="2:64" x14ac:dyDescent="0.25">
      <c r="C71" s="30" t="s">
        <v>268</v>
      </c>
      <c r="D71" s="225"/>
      <c r="E71" s="45" t="str">
        <f t="shared" ref="E71:AH71" si="89">E$9</f>
        <v>Jul-20A</v>
      </c>
      <c r="F71" s="45" t="str">
        <f t="shared" si="89"/>
        <v>Aug-20A</v>
      </c>
      <c r="G71" s="45" t="str">
        <f t="shared" si="89"/>
        <v>Sep-20A</v>
      </c>
      <c r="H71" s="45" t="str">
        <f t="shared" si="89"/>
        <v>Oct-20A</v>
      </c>
      <c r="I71" s="45" t="str">
        <f t="shared" si="89"/>
        <v>Nov-20A</v>
      </c>
      <c r="J71" s="45" t="str">
        <f t="shared" si="89"/>
        <v>Dec-20A</v>
      </c>
      <c r="K71" s="45" t="str">
        <f t="shared" si="89"/>
        <v>Jan-21A</v>
      </c>
      <c r="L71" s="45" t="str">
        <f t="shared" si="89"/>
        <v>Feb-21A</v>
      </c>
      <c r="M71" s="45" t="str">
        <f t="shared" si="89"/>
        <v>Mar-21A</v>
      </c>
      <c r="N71" s="45" t="str">
        <f t="shared" si="89"/>
        <v>Apr-21A</v>
      </c>
      <c r="O71" s="45" t="str">
        <f t="shared" si="89"/>
        <v>May-21A</v>
      </c>
      <c r="P71" s="46" t="str">
        <f t="shared" si="89"/>
        <v>Jun-21A</v>
      </c>
      <c r="Q71" s="45" t="str">
        <f t="shared" si="89"/>
        <v>Jul-21F</v>
      </c>
      <c r="R71" s="45" t="str">
        <f t="shared" si="89"/>
        <v>Aug-21F</v>
      </c>
      <c r="S71" s="45" t="str">
        <f t="shared" si="89"/>
        <v>Sep-21F</v>
      </c>
      <c r="T71" s="45" t="str">
        <f t="shared" si="89"/>
        <v>Oct-21F</v>
      </c>
      <c r="U71" s="45" t="str">
        <f t="shared" si="89"/>
        <v>Nov-21F</v>
      </c>
      <c r="V71" s="45" t="str">
        <f t="shared" si="89"/>
        <v>Dec-21F</v>
      </c>
      <c r="W71" s="45" t="str">
        <f t="shared" si="89"/>
        <v>Jan-22F</v>
      </c>
      <c r="X71" s="45" t="str">
        <f t="shared" si="89"/>
        <v>Feb-22F</v>
      </c>
      <c r="Y71" s="45" t="str">
        <f t="shared" si="89"/>
        <v>Mar-22F</v>
      </c>
      <c r="Z71" s="45" t="str">
        <f t="shared" si="89"/>
        <v>Apr-22F</v>
      </c>
      <c r="AA71" s="45" t="str">
        <f t="shared" si="89"/>
        <v>May-22F</v>
      </c>
      <c r="AB71" s="45" t="str">
        <f t="shared" si="89"/>
        <v>Jun-22F</v>
      </c>
      <c r="AC71" s="45" t="str">
        <f t="shared" si="89"/>
        <v>Jul-22F</v>
      </c>
      <c r="AD71" s="45" t="str">
        <f t="shared" si="89"/>
        <v>Aug-22F</v>
      </c>
      <c r="AE71" s="45" t="str">
        <f t="shared" si="89"/>
        <v>Sep-22F</v>
      </c>
      <c r="AF71" s="45" t="str">
        <f t="shared" si="89"/>
        <v>Oct-22F</v>
      </c>
      <c r="AG71" s="45" t="str">
        <f t="shared" si="89"/>
        <v>Nov-22F</v>
      </c>
      <c r="AH71" s="45" t="str">
        <f t="shared" si="89"/>
        <v>Dec-22F</v>
      </c>
      <c r="AJ71" s="45" t="str">
        <f ca="1">AJ$10</f>
        <v>Q3'20A</v>
      </c>
      <c r="AK71" s="45" t="str">
        <f t="shared" ref="AK71:AW71" ca="1" si="90">AK$10</f>
        <v>Q4'20A</v>
      </c>
      <c r="AL71" s="45" t="str">
        <f t="shared" ca="1" si="90"/>
        <v>Q1'21A</v>
      </c>
      <c r="AM71" s="46" t="str">
        <f t="shared" ca="1" si="90"/>
        <v>Q2'21A</v>
      </c>
      <c r="AN71" s="45" t="str">
        <f t="shared" ca="1" si="90"/>
        <v>Q3'21F</v>
      </c>
      <c r="AO71" s="45" t="str">
        <f t="shared" ca="1" si="90"/>
        <v>Q4'21F</v>
      </c>
      <c r="AP71" s="45" t="str">
        <f t="shared" ca="1" si="90"/>
        <v>Q1'22F</v>
      </c>
      <c r="AQ71" s="45" t="str">
        <f t="shared" ca="1" si="90"/>
        <v>Q2'22F</v>
      </c>
      <c r="AR71" s="45" t="str">
        <f t="shared" ca="1" si="90"/>
        <v>Q3'22F</v>
      </c>
      <c r="AS71" s="45" t="str">
        <f t="shared" ca="1" si="90"/>
        <v>Q4'22F</v>
      </c>
      <c r="AU71" s="45" t="str">
        <f t="shared" ca="1" si="90"/>
        <v>FY20</v>
      </c>
      <c r="AV71" s="45" t="str">
        <f t="shared" ca="1" si="90"/>
        <v>FY21</v>
      </c>
      <c r="AW71" s="45" t="str">
        <f t="shared" ca="1" si="90"/>
        <v>FY22</v>
      </c>
      <c r="AZ71" s="11" t="s">
        <v>1</v>
      </c>
      <c r="BA71" s="319" t="str">
        <f>_xlfn.XLOOKUP(BA$70,REF!$H$3:$H$14,REF!$I$3:$I$14)</f>
        <v>Jan</v>
      </c>
      <c r="BB71" s="319" t="str">
        <f>_xlfn.XLOOKUP(BB$70,REF!$H$3:$H$14,REF!$I$3:$I$14)</f>
        <v>Feb</v>
      </c>
      <c r="BC71" s="319" t="str">
        <f>_xlfn.XLOOKUP(BC$70,REF!$H$3:$H$14,REF!$I$3:$I$14)</f>
        <v>Mar</v>
      </c>
      <c r="BD71" s="319" t="str">
        <f>_xlfn.XLOOKUP(BD$70,REF!$H$3:$H$14,REF!$I$3:$I$14)</f>
        <v>Apr</v>
      </c>
      <c r="BE71" s="319" t="str">
        <f>_xlfn.XLOOKUP(BE$70,REF!$H$3:$H$14,REF!$I$3:$I$14)</f>
        <v>May</v>
      </c>
      <c r="BF71" s="319" t="str">
        <f>_xlfn.XLOOKUP(BF$70,REF!$H$3:$H$14,REF!$I$3:$I$14)</f>
        <v>Jun</v>
      </c>
      <c r="BG71" s="319" t="str">
        <f>_xlfn.XLOOKUP(BG$70,REF!$H$3:$H$14,REF!$I$3:$I$14)</f>
        <v>Jul</v>
      </c>
      <c r="BH71" s="319" t="str">
        <f>_xlfn.XLOOKUP(BH$70,REF!$H$3:$H$14,REF!$I$3:$I$14)</f>
        <v>Aug</v>
      </c>
      <c r="BI71" s="319" t="str">
        <f>_xlfn.XLOOKUP(BI$70,REF!$H$3:$H$14,REF!$I$3:$I$14)</f>
        <v>Sep</v>
      </c>
      <c r="BJ71" s="319" t="str">
        <f>_xlfn.XLOOKUP(BJ$70,REF!$H$3:$H$14,REF!$I$3:$I$14)</f>
        <v>Oct</v>
      </c>
      <c r="BK71" s="319" t="str">
        <f>_xlfn.XLOOKUP(BK$70,REF!$H$3:$H$14,REF!$I$3:$I$14)</f>
        <v>Nov</v>
      </c>
      <c r="BL71" s="319" t="str">
        <f>_xlfn.XLOOKUP(BL$70,REF!$H$3:$H$14,REF!$I$3:$I$14)</f>
        <v>Dec</v>
      </c>
    </row>
    <row r="72" spans="2:64" outlineLevel="1" x14ac:dyDescent="0.25">
      <c r="C72" s="1" t="s">
        <v>1</v>
      </c>
      <c r="E72" s="65">
        <v>4877.2527534301125</v>
      </c>
      <c r="F72" s="65">
        <v>4583.7702769180887</v>
      </c>
      <c r="G72" s="65">
        <v>3739.3567329588413</v>
      </c>
      <c r="H72" s="65">
        <v>4462.3931097910117</v>
      </c>
      <c r="I72" s="65">
        <v>3598.0357694300228</v>
      </c>
      <c r="J72" s="91">
        <v>3539.7568240696037</v>
      </c>
      <c r="K72" s="65">
        <v>5150.2147303921283</v>
      </c>
      <c r="L72" s="65">
        <v>4745.5823432210127</v>
      </c>
      <c r="M72" s="65">
        <v>4062.177145539003</v>
      </c>
      <c r="N72" s="65">
        <v>4318.8117912158823</v>
      </c>
      <c r="O72" s="65">
        <v>3855.632797846843</v>
      </c>
      <c r="P72" s="67">
        <v>4122.6554815045574</v>
      </c>
      <c r="Q72" s="83">
        <f>Q59*Q66</f>
        <v>5101.4259447027589</v>
      </c>
      <c r="R72" s="83">
        <f t="shared" ref="R72:AH75" si="91">R59*R66</f>
        <v>4795.4996800296849</v>
      </c>
      <c r="S72" s="83">
        <f t="shared" si="91"/>
        <v>3912.2950148854047</v>
      </c>
      <c r="T72" s="83">
        <f t="shared" si="91"/>
        <v>4669.5138128114331</v>
      </c>
      <c r="U72" s="83">
        <f t="shared" si="91"/>
        <v>3765.2393782980885</v>
      </c>
      <c r="V72" s="83">
        <f t="shared" si="91"/>
        <v>3703.7103106978839</v>
      </c>
      <c r="W72" s="83">
        <f t="shared" si="91"/>
        <v>5388.4560229422568</v>
      </c>
      <c r="X72" s="83">
        <f t="shared" si="91"/>
        <v>4964.8488276248208</v>
      </c>
      <c r="Y72" s="83">
        <f t="shared" si="91"/>
        <v>4249.7207188631419</v>
      </c>
      <c r="Z72" s="83">
        <f t="shared" si="91"/>
        <v>4518.7444425734493</v>
      </c>
      <c r="AA72" s="83">
        <f t="shared" si="91"/>
        <v>4033.3913883090695</v>
      </c>
      <c r="AB72" s="83">
        <f t="shared" si="91"/>
        <v>4313.2283428359515</v>
      </c>
      <c r="AC72" s="83">
        <f t="shared" si="91"/>
        <v>5336.7283352633322</v>
      </c>
      <c r="AD72" s="83">
        <f t="shared" si="91"/>
        <v>5017.7957826707334</v>
      </c>
      <c r="AE72" s="83">
        <f t="shared" si="91"/>
        <v>4093.8852946636916</v>
      </c>
      <c r="AF72" s="83">
        <f t="shared" si="91"/>
        <v>4887.0110913593508</v>
      </c>
      <c r="AG72" s="83">
        <f t="shared" si="91"/>
        <v>3940.8301630761734</v>
      </c>
      <c r="AH72" s="83">
        <f t="shared" si="91"/>
        <v>3875.8685177734424</v>
      </c>
      <c r="AJ72" s="83" cm="1">
        <f t="array" aca="1" ref="AJ72" ca="1">SUMPRODUCT(($E72:$AH72)*(AJ$3&amp;AJ$4&amp;AJ$5&amp;AJ$6=$E$3:$AH$3&amp;$E$4:$AH$4&amp;$E$5:$AH$5&amp;$E$6:$AH$6))</f>
        <v>13200.379763307043</v>
      </c>
      <c r="AK72" s="83" cm="1">
        <f t="array" aca="1" ref="AK72" ca="1">SUMPRODUCT(($E72:$AH72)*(AK$3=$E$3:$AH$3)*(AK$4=$E$4:$AH$4)*(AK$5=$E$5:$AH$5)*(AK$6=$E$6:$AH$6))</f>
        <v>11600.185703290637</v>
      </c>
      <c r="AL72" s="83" cm="1">
        <f t="array" aca="1" ref="AL72" ca="1">SUMPRODUCT(($E72:$AH72)*(AL$3=$E$3:$AH$3)*(AL$4=$E$4:$AH$4)*(AL$5=$E$5:$AH$5)*(AL$6=$E$6:$AH$6))</f>
        <v>13957.974219152144</v>
      </c>
      <c r="AM72" s="158" cm="1">
        <f t="array" aca="1" ref="AM72" ca="1">SUMPRODUCT(($E72:$AH72)*(AM$3=$E$3:$AH$3)*(AM$4=$E$4:$AH$4)*(AM$5=$E$5:$AH$5)*(AM$6=$E$6:$AH$6))</f>
        <v>12297.100070567281</v>
      </c>
      <c r="AN72" s="83" cm="1">
        <f t="array" aca="1" ref="AN72" ca="1">SUMPRODUCT(($E72:$AH72)*(AN$3=$E$3:$AH$3)*(AN$4=$E$4:$AH$4)*(AN$5=$E$5:$AH$5)*(AN$6=$E$6:$AH$6))</f>
        <v>13809.22063961785</v>
      </c>
      <c r="AO72" s="83" cm="1">
        <f t="array" aca="1" ref="AO72" ca="1">SUMPRODUCT(($E72:$AH72)*(AO$3=$E$3:$AH$3)*(AO$4=$E$4:$AH$4)*(AO$5=$E$5:$AH$5)*(AO$6=$E$6:$AH$6))</f>
        <v>12138.463501807404</v>
      </c>
      <c r="AP72" s="83" cm="1">
        <f t="array" aca="1" ref="AP72" ca="1">SUMPRODUCT(($E72:$AH72)*(AP$3=$E$3:$AH$3)*(AP$4=$E$4:$AH$4)*(AP$5=$E$5:$AH$5)*(AP$6=$E$6:$AH$6))</f>
        <v>14603.02556943022</v>
      </c>
      <c r="AQ72" s="83" cm="1">
        <f t="array" aca="1" ref="AQ72" ca="1">SUMPRODUCT(($E72:$AH72)*(AQ$3=$E$3:$AH$3)*(AQ$4=$E$4:$AH$4)*(AQ$5=$E$5:$AH$5)*(AQ$6=$E$6:$AH$6))</f>
        <v>12865.36417371847</v>
      </c>
      <c r="AR72" s="83" cm="1">
        <f t="array" aca="1" ref="AR72" ca="1">SUMPRODUCT(($E72:$AH72)*(AR$3=$E$3:$AH$3)*(AR$4=$E$4:$AH$4)*(AR$5=$E$5:$AH$5)*(AR$6=$E$6:$AH$6))</f>
        <v>14448.409412597757</v>
      </c>
      <c r="AS72" s="83" cm="1">
        <f t="array" aca="1" ref="AS72" ca="1">SUMPRODUCT(($E72:$AH72)*(AS$3=$E$3:$AH$3)*(AS$4=$E$4:$AH$4)*(AS$5=$E$5:$AH$5)*(AS$6=$E$6:$AH$6))</f>
        <v>12703.709772208966</v>
      </c>
      <c r="AT72" s="83"/>
      <c r="AU72" s="83" cm="1">
        <f t="array" aca="1" ref="AU72" ca="1">SUMPRODUCT(($E72:$AH72)*(AU$5=$E$5:$AH$5))</f>
        <v>24800.565466597676</v>
      </c>
      <c r="AV72" s="83" cm="1">
        <f t="array" aca="1" ref="AV72" ca="1">SUMPRODUCT(($E72:$AH72)*(AV$5=$E$5:$AH$5))</f>
        <v>52202.758431144677</v>
      </c>
      <c r="AW72" s="83" cm="1">
        <f t="array" aca="1" ref="AW72" ca="1">SUMPRODUCT(($E72:$AH72)*(AW$5=$E$5:$AH$5))</f>
        <v>54620.508927955416</v>
      </c>
      <c r="AZ72">
        <v>2020</v>
      </c>
      <c r="BA72" s="365"/>
      <c r="BB72" s="365"/>
      <c r="BC72" s="365"/>
      <c r="BD72" s="365"/>
      <c r="BE72" s="365"/>
      <c r="BF72" s="365"/>
      <c r="BG72" s="13" cm="1">
        <f t="array" ref="BG72">INDEX($E$72:$AH$75,MATCH($AZ$71,$C$72:$C$75,0),MATCH(BG$49&amp;$AZ72,$E$7:$AH$7&amp;$E$5:$AH$5,0))</f>
        <v>4877.2527534301125</v>
      </c>
      <c r="BH72" s="13" cm="1">
        <f t="array" ref="BH72">INDEX($E$72:$AH$75,MATCH($AZ$71,$C$72:$C$75,0),MATCH(BH$49&amp;$AZ72,$E$7:$AH$7&amp;$E$5:$AH$5,0))</f>
        <v>4583.7702769180887</v>
      </c>
      <c r="BI72" s="13" cm="1">
        <f t="array" ref="BI72">INDEX($E$72:$AH$75,MATCH($AZ$71,$C$72:$C$75,0),MATCH(BI$49&amp;$AZ72,$E$7:$AH$7&amp;$E$5:$AH$5,0))</f>
        <v>3739.3567329588413</v>
      </c>
      <c r="BJ72" s="13" cm="1">
        <f t="array" ref="BJ72">INDEX($E$72:$AH$75,MATCH($AZ$71,$C$72:$C$75,0),MATCH(BJ$49&amp;$AZ72,$E$7:$AH$7&amp;$E$5:$AH$5,0))</f>
        <v>4462.3931097910117</v>
      </c>
      <c r="BK72" s="13" cm="1">
        <f t="array" ref="BK72">INDEX($E$72:$AH$75,MATCH($AZ$71,$C$72:$C$75,0),MATCH(BK$49&amp;$AZ72,$E$7:$AH$7&amp;$E$5:$AH$5,0))</f>
        <v>3598.0357694300228</v>
      </c>
      <c r="BL72" s="13" cm="1">
        <f t="array" ref="BL72">INDEX($E$72:$AH$75,MATCH($AZ$71,$C$72:$C$75,0),MATCH(BL$49&amp;$AZ72,$E$7:$AH$7&amp;$E$5:$AH$5,0))</f>
        <v>3539.7568240696037</v>
      </c>
    </row>
    <row r="73" spans="2:64" x14ac:dyDescent="0.25">
      <c r="C73" s="1" t="s">
        <v>2</v>
      </c>
      <c r="E73" s="65">
        <v>7696.8587516172438</v>
      </c>
      <c r="F73" s="65">
        <v>6912.7588344196211</v>
      </c>
      <c r="G73" s="65">
        <v>6723</v>
      </c>
      <c r="H73" s="65">
        <v>6909.2451372507594</v>
      </c>
      <c r="I73" s="65">
        <v>7233.5261882678415</v>
      </c>
      <c r="J73" s="91">
        <v>8880.9259749963294</v>
      </c>
      <c r="K73" s="65">
        <v>7678.0004160197886</v>
      </c>
      <c r="L73" s="65">
        <v>6241.3290807242392</v>
      </c>
      <c r="M73" s="65">
        <v>5821.3610541363378</v>
      </c>
      <c r="N73" s="65">
        <v>8851.5472488191263</v>
      </c>
      <c r="O73" s="65">
        <v>8111.6949819620622</v>
      </c>
      <c r="P73" s="67">
        <v>9432.7570395760104</v>
      </c>
      <c r="Q73" s="83">
        <f>Q60*Q67</f>
        <v>8050.6295066619496</v>
      </c>
      <c r="R73" s="83">
        <f t="shared" ref="R73:AF73" si="92">R60*R67</f>
        <v>7232.066786922459</v>
      </c>
      <c r="S73" s="83">
        <f t="shared" si="92"/>
        <v>7033.9262240600137</v>
      </c>
      <c r="T73" s="83">
        <f t="shared" si="92"/>
        <v>7229.9357790115491</v>
      </c>
      <c r="U73" s="83">
        <f t="shared" si="92"/>
        <v>7569.6739536113873</v>
      </c>
      <c r="V73" s="83">
        <f t="shared" si="92"/>
        <v>9292.2702707929839</v>
      </c>
      <c r="W73" s="83">
        <f t="shared" si="92"/>
        <v>8033.1733241547672</v>
      </c>
      <c r="X73" s="83">
        <f t="shared" si="92"/>
        <v>6529.7055509992861</v>
      </c>
      <c r="Y73" s="83">
        <f t="shared" si="92"/>
        <v>6090.1230540657725</v>
      </c>
      <c r="Z73" s="83">
        <f t="shared" si="92"/>
        <v>9261.3158137917089</v>
      </c>
      <c r="AA73" s="83">
        <f t="shared" si="92"/>
        <v>8485.6734031069191</v>
      </c>
      <c r="AB73" s="83">
        <f t="shared" si="92"/>
        <v>9868.7933533889227</v>
      </c>
      <c r="AC73" s="83">
        <f t="shared" si="92"/>
        <v>8421.9634021195689</v>
      </c>
      <c r="AD73" s="83">
        <f t="shared" si="92"/>
        <v>7567.3103210775234</v>
      </c>
      <c r="AE73" s="83">
        <f t="shared" si="92"/>
        <v>7360.4078994211704</v>
      </c>
      <c r="AF73" s="83">
        <f t="shared" si="92"/>
        <v>7566.6927560863123</v>
      </c>
      <c r="AG73" s="83">
        <f t="shared" si="91"/>
        <v>7922.6833791713761</v>
      </c>
      <c r="AH73" s="83">
        <f t="shared" si="91"/>
        <v>9724.1994594394346</v>
      </c>
      <c r="AJ73" s="83" cm="1">
        <f t="array" aca="1" ref="AJ73" ca="1">SUMPRODUCT(($E73:$AH73)*(AJ$3&amp;AJ$4&amp;AJ$5&amp;AJ$6=$E$3:$AH$3&amp;$E$4:$AH$4&amp;$E$5:$AH$5&amp;$E$6:$AH$6))</f>
        <v>21332.617586036864</v>
      </c>
      <c r="AK73" s="83" cm="1">
        <f t="array" aca="1" ref="AK73" ca="1">SUMPRODUCT(($E73:$AH73)*(AK$3=$E$3:$AH$3)*(AK$4=$E$4:$AH$4)*(AK$5=$E$5:$AH$5)*(AK$6=$E$6:$AH$6))</f>
        <v>23023.69730051493</v>
      </c>
      <c r="AL73" s="83" cm="1">
        <f t="array" aca="1" ref="AL73" ca="1">SUMPRODUCT(($E73:$AH73)*(AL$3=$E$3:$AH$3)*(AL$4=$E$4:$AH$4)*(AL$5=$E$5:$AH$5)*(AL$6=$E$6:$AH$6))</f>
        <v>19740.690550880365</v>
      </c>
      <c r="AM73" s="158" cm="1">
        <f t="array" aca="1" ref="AM73" ca="1">SUMPRODUCT(($E73:$AH73)*(AM$3=$E$3:$AH$3)*(AM$4=$E$4:$AH$4)*(AM$5=$E$5:$AH$5)*(AM$6=$E$6:$AH$6))</f>
        <v>26395.999270357199</v>
      </c>
      <c r="AN73" s="83" cm="1">
        <f t="array" aca="1" ref="AN73" ca="1">SUMPRODUCT(($E73:$AH73)*(AN$3=$E$3:$AH$3)*(AN$4=$E$4:$AH$4)*(AN$5=$E$5:$AH$5)*(AN$6=$E$6:$AH$6))</f>
        <v>22316.622517644424</v>
      </c>
      <c r="AO73" s="83" cm="1">
        <f t="array" aca="1" ref="AO73" ca="1">SUMPRODUCT(($E73:$AH73)*(AO$3=$E$3:$AH$3)*(AO$4=$E$4:$AH$4)*(AO$5=$E$5:$AH$5)*(AO$6=$E$6:$AH$6))</f>
        <v>24091.880003415921</v>
      </c>
      <c r="AP73" s="83" cm="1">
        <f t="array" aca="1" ref="AP73" ca="1">SUMPRODUCT(($E73:$AH73)*(AP$3=$E$3:$AH$3)*(AP$4=$E$4:$AH$4)*(AP$5=$E$5:$AH$5)*(AP$6=$E$6:$AH$6))</f>
        <v>20653.001929219827</v>
      </c>
      <c r="AQ73" s="83" cm="1">
        <f t="array" aca="1" ref="AQ73" ca="1">SUMPRODUCT(($E73:$AH73)*(AQ$3=$E$3:$AH$3)*(AQ$4=$E$4:$AH$4)*(AQ$5=$E$5:$AH$5)*(AQ$6=$E$6:$AH$6))</f>
        <v>27615.782570287549</v>
      </c>
      <c r="AR73" s="83" cm="1">
        <f t="array" aca="1" ref="AR73" ca="1">SUMPRODUCT(($E73:$AH73)*(AR$3=$E$3:$AH$3)*(AR$4=$E$4:$AH$4)*(AR$5=$E$5:$AH$5)*(AR$6=$E$6:$AH$6))</f>
        <v>23349.681622618264</v>
      </c>
      <c r="AS73" s="83" cm="1">
        <f t="array" aca="1" ref="AS73" ca="1">SUMPRODUCT(($E73:$AH73)*(AS$3=$E$3:$AH$3)*(AS$4=$E$4:$AH$4)*(AS$5=$E$5:$AH$5)*(AS$6=$E$6:$AH$6))</f>
        <v>25213.575594697122</v>
      </c>
      <c r="AT73" s="83"/>
      <c r="AU73" s="83" cm="1">
        <f t="array" aca="1" ref="AU73" ca="1">SUMPRODUCT(($E73:$AH73)*(AU$5=$E$5:$AH$5))</f>
        <v>44356.314886551794</v>
      </c>
      <c r="AV73" s="83" cm="1">
        <f t="array" aca="1" ref="AV73" ca="1">SUMPRODUCT(($E73:$AH73)*(AV$5=$E$5:$AH$5))</f>
        <v>92545.192342297902</v>
      </c>
      <c r="AW73" s="83" cm="1">
        <f t="array" aca="1" ref="AW73" ca="1">SUMPRODUCT(($E73:$AH73)*(AW$5=$E$5:$AH$5))</f>
        <v>96832.041716822758</v>
      </c>
      <c r="AZ73">
        <v>2021</v>
      </c>
      <c r="BA73" s="366" cm="1">
        <f t="array" ref="BA73">INDEX($E$72:$AH$75,MATCH($AZ$71,$C$72:$C$75,0),MATCH(BA$49&amp;$AZ73,$E$7:$AH$7&amp;$E$5:$AH$5,0))</f>
        <v>5150.2147303921283</v>
      </c>
      <c r="BB73" s="366" cm="1">
        <f t="array" ref="BB73">INDEX($E$72:$AH$75,MATCH($AZ$71,$C$72:$C$75,0),MATCH(BB$49&amp;$AZ73,$E$7:$AH$7&amp;$E$5:$AH$5,0))</f>
        <v>4745.5823432210127</v>
      </c>
      <c r="BC73" s="366" cm="1">
        <f t="array" ref="BC73">INDEX($E$72:$AH$75,MATCH($AZ$71,$C$72:$C$75,0),MATCH(BC$49&amp;$AZ73,$E$7:$AH$7&amp;$E$5:$AH$5,0))</f>
        <v>4062.177145539003</v>
      </c>
      <c r="BD73" s="366" cm="1">
        <f t="array" ref="BD73">INDEX($E$72:$AH$75,MATCH($AZ$71,$C$72:$C$75,0),MATCH(BD$49&amp;$AZ73,$E$7:$AH$7&amp;$E$5:$AH$5,0))</f>
        <v>4318.8117912158823</v>
      </c>
      <c r="BE73" s="366" cm="1">
        <f t="array" ref="BE73">INDEX($E$72:$AH$75,MATCH($AZ$71,$C$72:$C$75,0),MATCH(BE$49&amp;$AZ73,$E$7:$AH$7&amp;$E$5:$AH$5,0))</f>
        <v>3855.632797846843</v>
      </c>
      <c r="BF73" s="366" cm="1">
        <f t="array" ref="BF73">INDEX($E$72:$AH$75,MATCH($AZ$71,$C$72:$C$75,0),MATCH(BF$49&amp;$AZ73,$E$7:$AH$7&amp;$E$5:$AH$5,0))</f>
        <v>4122.6554815045574</v>
      </c>
      <c r="BG73" s="366" cm="1">
        <f t="array" ref="BG73">INDEX($E$72:$AH$75,MATCH($AZ$71,$C$72:$C$75,0),MATCH(BG$49&amp;$AZ73,$E$7:$AH$7&amp;$E$5:$AH$5,0))</f>
        <v>5101.4259447027589</v>
      </c>
      <c r="BH73" s="366" cm="1">
        <f t="array" ref="BH73">INDEX($E$72:$AH$75,MATCH($AZ$71,$C$72:$C$75,0),MATCH(BH$49&amp;$AZ73,$E$7:$AH$7&amp;$E$5:$AH$5,0))</f>
        <v>4795.4996800296849</v>
      </c>
      <c r="BI73" s="366" cm="1">
        <f t="array" ref="BI73">INDEX($E$72:$AH$75,MATCH($AZ$71,$C$72:$C$75,0),MATCH(BI$49&amp;$AZ73,$E$7:$AH$7&amp;$E$5:$AH$5,0))</f>
        <v>3912.2950148854047</v>
      </c>
      <c r="BJ73" s="366" cm="1">
        <f t="array" ref="BJ73">INDEX($E$72:$AH$75,MATCH($AZ$71,$C$72:$C$75,0),MATCH(BJ$49&amp;$AZ73,$E$7:$AH$7&amp;$E$5:$AH$5,0))</f>
        <v>4669.5138128114331</v>
      </c>
      <c r="BK73" s="366" cm="1">
        <f t="array" ref="BK73">INDEX($E$72:$AH$75,MATCH($AZ$71,$C$72:$C$75,0),MATCH(BK$49&amp;$AZ73,$E$7:$AH$7&amp;$E$5:$AH$5,0))</f>
        <v>3765.2393782980885</v>
      </c>
      <c r="BL73" s="366" cm="1">
        <f t="array" ref="BL73">INDEX($E$72:$AH$75,MATCH($AZ$71,$C$72:$C$75,0),MATCH(BL$49&amp;$AZ73,$E$7:$AH$7&amp;$E$5:$AH$5,0))</f>
        <v>3703.7103106978839</v>
      </c>
    </row>
    <row r="74" spans="2:64" outlineLevel="1" x14ac:dyDescent="0.25">
      <c r="C74" s="1" t="s">
        <v>3</v>
      </c>
      <c r="E74" s="65">
        <v>13229.986252583943</v>
      </c>
      <c r="F74" s="65">
        <v>12155.137975768968</v>
      </c>
      <c r="G74" s="65">
        <v>11215.518095080715</v>
      </c>
      <c r="H74" s="65">
        <v>12055.912648098603</v>
      </c>
      <c r="I74" s="65">
        <v>12771.417784638597</v>
      </c>
      <c r="J74" s="91">
        <v>15335.776349797216</v>
      </c>
      <c r="K74" s="65">
        <v>13396.401234956731</v>
      </c>
      <c r="L74" s="65">
        <v>11409.46449128588</v>
      </c>
      <c r="M74" s="65">
        <v>10563.723439140471</v>
      </c>
      <c r="N74" s="65">
        <v>15796.560578220005</v>
      </c>
      <c r="O74" s="65">
        <v>15446.544201363984</v>
      </c>
      <c r="P74" s="67">
        <v>16444.996593975909</v>
      </c>
      <c r="Q74" s="83">
        <f>Q61*Q68</f>
        <v>13838.076173010801</v>
      </c>
      <c r="R74" s="83">
        <f t="shared" si="91"/>
        <v>12716.597201007242</v>
      </c>
      <c r="S74" s="83">
        <f t="shared" si="91"/>
        <v>11734.214910814795</v>
      </c>
      <c r="T74" s="83">
        <f t="shared" si="91"/>
        <v>12615.484393973746</v>
      </c>
      <c r="U74" s="83">
        <f t="shared" si="91"/>
        <v>13364.915815452128</v>
      </c>
      <c r="V74" s="83">
        <f t="shared" si="91"/>
        <v>16046.094636523498</v>
      </c>
      <c r="W74" s="83">
        <f t="shared" si="91"/>
        <v>14016.098881134918</v>
      </c>
      <c r="X74" s="83">
        <f t="shared" si="91"/>
        <v>11936.631230159985</v>
      </c>
      <c r="Y74" s="83">
        <f t="shared" si="91"/>
        <v>11051.431968434925</v>
      </c>
      <c r="Z74" s="83">
        <f t="shared" si="91"/>
        <v>16527.837695958173</v>
      </c>
      <c r="AA74" s="83">
        <f t="shared" si="91"/>
        <v>16158.685649657577</v>
      </c>
      <c r="AB74" s="83">
        <f t="shared" si="91"/>
        <v>17205.178973890732</v>
      </c>
      <c r="AC74" s="83">
        <f t="shared" si="91"/>
        <v>14476.355046322657</v>
      </c>
      <c r="AD74" s="83">
        <f t="shared" si="91"/>
        <v>13306.076960209828</v>
      </c>
      <c r="AE74" s="83">
        <f t="shared" si="91"/>
        <v>12278.861815132113</v>
      </c>
      <c r="AF74" s="83">
        <f t="shared" si="91"/>
        <v>13203.09022045721</v>
      </c>
      <c r="AG74" s="83">
        <f t="shared" si="91"/>
        <v>13988.184569639288</v>
      </c>
      <c r="AH74" s="83">
        <f t="shared" si="91"/>
        <v>16791.959364444967</v>
      </c>
      <c r="AJ74" s="83" cm="1">
        <f t="array" aca="1" ref="AJ74" ca="1">SUMPRODUCT(($E74:$AH74)*(AJ$3&amp;AJ$4&amp;AJ$5&amp;AJ$6=$E$3:$AH$3&amp;$E$4:$AH$4&amp;$E$5:$AH$5&amp;$E$6:$AH$6))</f>
        <v>36600.642323433625</v>
      </c>
      <c r="AK74" s="83" cm="1">
        <f t="array" aca="1" ref="AK74" ca="1">SUMPRODUCT(($E74:$AH74)*(AK$3=$E$3:$AH$3)*(AK$4=$E$4:$AH$4)*(AK$5=$E$5:$AH$5)*(AK$6=$E$6:$AH$6))</f>
        <v>40163.106782534422</v>
      </c>
      <c r="AL74" s="83" cm="1">
        <f t="array" aca="1" ref="AL74" ca="1">SUMPRODUCT(($E74:$AH74)*(AL$3=$E$3:$AH$3)*(AL$4=$E$4:$AH$4)*(AL$5=$E$5:$AH$5)*(AL$6=$E$6:$AH$6))</f>
        <v>35369.589165383084</v>
      </c>
      <c r="AM74" s="158" cm="1">
        <f t="array" aca="1" ref="AM74" ca="1">SUMPRODUCT(($E74:$AH74)*(AM$3=$E$3:$AH$3)*(AM$4=$E$4:$AH$4)*(AM$5=$E$5:$AH$5)*(AM$6=$E$6:$AH$6))</f>
        <v>47688.101373559897</v>
      </c>
      <c r="AN74" s="83" cm="1">
        <f t="array" aca="1" ref="AN74" ca="1">SUMPRODUCT(($E74:$AH74)*(AN$3=$E$3:$AH$3)*(AN$4=$E$4:$AH$4)*(AN$5=$E$5:$AH$5)*(AN$6=$E$6:$AH$6))</f>
        <v>38288.888284832836</v>
      </c>
      <c r="AO74" s="83" cm="1">
        <f t="array" aca="1" ref="AO74" ca="1">SUMPRODUCT(($E74:$AH74)*(AO$3=$E$3:$AH$3)*(AO$4=$E$4:$AH$4)*(AO$5=$E$5:$AH$5)*(AO$6=$E$6:$AH$6))</f>
        <v>42026.494845949375</v>
      </c>
      <c r="AP74" s="83" cm="1">
        <f t="array" aca="1" ref="AP74" ca="1">SUMPRODUCT(($E74:$AH74)*(AP$3=$E$3:$AH$3)*(AP$4=$E$4:$AH$4)*(AP$5=$E$5:$AH$5)*(AP$6=$E$6:$AH$6))</f>
        <v>37004.162079729824</v>
      </c>
      <c r="AQ74" s="83" cm="1">
        <f t="array" aca="1" ref="AQ74" ca="1">SUMPRODUCT(($E74:$AH74)*(AQ$3=$E$3:$AH$3)*(AQ$4=$E$4:$AH$4)*(AQ$5=$E$5:$AH$5)*(AQ$6=$E$6:$AH$6))</f>
        <v>49891.702319506483</v>
      </c>
      <c r="AR74" s="83" cm="1">
        <f t="array" aca="1" ref="AR74" ca="1">SUMPRODUCT(($E74:$AH74)*(AR$3=$E$3:$AH$3)*(AR$4=$E$4:$AH$4)*(AR$5=$E$5:$AH$5)*(AR$6=$E$6:$AH$6))</f>
        <v>40061.2938216646</v>
      </c>
      <c r="AS74" s="83" cm="1">
        <f t="array" aca="1" ref="AS74" ca="1">SUMPRODUCT(($E74:$AH74)*(AS$3=$E$3:$AH$3)*(AS$4=$E$4:$AH$4)*(AS$5=$E$5:$AH$5)*(AS$6=$E$6:$AH$6))</f>
        <v>43983.234154541467</v>
      </c>
      <c r="AT74" s="83"/>
      <c r="AU74" s="83" cm="1">
        <f t="array" aca="1" ref="AU74" ca="1">SUMPRODUCT(($E74:$AH74)*(AU$5=$E$5:$AH$5))</f>
        <v>76763.749105968047</v>
      </c>
      <c r="AV74" s="83" cm="1">
        <f t="array" aca="1" ref="AV74" ca="1">SUMPRODUCT(($E74:$AH74)*(AV$5=$E$5:$AH$5))</f>
        <v>163373.07366972519</v>
      </c>
      <c r="AW74" s="83" cm="1">
        <f t="array" aca="1" ref="AW74" ca="1">SUMPRODUCT(($E74:$AH74)*(AW$5=$E$5:$AH$5))</f>
        <v>170940.3923754424</v>
      </c>
      <c r="AZ74">
        <v>2022</v>
      </c>
      <c r="BA74" s="366" cm="1">
        <f t="array" ref="BA74">INDEX($E$72:$AH$75,MATCH($AZ$71,$C$72:$C$75,0),MATCH(BA$49&amp;$AZ74,$E$7:$AH$7&amp;$E$5:$AH$5,0))</f>
        <v>5388.4560229422568</v>
      </c>
      <c r="BB74" s="366" cm="1">
        <f t="array" ref="BB74">INDEX($E$72:$AH$75,MATCH($AZ$71,$C$72:$C$75,0),MATCH(BB$49&amp;$AZ74,$E$7:$AH$7&amp;$E$5:$AH$5,0))</f>
        <v>4964.8488276248208</v>
      </c>
      <c r="BC74" s="366" cm="1">
        <f t="array" ref="BC74">INDEX($E$72:$AH$75,MATCH($AZ$71,$C$72:$C$75,0),MATCH(BC$49&amp;$AZ74,$E$7:$AH$7&amp;$E$5:$AH$5,0))</f>
        <v>4249.7207188631419</v>
      </c>
      <c r="BD74" s="366" cm="1">
        <f t="array" ref="BD74">INDEX($E$72:$AH$75,MATCH($AZ$71,$C$72:$C$75,0),MATCH(BD$49&amp;$AZ74,$E$7:$AH$7&amp;$E$5:$AH$5,0))</f>
        <v>4518.7444425734493</v>
      </c>
      <c r="BE74" s="366" cm="1">
        <f t="array" ref="BE74">INDEX($E$72:$AH$75,MATCH($AZ$71,$C$72:$C$75,0),MATCH(BE$49&amp;$AZ74,$E$7:$AH$7&amp;$E$5:$AH$5,0))</f>
        <v>4033.3913883090695</v>
      </c>
      <c r="BF74" s="366" cm="1">
        <f t="array" ref="BF74">INDEX($E$72:$AH$75,MATCH($AZ$71,$C$72:$C$75,0),MATCH(BF$49&amp;$AZ74,$E$7:$AH$7&amp;$E$5:$AH$5,0))</f>
        <v>4313.2283428359515</v>
      </c>
      <c r="BG74" s="366" cm="1">
        <f t="array" ref="BG74">INDEX($E$72:$AH$75,MATCH($AZ$71,$C$72:$C$75,0),MATCH(BG$49&amp;$AZ74,$E$7:$AH$7&amp;$E$5:$AH$5,0))</f>
        <v>5336.7283352633322</v>
      </c>
      <c r="BH74" s="366" cm="1">
        <f t="array" ref="BH74">INDEX($E$72:$AH$75,MATCH($AZ$71,$C$72:$C$75,0),MATCH(BH$49&amp;$AZ74,$E$7:$AH$7&amp;$E$5:$AH$5,0))</f>
        <v>5017.7957826707334</v>
      </c>
      <c r="BI74" s="366" cm="1">
        <f t="array" ref="BI74">INDEX($E$72:$AH$75,MATCH($AZ$71,$C$72:$C$75,0),MATCH(BI$49&amp;$AZ74,$E$7:$AH$7&amp;$E$5:$AH$5,0))</f>
        <v>4093.8852946636916</v>
      </c>
      <c r="BJ74" s="366" cm="1">
        <f t="array" ref="BJ74">INDEX($E$72:$AH$75,MATCH($AZ$71,$C$72:$C$75,0),MATCH(BJ$49&amp;$AZ74,$E$7:$AH$7&amp;$E$5:$AH$5,0))</f>
        <v>4887.0110913593508</v>
      </c>
      <c r="BK74" s="366" cm="1">
        <f t="array" ref="BK74">INDEX($E$72:$AH$75,MATCH($AZ$71,$C$72:$C$75,0),MATCH(BK$49&amp;$AZ74,$E$7:$AH$7&amp;$E$5:$AH$5,0))</f>
        <v>3940.8301630761734</v>
      </c>
      <c r="BL74" s="366" cm="1">
        <f t="array" ref="BL74">INDEX($E$72:$AH$75,MATCH($AZ$71,$C$72:$C$75,0),MATCH(BL$49&amp;$AZ74,$E$7:$AH$7&amp;$E$5:$AH$5,0))</f>
        <v>3875.8685177734424</v>
      </c>
    </row>
    <row r="75" spans="2:64" outlineLevel="1" x14ac:dyDescent="0.25">
      <c r="C75" s="23" t="s">
        <v>4</v>
      </c>
      <c r="D75" s="27"/>
      <c r="E75" s="68">
        <v>2812.3585170322917</v>
      </c>
      <c r="F75" s="68">
        <v>2608.3531757339383</v>
      </c>
      <c r="G75" s="68">
        <v>2495.3378709336193</v>
      </c>
      <c r="H75" s="68">
        <v>2626.2498249820364</v>
      </c>
      <c r="I75" s="68">
        <v>2819.5633369205548</v>
      </c>
      <c r="J75" s="68">
        <v>3291.3460252160721</v>
      </c>
      <c r="K75" s="68">
        <v>2667.7217328826978</v>
      </c>
      <c r="L75" s="68">
        <v>2499.1426774330671</v>
      </c>
      <c r="M75" s="68">
        <v>2205.1551381652689</v>
      </c>
      <c r="N75" s="68">
        <v>3560.6849669423423</v>
      </c>
      <c r="O75" s="68">
        <v>3320.2439590048089</v>
      </c>
      <c r="P75" s="69">
        <v>3482.7261803939627</v>
      </c>
      <c r="Q75" s="125">
        <f>Q62*Q69</f>
        <v>2941.6229647939022</v>
      </c>
      <c r="R75" s="125">
        <f t="shared" si="91"/>
        <v>2728.8358848660591</v>
      </c>
      <c r="S75" s="125">
        <f t="shared" si="91"/>
        <v>2610.7425982820268</v>
      </c>
      <c r="T75" s="125">
        <f t="shared" si="91"/>
        <v>2748.1464613102089</v>
      </c>
      <c r="U75" s="125">
        <f t="shared" si="91"/>
        <v>2950.5907072904406</v>
      </c>
      <c r="V75" s="125">
        <f t="shared" si="91"/>
        <v>3443.7936885315162</v>
      </c>
      <c r="W75" s="125">
        <f t="shared" si="91"/>
        <v>2791.1265824039242</v>
      </c>
      <c r="X75" s="125">
        <f t="shared" si="91"/>
        <v>2614.6139071520179</v>
      </c>
      <c r="Y75" s="125">
        <f t="shared" si="91"/>
        <v>2306.9632719636106</v>
      </c>
      <c r="Z75" s="125">
        <f t="shared" si="91"/>
        <v>3725.5213202045425</v>
      </c>
      <c r="AA75" s="125">
        <f t="shared" si="91"/>
        <v>3473.3191912917141</v>
      </c>
      <c r="AB75" s="125">
        <f t="shared" si="91"/>
        <v>3643.7178267755357</v>
      </c>
      <c r="AC75" s="125">
        <f t="shared" si="91"/>
        <v>3077.3048159560512</v>
      </c>
      <c r="AD75" s="125">
        <f t="shared" si="91"/>
        <v>2855.3314791581242</v>
      </c>
      <c r="AE75" s="125">
        <f t="shared" si="91"/>
        <v>2731.9209544763676</v>
      </c>
      <c r="AF75" s="125">
        <f t="shared" si="91"/>
        <v>2876.1500180715466</v>
      </c>
      <c r="AG75" s="125">
        <f t="shared" si="91"/>
        <v>3088.1906008956744</v>
      </c>
      <c r="AH75" s="125">
        <f t="shared" si="91"/>
        <v>3603.8702866507665</v>
      </c>
      <c r="AJ75" s="83" cm="1">
        <f t="array" aca="1" ref="AJ75" ca="1">SUMPRODUCT(($E75:$AH75)*(AJ$3&amp;AJ$4&amp;AJ$5&amp;AJ$6=$E$3:$AH$3&amp;$E$4:$AH$4&amp;$E$5:$AH$5&amp;$E$6:$AH$6))</f>
        <v>7916.0495636998494</v>
      </c>
      <c r="AK75" s="83" cm="1">
        <f t="array" aca="1" ref="AK75" ca="1">SUMPRODUCT(($E75:$AH75)*(AK$3=$E$3:$AH$3)*(AK$4=$E$4:$AH$4)*(AK$5=$E$5:$AH$5)*(AK$6=$E$6:$AH$6))</f>
        <v>8737.1591871186647</v>
      </c>
      <c r="AL75" s="83" cm="1">
        <f t="array" aca="1" ref="AL75" ca="1">SUMPRODUCT(($E75:$AH75)*(AL$3=$E$3:$AH$3)*(AL$4=$E$4:$AH$4)*(AL$5=$E$5:$AH$5)*(AL$6=$E$6:$AH$6))</f>
        <v>7372.0195484810338</v>
      </c>
      <c r="AM75" s="158" cm="1">
        <f t="array" aca="1" ref="AM75" ca="1">SUMPRODUCT(($E75:$AH75)*(AM$3=$E$3:$AH$3)*(AM$4=$E$4:$AH$4)*(AM$5=$E$5:$AH$5)*(AM$6=$E$6:$AH$6))</f>
        <v>10363.655106341113</v>
      </c>
      <c r="AN75" s="83" cm="1">
        <f t="array" aca="1" ref="AN75" ca="1">SUMPRODUCT(($E75:$AH75)*(AN$3=$E$3:$AH$3)*(AN$4=$E$4:$AH$4)*(AN$5=$E$5:$AH$5)*(AN$6=$E$6:$AH$6))</f>
        <v>8281.2014479419886</v>
      </c>
      <c r="AO75" s="83" cm="1">
        <f t="array" aca="1" ref="AO75" ca="1">SUMPRODUCT(($E75:$AH75)*(AO$3=$E$3:$AH$3)*(AO$4=$E$4:$AH$4)*(AO$5=$E$5:$AH$5)*(AO$6=$E$6:$AH$6))</f>
        <v>9142.5308571321657</v>
      </c>
      <c r="AP75" s="83" cm="1">
        <f t="array" aca="1" ref="AP75" ca="1">SUMPRODUCT(($E75:$AH75)*(AP$3=$E$3:$AH$3)*(AP$4=$E$4:$AH$4)*(AP$5=$E$5:$AH$5)*(AP$6=$E$6:$AH$6))</f>
        <v>7712.7037615195532</v>
      </c>
      <c r="AQ75" s="83" cm="1">
        <f t="array" aca="1" ref="AQ75" ca="1">SUMPRODUCT(($E75:$AH75)*(AQ$3=$E$3:$AH$3)*(AQ$4=$E$4:$AH$4)*(AQ$5=$E$5:$AH$5)*(AQ$6=$E$6:$AH$6))</f>
        <v>10842.558338271792</v>
      </c>
      <c r="AR75" s="83" cm="1">
        <f t="array" aca="1" ref="AR75" ca="1">SUMPRODUCT(($E75:$AH75)*(AR$3=$E$3:$AH$3)*(AR$4=$E$4:$AH$4)*(AR$5=$E$5:$AH$5)*(AR$6=$E$6:$AH$6))</f>
        <v>8664.5572495905435</v>
      </c>
      <c r="AS75" s="83" cm="1">
        <f t="array" aca="1" ref="AS75" ca="1">SUMPRODUCT(($E75:$AH75)*(AS$3=$E$3:$AH$3)*(AS$4=$E$4:$AH$4)*(AS$5=$E$5:$AH$5)*(AS$6=$E$6:$AH$6))</f>
        <v>9568.210905617987</v>
      </c>
      <c r="AT75" s="83"/>
      <c r="AU75" s="83" cm="1">
        <f t="array" aca="1" ref="AU75" ca="1">SUMPRODUCT(($E75:$AH75)*(AU$5=$E$5:$AH$5))</f>
        <v>16653.208750818514</v>
      </c>
      <c r="AV75" s="83" cm="1">
        <f t="array" aca="1" ref="AV75" ca="1">SUMPRODUCT(($E75:$AH75)*(AV$5=$E$5:$AH$5))</f>
        <v>35159.406959896303</v>
      </c>
      <c r="AW75" s="83" cm="1">
        <f t="array" aca="1" ref="AW75" ca="1">SUMPRODUCT(($E75:$AH75)*(AW$5=$E$5:$AH$5))</f>
        <v>36788.030254999874</v>
      </c>
    </row>
    <row r="76" spans="2:64" outlineLevel="1" x14ac:dyDescent="0.25">
      <c r="B76" t="s">
        <v>231</v>
      </c>
      <c r="C76" s="25" t="s">
        <v>226</v>
      </c>
      <c r="E76" s="123">
        <f t="shared" ref="E76:AH76" si="93">SUM(E72:E75)</f>
        <v>28616.456274663593</v>
      </c>
      <c r="F76" s="123">
        <f t="shared" si="93"/>
        <v>26260.020262840615</v>
      </c>
      <c r="G76" s="123">
        <f t="shared" si="93"/>
        <v>24173.212698973177</v>
      </c>
      <c r="H76" s="123">
        <f t="shared" si="93"/>
        <v>26053.80072012241</v>
      </c>
      <c r="I76" s="123">
        <f t="shared" si="93"/>
        <v>26422.543079257015</v>
      </c>
      <c r="J76" s="123">
        <f t="shared" si="93"/>
        <v>31047.805174079222</v>
      </c>
      <c r="K76" s="123">
        <f t="shared" si="93"/>
        <v>28892.338114251346</v>
      </c>
      <c r="L76" s="123">
        <f t="shared" si="93"/>
        <v>24895.518592664201</v>
      </c>
      <c r="M76" s="123">
        <f t="shared" si="93"/>
        <v>22652.416776981081</v>
      </c>
      <c r="N76" s="123">
        <f t="shared" si="93"/>
        <v>32527.604585197358</v>
      </c>
      <c r="O76" s="123">
        <f t="shared" si="93"/>
        <v>30734.115940177697</v>
      </c>
      <c r="P76" s="124">
        <f t="shared" si="93"/>
        <v>33483.13529545044</v>
      </c>
      <c r="Q76" s="123">
        <f t="shared" si="93"/>
        <v>29931.75458916941</v>
      </c>
      <c r="R76" s="123">
        <f t="shared" si="93"/>
        <v>27472.999552825444</v>
      </c>
      <c r="S76" s="123">
        <f t="shared" si="93"/>
        <v>25291.178748042243</v>
      </c>
      <c r="T76" s="123">
        <f t="shared" si="93"/>
        <v>27263.080447106935</v>
      </c>
      <c r="U76" s="123">
        <f t="shared" si="93"/>
        <v>27650.419854652046</v>
      </c>
      <c r="V76" s="123">
        <f t="shared" si="93"/>
        <v>32485.868906545886</v>
      </c>
      <c r="W76" s="123">
        <f t="shared" si="93"/>
        <v>30228.854810635868</v>
      </c>
      <c r="X76" s="123">
        <f t="shared" si="93"/>
        <v>26045.799515936113</v>
      </c>
      <c r="Y76" s="123">
        <f t="shared" si="93"/>
        <v>23698.239013327449</v>
      </c>
      <c r="Z76" s="123">
        <f t="shared" si="93"/>
        <v>34033.419272527877</v>
      </c>
      <c r="AA76" s="123">
        <f t="shared" si="93"/>
        <v>32151.069632365277</v>
      </c>
      <c r="AB76" s="123">
        <f t="shared" si="93"/>
        <v>35030.918496891143</v>
      </c>
      <c r="AC76" s="123">
        <f t="shared" si="93"/>
        <v>31312.351599661612</v>
      </c>
      <c r="AD76" s="123">
        <f t="shared" si="93"/>
        <v>28746.514543116213</v>
      </c>
      <c r="AE76" s="123">
        <f t="shared" si="93"/>
        <v>26465.075963693344</v>
      </c>
      <c r="AF76" s="123">
        <f t="shared" si="93"/>
        <v>28532.944085974421</v>
      </c>
      <c r="AG76" s="123">
        <f t="shared" si="93"/>
        <v>28939.888712782515</v>
      </c>
      <c r="AH76" s="123">
        <f t="shared" si="93"/>
        <v>33995.897628308609</v>
      </c>
      <c r="AJ76" s="322">
        <f ca="1">SUM(AJ72:AJ75)</f>
        <v>79049.689236477381</v>
      </c>
      <c r="AK76" s="322">
        <f t="shared" ref="AK76:AS76" ca="1" si="94">SUM(AK72:AK75)</f>
        <v>83524.14897345865</v>
      </c>
      <c r="AL76" s="322">
        <f t="shared" ca="1" si="94"/>
        <v>76440.273483896628</v>
      </c>
      <c r="AM76" s="329">
        <f t="shared" ca="1" si="94"/>
        <v>96744.855820825498</v>
      </c>
      <c r="AN76" s="322">
        <f t="shared" ca="1" si="94"/>
        <v>82695.932890037089</v>
      </c>
      <c r="AO76" s="322">
        <f t="shared" ca="1" si="94"/>
        <v>87399.369208304866</v>
      </c>
      <c r="AP76" s="322">
        <f t="shared" ca="1" si="94"/>
        <v>79972.893339899427</v>
      </c>
      <c r="AQ76" s="322">
        <f t="shared" ca="1" si="94"/>
        <v>101215.40740178429</v>
      </c>
      <c r="AR76" s="322">
        <f t="shared" ca="1" si="94"/>
        <v>86523.942106471164</v>
      </c>
      <c r="AS76" s="322">
        <f t="shared" ca="1" si="94"/>
        <v>91468.730427065544</v>
      </c>
      <c r="AU76" s="322">
        <f t="shared" ref="AU76:AW76" ca="1" si="95">SUM(AU72:AU75)</f>
        <v>162573.83820993602</v>
      </c>
      <c r="AV76" s="322">
        <f t="shared" ca="1" si="95"/>
        <v>343280.43140306405</v>
      </c>
      <c r="AW76" s="322">
        <f t="shared" ca="1" si="95"/>
        <v>359180.97327522049</v>
      </c>
    </row>
    <row r="77" spans="2:64" x14ac:dyDescent="0.25"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M77" s="8"/>
    </row>
    <row r="78" spans="2:64" x14ac:dyDescent="0.25">
      <c r="B78" t="s">
        <v>231</v>
      </c>
      <c r="C78" s="30" t="s">
        <v>227</v>
      </c>
      <c r="D78" s="225"/>
      <c r="E78" s="45" t="str">
        <f t="shared" ref="E78:AH78" si="96">E$9</f>
        <v>Jul-20A</v>
      </c>
      <c r="F78" s="45" t="str">
        <f t="shared" si="96"/>
        <v>Aug-20A</v>
      </c>
      <c r="G78" s="45" t="str">
        <f t="shared" si="96"/>
        <v>Sep-20A</v>
      </c>
      <c r="H78" s="45" t="str">
        <f t="shared" si="96"/>
        <v>Oct-20A</v>
      </c>
      <c r="I78" s="45" t="str">
        <f t="shared" si="96"/>
        <v>Nov-20A</v>
      </c>
      <c r="J78" s="45" t="str">
        <f t="shared" si="96"/>
        <v>Dec-20A</v>
      </c>
      <c r="K78" s="45" t="str">
        <f t="shared" si="96"/>
        <v>Jan-21A</v>
      </c>
      <c r="L78" s="45" t="str">
        <f t="shared" si="96"/>
        <v>Feb-21A</v>
      </c>
      <c r="M78" s="45" t="str">
        <f t="shared" si="96"/>
        <v>Mar-21A</v>
      </c>
      <c r="N78" s="45" t="str">
        <f t="shared" si="96"/>
        <v>Apr-21A</v>
      </c>
      <c r="O78" s="45" t="str">
        <f t="shared" si="96"/>
        <v>May-21A</v>
      </c>
      <c r="P78" s="46" t="str">
        <f t="shared" si="96"/>
        <v>Jun-21A</v>
      </c>
      <c r="Q78" s="45" t="str">
        <f t="shared" si="96"/>
        <v>Jul-21F</v>
      </c>
      <c r="R78" s="45" t="str">
        <f t="shared" si="96"/>
        <v>Aug-21F</v>
      </c>
      <c r="S78" s="45" t="str">
        <f t="shared" si="96"/>
        <v>Sep-21F</v>
      </c>
      <c r="T78" s="45" t="str">
        <f t="shared" si="96"/>
        <v>Oct-21F</v>
      </c>
      <c r="U78" s="45" t="str">
        <f t="shared" si="96"/>
        <v>Nov-21F</v>
      </c>
      <c r="V78" s="45" t="str">
        <f t="shared" si="96"/>
        <v>Dec-21F</v>
      </c>
      <c r="W78" s="45" t="str">
        <f t="shared" si="96"/>
        <v>Jan-22F</v>
      </c>
      <c r="X78" s="45" t="str">
        <f t="shared" si="96"/>
        <v>Feb-22F</v>
      </c>
      <c r="Y78" s="45" t="str">
        <f t="shared" si="96"/>
        <v>Mar-22F</v>
      </c>
      <c r="Z78" s="45" t="str">
        <f t="shared" si="96"/>
        <v>Apr-22F</v>
      </c>
      <c r="AA78" s="45" t="str">
        <f t="shared" si="96"/>
        <v>May-22F</v>
      </c>
      <c r="AB78" s="45" t="str">
        <f t="shared" si="96"/>
        <v>Jun-22F</v>
      </c>
      <c r="AC78" s="45" t="str">
        <f t="shared" si="96"/>
        <v>Jul-22F</v>
      </c>
      <c r="AD78" s="45" t="str">
        <f t="shared" si="96"/>
        <v>Aug-22F</v>
      </c>
      <c r="AE78" s="45" t="str">
        <f t="shared" si="96"/>
        <v>Sep-22F</v>
      </c>
      <c r="AF78" s="45" t="str">
        <f t="shared" si="96"/>
        <v>Oct-22F</v>
      </c>
      <c r="AG78" s="45" t="str">
        <f t="shared" si="96"/>
        <v>Nov-22F</v>
      </c>
      <c r="AH78" s="45" t="str">
        <f t="shared" si="96"/>
        <v>Dec-22F</v>
      </c>
      <c r="AJ78" s="45" t="str">
        <f ca="1">AJ$10</f>
        <v>Q3'20A</v>
      </c>
      <c r="AK78" s="45" t="str">
        <f t="shared" ref="AK78:AW78" ca="1" si="97">AK$10</f>
        <v>Q4'20A</v>
      </c>
      <c r="AL78" s="45" t="str">
        <f t="shared" ca="1" si="97"/>
        <v>Q1'21A</v>
      </c>
      <c r="AM78" s="46" t="str">
        <f t="shared" ca="1" si="97"/>
        <v>Q2'21A</v>
      </c>
      <c r="AN78" s="45" t="str">
        <f t="shared" ca="1" si="97"/>
        <v>Q3'21F</v>
      </c>
      <c r="AO78" s="45" t="str">
        <f t="shared" ca="1" si="97"/>
        <v>Q4'21F</v>
      </c>
      <c r="AP78" s="45" t="str">
        <f t="shared" ca="1" si="97"/>
        <v>Q1'22F</v>
      </c>
      <c r="AQ78" s="45" t="str">
        <f t="shared" ca="1" si="97"/>
        <v>Q2'22F</v>
      </c>
      <c r="AR78" s="45" t="str">
        <f t="shared" ca="1" si="97"/>
        <v>Q3'22F</v>
      </c>
      <c r="AS78" s="45" t="str">
        <f t="shared" ca="1" si="97"/>
        <v>Q4'22F</v>
      </c>
      <c r="AU78" s="45" t="str">
        <f t="shared" ca="1" si="97"/>
        <v>FY20</v>
      </c>
      <c r="AV78" s="45" t="str">
        <f t="shared" ca="1" si="97"/>
        <v>FY21</v>
      </c>
      <c r="AW78" s="45" t="str">
        <f t="shared" ca="1" si="97"/>
        <v>FY22</v>
      </c>
    </row>
    <row r="79" spans="2:64" outlineLevel="1" x14ac:dyDescent="0.25">
      <c r="B79" s="113"/>
      <c r="C79" s="1" t="s">
        <v>1</v>
      </c>
      <c r="E79" s="113">
        <f t="shared" ref="E79:P82" si="98">E85/E72</f>
        <v>1.6378897355206306</v>
      </c>
      <c r="F79" s="113">
        <f t="shared" si="98"/>
        <v>1.6427636683965459</v>
      </c>
      <c r="G79" s="113">
        <f t="shared" si="98"/>
        <v>1.6460046134108814</v>
      </c>
      <c r="H79" s="113">
        <f t="shared" si="98"/>
        <v>1.6434265145497087</v>
      </c>
      <c r="I79" s="113">
        <f t="shared" si="98"/>
        <v>1.6378613177626811</v>
      </c>
      <c r="J79" s="114">
        <f t="shared" si="98"/>
        <v>1.6463291659778956</v>
      </c>
      <c r="K79" s="113">
        <f t="shared" si="98"/>
        <v>1.6400778631079906</v>
      </c>
      <c r="L79" s="113">
        <f t="shared" si="98"/>
        <v>1.6419409755456207</v>
      </c>
      <c r="M79" s="113">
        <f t="shared" si="98"/>
        <v>1.6441498852162539</v>
      </c>
      <c r="N79" s="113">
        <f t="shared" si="98"/>
        <v>1.6374180376172853</v>
      </c>
      <c r="O79" s="113">
        <f t="shared" si="98"/>
        <v>1.6473131355788726</v>
      </c>
      <c r="P79" s="115">
        <f t="shared" si="98"/>
        <v>1.6359132662343061</v>
      </c>
      <c r="Q79" s="127">
        <f t="shared" ref="Q79:Z82" si="99">E79</f>
        <v>1.6378897355206306</v>
      </c>
      <c r="R79" s="127">
        <f t="shared" si="99"/>
        <v>1.6427636683965459</v>
      </c>
      <c r="S79" s="127">
        <f t="shared" si="99"/>
        <v>1.6460046134108814</v>
      </c>
      <c r="T79" s="127">
        <f t="shared" si="99"/>
        <v>1.6434265145497087</v>
      </c>
      <c r="U79" s="127">
        <f t="shared" si="99"/>
        <v>1.6378613177626811</v>
      </c>
      <c r="V79" s="127">
        <f t="shared" si="99"/>
        <v>1.6463291659778956</v>
      </c>
      <c r="W79" s="127">
        <f t="shared" si="99"/>
        <v>1.6400778631079906</v>
      </c>
      <c r="X79" s="127">
        <f t="shared" si="99"/>
        <v>1.6419409755456207</v>
      </c>
      <c r="Y79" s="127">
        <f t="shared" si="99"/>
        <v>1.6441498852162539</v>
      </c>
      <c r="Z79" s="127">
        <f t="shared" si="99"/>
        <v>1.6374180376172853</v>
      </c>
      <c r="AA79" s="127">
        <f t="shared" ref="AA79:AH82" si="100">O79</f>
        <v>1.6473131355788726</v>
      </c>
      <c r="AB79" s="127">
        <f t="shared" si="100"/>
        <v>1.6359132662343061</v>
      </c>
      <c r="AC79" s="127">
        <f t="shared" si="100"/>
        <v>1.6378897355206306</v>
      </c>
      <c r="AD79" s="127">
        <f t="shared" si="100"/>
        <v>1.6427636683965459</v>
      </c>
      <c r="AE79" s="127">
        <f t="shared" si="100"/>
        <v>1.6460046134108814</v>
      </c>
      <c r="AF79" s="127">
        <f t="shared" si="100"/>
        <v>1.6434265145497087</v>
      </c>
      <c r="AG79" s="127">
        <f t="shared" si="100"/>
        <v>1.6378613177626811</v>
      </c>
      <c r="AH79" s="127">
        <f t="shared" si="100"/>
        <v>1.6463291659778956</v>
      </c>
      <c r="AJ79" s="113">
        <f t="shared" ref="AJ79:AW82" ca="1" si="101">AJ85/AJ72</f>
        <v>1.6418809397790728</v>
      </c>
      <c r="AK79" s="113">
        <f t="shared" ca="1" si="101"/>
        <v>1.642586088615833</v>
      </c>
      <c r="AL79" s="113">
        <f t="shared" ca="1" si="101"/>
        <v>1.6418963811990286</v>
      </c>
      <c r="AM79" s="115">
        <f t="shared" ca="1" si="101"/>
        <v>1.6400160656128955</v>
      </c>
      <c r="AN79" s="113">
        <f t="shared" ca="1" si="101"/>
        <v>1.6418813250028952</v>
      </c>
      <c r="AO79" s="113">
        <f t="shared" ca="1" si="101"/>
        <v>1.6425859041984865</v>
      </c>
      <c r="AP79" s="113">
        <f t="shared" ca="1" si="101"/>
        <v>1.6418963238233129</v>
      </c>
      <c r="AQ79" s="113">
        <f t="shared" ca="1" si="101"/>
        <v>1.6400157394681556</v>
      </c>
      <c r="AR79" s="113">
        <f t="shared" ca="1" si="101"/>
        <v>1.6418817167446942</v>
      </c>
      <c r="AS79" s="113">
        <f t="shared" ca="1" si="101"/>
        <v>1.6425857207764947</v>
      </c>
      <c r="AT79" s="113"/>
      <c r="AU79" s="113">
        <f t="shared" ca="1" si="101"/>
        <v>1.6422107652205893</v>
      </c>
      <c r="AV79" s="113">
        <f t="shared" ca="1" si="101"/>
        <v>1.6416097949352302</v>
      </c>
      <c r="AW79" s="113">
        <f t="shared" ca="1" si="101"/>
        <v>1.6416098462137709</v>
      </c>
    </row>
    <row r="80" spans="2:64" x14ac:dyDescent="0.25">
      <c r="B80" s="113"/>
      <c r="C80" s="1" t="s">
        <v>2</v>
      </c>
      <c r="E80" s="113">
        <f t="shared" si="98"/>
        <v>3.496458664365131</v>
      </c>
      <c r="F80" s="113">
        <f t="shared" si="98"/>
        <v>3.4952243186999334</v>
      </c>
      <c r="G80" s="113">
        <f t="shared" si="98"/>
        <v>3.0971632818069685</v>
      </c>
      <c r="H80" s="113">
        <f t="shared" si="98"/>
        <v>3.4970018153076223</v>
      </c>
      <c r="I80" s="113">
        <f t="shared" si="98"/>
        <v>3.4941161674314709</v>
      </c>
      <c r="J80" s="114">
        <f t="shared" si="98"/>
        <v>3.4947827605524742</v>
      </c>
      <c r="K80" s="113">
        <f t="shared" si="98"/>
        <v>3.4965184044184694</v>
      </c>
      <c r="L80" s="113">
        <f t="shared" si="98"/>
        <v>3.4935522646998023</v>
      </c>
      <c r="M80" s="113">
        <f t="shared" si="98"/>
        <v>3.498130008949178</v>
      </c>
      <c r="N80" s="113">
        <f t="shared" si="98"/>
        <v>3.4989846879652426</v>
      </c>
      <c r="O80" s="113">
        <f t="shared" si="98"/>
        <v>3.4952349763929846</v>
      </c>
      <c r="P80" s="115">
        <f t="shared" si="98"/>
        <v>3.4985813860067907</v>
      </c>
      <c r="Q80" s="127">
        <f t="shared" si="99"/>
        <v>3.496458664365131</v>
      </c>
      <c r="R80" s="127">
        <f t="shared" si="99"/>
        <v>3.4952243186999334</v>
      </c>
      <c r="S80" s="127">
        <f t="shared" si="99"/>
        <v>3.0971632818069685</v>
      </c>
      <c r="T80" s="127">
        <f t="shared" si="99"/>
        <v>3.4970018153076223</v>
      </c>
      <c r="U80" s="127">
        <f t="shared" si="99"/>
        <v>3.4941161674314709</v>
      </c>
      <c r="V80" s="127">
        <f t="shared" si="99"/>
        <v>3.4947827605524742</v>
      </c>
      <c r="W80" s="127">
        <f t="shared" si="99"/>
        <v>3.4965184044184694</v>
      </c>
      <c r="X80" s="127">
        <f t="shared" si="99"/>
        <v>3.4935522646998023</v>
      </c>
      <c r="Y80" s="127">
        <f t="shared" si="99"/>
        <v>3.498130008949178</v>
      </c>
      <c r="Z80" s="127">
        <f t="shared" si="99"/>
        <v>3.4989846879652426</v>
      </c>
      <c r="AA80" s="127">
        <f t="shared" si="100"/>
        <v>3.4952349763929846</v>
      </c>
      <c r="AB80" s="127">
        <f t="shared" si="100"/>
        <v>3.4985813860067907</v>
      </c>
      <c r="AC80" s="127">
        <f t="shared" si="100"/>
        <v>3.496458664365131</v>
      </c>
      <c r="AD80" s="127">
        <f t="shared" si="100"/>
        <v>3.4952243186999334</v>
      </c>
      <c r="AE80" s="127">
        <f t="shared" si="100"/>
        <v>3.0971632818069685</v>
      </c>
      <c r="AF80" s="127">
        <f t="shared" si="100"/>
        <v>3.4970018153076223</v>
      </c>
      <c r="AG80" s="127">
        <f t="shared" si="100"/>
        <v>3.4941161674314709</v>
      </c>
      <c r="AH80" s="127">
        <f t="shared" si="100"/>
        <v>3.4947827605524742</v>
      </c>
      <c r="AJ80" s="113">
        <f t="shared" ca="1" si="101"/>
        <v>3.3702202606634195</v>
      </c>
      <c r="AK80" s="113">
        <f t="shared" ca="1" si="101"/>
        <v>3.495239254326755</v>
      </c>
      <c r="AL80" s="113">
        <f t="shared" ca="1" si="101"/>
        <v>3.4960558612156198</v>
      </c>
      <c r="AM80" s="115">
        <f t="shared" ca="1" si="101"/>
        <v>3.4976882503656785</v>
      </c>
      <c r="AN80" s="113">
        <f t="shared" ca="1" si="101"/>
        <v>3.3702056379233767</v>
      </c>
      <c r="AO80" s="113">
        <f t="shared" ca="1" si="101"/>
        <v>3.4952392517346715</v>
      </c>
      <c r="AP80" s="113">
        <f t="shared" ca="1" si="101"/>
        <v>3.496055849429502</v>
      </c>
      <c r="AQ80" s="113">
        <f t="shared" ca="1" si="101"/>
        <v>3.4976883665101508</v>
      </c>
      <c r="AR80" s="113">
        <f t="shared" ca="1" si="101"/>
        <v>3.370190665840493</v>
      </c>
      <c r="AS80" s="113">
        <f t="shared" ca="1" si="101"/>
        <v>3.4952392487350994</v>
      </c>
      <c r="AT80" s="113"/>
      <c r="AU80" s="113">
        <f t="shared" ca="1" si="101"/>
        <v>3.4351129253106421</v>
      </c>
      <c r="AV80" s="113">
        <f t="shared" ca="1" si="101"/>
        <v>3.4659609749087923</v>
      </c>
      <c r="AW80" s="113">
        <f t="shared" ca="1" si="101"/>
        <v>3.465958186516473</v>
      </c>
    </row>
    <row r="81" spans="2:49" outlineLevel="1" x14ac:dyDescent="0.25">
      <c r="B81" s="113"/>
      <c r="C81" s="1" t="s">
        <v>3</v>
      </c>
      <c r="E81" s="113">
        <f t="shared" si="98"/>
        <v>2.9497618873126745</v>
      </c>
      <c r="F81" s="113">
        <f t="shared" si="98"/>
        <v>2.9466430293626962</v>
      </c>
      <c r="G81" s="113">
        <f t="shared" si="98"/>
        <v>2.9483031121522196</v>
      </c>
      <c r="H81" s="113">
        <f t="shared" si="98"/>
        <v>2.9491701539398263</v>
      </c>
      <c r="I81" s="113">
        <f t="shared" si="98"/>
        <v>2.9480091412615592</v>
      </c>
      <c r="J81" s="114">
        <f t="shared" si="98"/>
        <v>2.9460724139850583</v>
      </c>
      <c r="K81" s="113">
        <f t="shared" si="98"/>
        <v>2.9473333526096184</v>
      </c>
      <c r="L81" s="113">
        <f t="shared" si="98"/>
        <v>2.9498365405754852</v>
      </c>
      <c r="M81" s="113">
        <f t="shared" si="98"/>
        <v>2.9442635336950258</v>
      </c>
      <c r="N81" s="113">
        <f t="shared" si="98"/>
        <v>2.9471833607202695</v>
      </c>
      <c r="O81" s="113">
        <f t="shared" si="98"/>
        <v>2.9461412592771254</v>
      </c>
      <c r="P81" s="115">
        <f t="shared" si="98"/>
        <v>2.9464428716253956</v>
      </c>
      <c r="Q81" s="127">
        <f t="shared" si="99"/>
        <v>2.9497618873126745</v>
      </c>
      <c r="R81" s="127">
        <f t="shared" si="99"/>
        <v>2.9466430293626962</v>
      </c>
      <c r="S81" s="127">
        <f t="shared" si="99"/>
        <v>2.9483031121522196</v>
      </c>
      <c r="T81" s="127">
        <f t="shared" si="99"/>
        <v>2.9491701539398263</v>
      </c>
      <c r="U81" s="127">
        <f t="shared" si="99"/>
        <v>2.9480091412615592</v>
      </c>
      <c r="V81" s="127">
        <f t="shared" si="99"/>
        <v>2.9460724139850583</v>
      </c>
      <c r="W81" s="127">
        <f t="shared" si="99"/>
        <v>2.9473333526096184</v>
      </c>
      <c r="X81" s="127">
        <f t="shared" si="99"/>
        <v>2.9498365405754852</v>
      </c>
      <c r="Y81" s="127">
        <f t="shared" si="99"/>
        <v>2.9442635336950258</v>
      </c>
      <c r="Z81" s="127">
        <f t="shared" si="99"/>
        <v>2.9471833607202695</v>
      </c>
      <c r="AA81" s="127">
        <f t="shared" si="100"/>
        <v>2.9461412592771254</v>
      </c>
      <c r="AB81" s="127">
        <f t="shared" si="100"/>
        <v>2.9464428716253956</v>
      </c>
      <c r="AC81" s="127">
        <f t="shared" si="100"/>
        <v>2.9497618873126745</v>
      </c>
      <c r="AD81" s="127">
        <f t="shared" si="100"/>
        <v>2.9466430293626962</v>
      </c>
      <c r="AE81" s="127">
        <f t="shared" si="100"/>
        <v>2.9483031121522196</v>
      </c>
      <c r="AF81" s="127">
        <f t="shared" si="100"/>
        <v>2.9491701539398263</v>
      </c>
      <c r="AG81" s="127">
        <f t="shared" si="100"/>
        <v>2.9480091412615592</v>
      </c>
      <c r="AH81" s="127">
        <f t="shared" si="100"/>
        <v>2.9460724139850583</v>
      </c>
      <c r="AJ81" s="113">
        <f t="shared" ca="1" si="101"/>
        <v>2.948279097272053</v>
      </c>
      <c r="AK81" s="113">
        <f t="shared" ca="1" si="101"/>
        <v>2.9476181319450867</v>
      </c>
      <c r="AL81" s="113">
        <f t="shared" ca="1" si="101"/>
        <v>2.9472239737929082</v>
      </c>
      <c r="AM81" s="115">
        <f t="shared" ca="1" si="101"/>
        <v>2.9465904621599885</v>
      </c>
      <c r="AN81" s="113">
        <f t="shared" ca="1" si="101"/>
        <v>2.9482789808074243</v>
      </c>
      <c r="AO81" s="113">
        <f t="shared" ca="1" si="101"/>
        <v>2.9476181933155026</v>
      </c>
      <c r="AP81" s="113">
        <f t="shared" ca="1" si="101"/>
        <v>2.9472240064438284</v>
      </c>
      <c r="AQ81" s="113">
        <f t="shared" ca="1" si="101"/>
        <v>2.9465904918529993</v>
      </c>
      <c r="AR81" s="113">
        <f t="shared" ca="1" si="101"/>
        <v>2.948278863254854</v>
      </c>
      <c r="AS81" s="113">
        <f t="shared" ca="1" si="101"/>
        <v>2.9476182538946056</v>
      </c>
      <c r="AT81" s="113"/>
      <c r="AU81" s="113">
        <f t="shared" ca="1" si="101"/>
        <v>2.9479332775157787</v>
      </c>
      <c r="AV81" s="113">
        <f t="shared" ca="1" si="101"/>
        <v>2.9473877201366609</v>
      </c>
      <c r="AW81" s="113">
        <f t="shared" ca="1" si="101"/>
        <v>2.9473877599301685</v>
      </c>
    </row>
    <row r="82" spans="2:49" outlineLevel="1" x14ac:dyDescent="0.25">
      <c r="B82" s="113"/>
      <c r="C82" s="1" t="s">
        <v>4</v>
      </c>
      <c r="E82" s="113">
        <f t="shared" si="98"/>
        <v>1.74618668844022</v>
      </c>
      <c r="F82" s="113">
        <f t="shared" si="98"/>
        <v>1.7321391930933288</v>
      </c>
      <c r="G82" s="113">
        <f t="shared" si="98"/>
        <v>1.731867533945922</v>
      </c>
      <c r="H82" s="113">
        <f t="shared" si="98"/>
        <v>1.7452678828414201</v>
      </c>
      <c r="I82" s="113">
        <f t="shared" si="98"/>
        <v>1.7417246639782209</v>
      </c>
      <c r="J82" s="114">
        <f t="shared" si="98"/>
        <v>1.7307956814049694</v>
      </c>
      <c r="K82" s="113">
        <f t="shared" si="98"/>
        <v>1.7426810755019297</v>
      </c>
      <c r="L82" s="113">
        <f t="shared" si="98"/>
        <v>1.729230861414641</v>
      </c>
      <c r="M82" s="113">
        <f t="shared" si="98"/>
        <v>1.7222212284477811</v>
      </c>
      <c r="N82" s="113">
        <f t="shared" si="98"/>
        <v>1.7469889075083862</v>
      </c>
      <c r="O82" s="113">
        <f t="shared" si="98"/>
        <v>1.73545265478665</v>
      </c>
      <c r="P82" s="115">
        <f t="shared" si="98"/>
        <v>1.7484922475902511</v>
      </c>
      <c r="Q82" s="127">
        <f t="shared" si="99"/>
        <v>1.74618668844022</v>
      </c>
      <c r="R82" s="127">
        <f t="shared" si="99"/>
        <v>1.7321391930933288</v>
      </c>
      <c r="S82" s="127">
        <f t="shared" si="99"/>
        <v>1.731867533945922</v>
      </c>
      <c r="T82" s="127">
        <f t="shared" si="99"/>
        <v>1.7452678828414201</v>
      </c>
      <c r="U82" s="127">
        <f t="shared" si="99"/>
        <v>1.7417246639782209</v>
      </c>
      <c r="V82" s="127">
        <f t="shared" si="99"/>
        <v>1.7307956814049694</v>
      </c>
      <c r="W82" s="127">
        <f t="shared" si="99"/>
        <v>1.7426810755019297</v>
      </c>
      <c r="X82" s="127">
        <f t="shared" si="99"/>
        <v>1.729230861414641</v>
      </c>
      <c r="Y82" s="127">
        <f t="shared" si="99"/>
        <v>1.7222212284477811</v>
      </c>
      <c r="Z82" s="127">
        <f t="shared" si="99"/>
        <v>1.7469889075083862</v>
      </c>
      <c r="AA82" s="127">
        <f t="shared" si="100"/>
        <v>1.73545265478665</v>
      </c>
      <c r="AB82" s="127">
        <f t="shared" si="100"/>
        <v>1.7484922475902511</v>
      </c>
      <c r="AC82" s="127">
        <f t="shared" si="100"/>
        <v>1.74618668844022</v>
      </c>
      <c r="AD82" s="127">
        <f t="shared" si="100"/>
        <v>1.7321391930933288</v>
      </c>
      <c r="AE82" s="127">
        <f t="shared" si="100"/>
        <v>1.731867533945922</v>
      </c>
      <c r="AF82" s="127">
        <f t="shared" si="100"/>
        <v>1.7452678828414201</v>
      </c>
      <c r="AG82" s="127">
        <f t="shared" si="100"/>
        <v>1.7417246639782209</v>
      </c>
      <c r="AH82" s="127">
        <f t="shared" si="100"/>
        <v>1.7307956814049694</v>
      </c>
      <c r="AJ82" s="113">
        <f t="shared" ca="1" si="101"/>
        <v>1.7370442548303531</v>
      </c>
      <c r="AK82" s="113">
        <f t="shared" ca="1" si="101"/>
        <v>1.7386726782169801</v>
      </c>
      <c r="AL82" s="113">
        <f t="shared" ca="1" si="101"/>
        <v>1.7320013505790748</v>
      </c>
      <c r="AM82" s="115">
        <f t="shared" ca="1" si="101"/>
        <v>1.7437981942698186</v>
      </c>
      <c r="AN82" s="113">
        <f t="shared" ca="1" si="101"/>
        <v>1.7370434576565337</v>
      </c>
      <c r="AO82" s="113">
        <f t="shared" ca="1" si="101"/>
        <v>1.7386730060441904</v>
      </c>
      <c r="AP82" s="113">
        <f t="shared" ca="1" si="101"/>
        <v>1.7320016516503796</v>
      </c>
      <c r="AQ82" s="113">
        <f t="shared" ca="1" si="101"/>
        <v>1.7437985773447107</v>
      </c>
      <c r="AR82" s="113">
        <f t="shared" ca="1" si="101"/>
        <v>1.7370426489240163</v>
      </c>
      <c r="AS82" s="113">
        <f t="shared" ca="1" si="101"/>
        <v>1.738673330050736</v>
      </c>
      <c r="AT82" s="113"/>
      <c r="AU82" s="113">
        <f t="shared" ca="1" si="101"/>
        <v>1.7378986123638398</v>
      </c>
      <c r="AV82" s="113">
        <f t="shared" ca="1" si="101"/>
        <v>1.738401030186852</v>
      </c>
      <c r="AW82" s="113">
        <f t="shared" ca="1" si="101"/>
        <v>1.7384010943202566</v>
      </c>
    </row>
    <row r="83" spans="2:49" x14ac:dyDescent="0.25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M83" s="8"/>
    </row>
    <row r="84" spans="2:49" x14ac:dyDescent="0.25">
      <c r="C84" s="30" t="s">
        <v>269</v>
      </c>
      <c r="D84" s="225"/>
      <c r="E84" s="45" t="str">
        <f t="shared" ref="E84:AH84" si="102">E$9</f>
        <v>Jul-20A</v>
      </c>
      <c r="F84" s="45" t="str">
        <f t="shared" si="102"/>
        <v>Aug-20A</v>
      </c>
      <c r="G84" s="45" t="str">
        <f t="shared" si="102"/>
        <v>Sep-20A</v>
      </c>
      <c r="H84" s="45" t="str">
        <f t="shared" si="102"/>
        <v>Oct-20A</v>
      </c>
      <c r="I84" s="45" t="str">
        <f t="shared" si="102"/>
        <v>Nov-20A</v>
      </c>
      <c r="J84" s="45" t="str">
        <f t="shared" si="102"/>
        <v>Dec-20A</v>
      </c>
      <c r="K84" s="45" t="str">
        <f t="shared" si="102"/>
        <v>Jan-21A</v>
      </c>
      <c r="L84" s="45" t="str">
        <f t="shared" si="102"/>
        <v>Feb-21A</v>
      </c>
      <c r="M84" s="45" t="str">
        <f t="shared" si="102"/>
        <v>Mar-21A</v>
      </c>
      <c r="N84" s="45" t="str">
        <f t="shared" si="102"/>
        <v>Apr-21A</v>
      </c>
      <c r="O84" s="45" t="str">
        <f t="shared" si="102"/>
        <v>May-21A</v>
      </c>
      <c r="P84" s="46" t="str">
        <f t="shared" si="102"/>
        <v>Jun-21A</v>
      </c>
      <c r="Q84" s="45" t="str">
        <f t="shared" si="102"/>
        <v>Jul-21F</v>
      </c>
      <c r="R84" s="45" t="str">
        <f t="shared" si="102"/>
        <v>Aug-21F</v>
      </c>
      <c r="S84" s="45" t="str">
        <f t="shared" si="102"/>
        <v>Sep-21F</v>
      </c>
      <c r="T84" s="45" t="str">
        <f t="shared" si="102"/>
        <v>Oct-21F</v>
      </c>
      <c r="U84" s="45" t="str">
        <f t="shared" si="102"/>
        <v>Nov-21F</v>
      </c>
      <c r="V84" s="45" t="str">
        <f t="shared" si="102"/>
        <v>Dec-21F</v>
      </c>
      <c r="W84" s="45" t="str">
        <f t="shared" si="102"/>
        <v>Jan-22F</v>
      </c>
      <c r="X84" s="45" t="str">
        <f t="shared" si="102"/>
        <v>Feb-22F</v>
      </c>
      <c r="Y84" s="45" t="str">
        <f t="shared" si="102"/>
        <v>Mar-22F</v>
      </c>
      <c r="Z84" s="45" t="str">
        <f t="shared" si="102"/>
        <v>Apr-22F</v>
      </c>
      <c r="AA84" s="45" t="str">
        <f t="shared" si="102"/>
        <v>May-22F</v>
      </c>
      <c r="AB84" s="45" t="str">
        <f t="shared" si="102"/>
        <v>Jun-22F</v>
      </c>
      <c r="AC84" s="45" t="str">
        <f t="shared" si="102"/>
        <v>Jul-22F</v>
      </c>
      <c r="AD84" s="45" t="str">
        <f t="shared" si="102"/>
        <v>Aug-22F</v>
      </c>
      <c r="AE84" s="45" t="str">
        <f t="shared" si="102"/>
        <v>Sep-22F</v>
      </c>
      <c r="AF84" s="45" t="str">
        <f t="shared" si="102"/>
        <v>Oct-22F</v>
      </c>
      <c r="AG84" s="45" t="str">
        <f t="shared" si="102"/>
        <v>Nov-22F</v>
      </c>
      <c r="AH84" s="45" t="str">
        <f t="shared" si="102"/>
        <v>Dec-22F</v>
      </c>
      <c r="AJ84" s="45" t="str">
        <f ca="1">AJ$10</f>
        <v>Q3'20A</v>
      </c>
      <c r="AK84" s="45" t="str">
        <f t="shared" ref="AK84:AW84" ca="1" si="103">AK$10</f>
        <v>Q4'20A</v>
      </c>
      <c r="AL84" s="45" t="str">
        <f t="shared" ca="1" si="103"/>
        <v>Q1'21A</v>
      </c>
      <c r="AM84" s="46" t="str">
        <f t="shared" ca="1" si="103"/>
        <v>Q2'21A</v>
      </c>
      <c r="AN84" s="45" t="str">
        <f t="shared" ca="1" si="103"/>
        <v>Q3'21F</v>
      </c>
      <c r="AO84" s="45" t="str">
        <f t="shared" ca="1" si="103"/>
        <v>Q4'21F</v>
      </c>
      <c r="AP84" s="45" t="str">
        <f t="shared" ca="1" si="103"/>
        <v>Q1'22F</v>
      </c>
      <c r="AQ84" s="45" t="str">
        <f t="shared" ca="1" si="103"/>
        <v>Q2'22F</v>
      </c>
      <c r="AR84" s="45" t="str">
        <f t="shared" ca="1" si="103"/>
        <v>Q3'22F</v>
      </c>
      <c r="AS84" s="45" t="str">
        <f t="shared" ca="1" si="103"/>
        <v>Q4'22F</v>
      </c>
      <c r="AU84" s="45" t="str">
        <f t="shared" ca="1" si="103"/>
        <v>FY20</v>
      </c>
      <c r="AV84" s="45" t="str">
        <f t="shared" ca="1" si="103"/>
        <v>FY21</v>
      </c>
      <c r="AW84" s="45" t="str">
        <f t="shared" ca="1" si="103"/>
        <v>FY22</v>
      </c>
    </row>
    <row r="85" spans="2:49" outlineLevel="1" x14ac:dyDescent="0.25">
      <c r="C85" s="1" t="s">
        <v>1</v>
      </c>
      <c r="E85" s="65">
        <v>7988.4022223829143</v>
      </c>
      <c r="F85" s="65">
        <v>7530.05127519701</v>
      </c>
      <c r="G85" s="65">
        <v>6154.9984336392945</v>
      </c>
      <c r="H85" s="65">
        <v>7333.6151549744782</v>
      </c>
      <c r="I85" s="65">
        <v>5893.0836066759193</v>
      </c>
      <c r="J85" s="91">
        <v>5827.6048999350751</v>
      </c>
      <c r="K85" s="65">
        <v>8446.7531695688176</v>
      </c>
      <c r="L85" s="65">
        <v>7791.9661021603824</v>
      </c>
      <c r="M85" s="65">
        <v>6678.8280875660421</v>
      </c>
      <c r="N85" s="65">
        <v>7071.700328011103</v>
      </c>
      <c r="O85" s="65">
        <v>6351.4345538618245</v>
      </c>
      <c r="P85" s="67">
        <v>6744.3067943068863</v>
      </c>
      <c r="Q85" s="83">
        <f>Q72*Q79</f>
        <v>8355.5731913472846</v>
      </c>
      <c r="R85" s="83">
        <f t="shared" ref="R85:AH85" si="104">R72*R79</f>
        <v>7877.8726461600272</v>
      </c>
      <c r="S85" s="83">
        <f t="shared" si="104"/>
        <v>6439.6556435257689</v>
      </c>
      <c r="T85" s="83">
        <f t="shared" si="104"/>
        <v>7674.0028100304144</v>
      </c>
      <c r="U85" s="83">
        <f t="shared" si="104"/>
        <v>6166.9399298312455</v>
      </c>
      <c r="V85" s="83">
        <f t="shared" si="104"/>
        <v>6097.5263068349796</v>
      </c>
      <c r="W85" s="83">
        <f t="shared" si="104"/>
        <v>8837.4874395585175</v>
      </c>
      <c r="X85" s="83">
        <f t="shared" si="104"/>
        <v>8151.9887274668299</v>
      </c>
      <c r="Y85" s="83">
        <f t="shared" si="104"/>
        <v>6987.1778321199708</v>
      </c>
      <c r="Z85" s="83">
        <f t="shared" si="104"/>
        <v>7399.0736576526315</v>
      </c>
      <c r="AA85" s="83">
        <f t="shared" si="104"/>
        <v>6644.2586148922355</v>
      </c>
      <c r="AB85" s="83">
        <f t="shared" si="104"/>
        <v>7056.0674663431446</v>
      </c>
      <c r="AC85" s="83">
        <f t="shared" si="104"/>
        <v>8740.9725615899133</v>
      </c>
      <c r="AD85" s="83">
        <f t="shared" si="104"/>
        <v>8243.0526072048906</v>
      </c>
      <c r="AE85" s="83">
        <f t="shared" si="104"/>
        <v>6738.5540817914025</v>
      </c>
      <c r="AF85" s="83">
        <f t="shared" si="104"/>
        <v>8031.4436044384656</v>
      </c>
      <c r="AG85" s="83">
        <f t="shared" si="104"/>
        <v>6454.5332839748626</v>
      </c>
      <c r="AH85" s="83">
        <f t="shared" si="104"/>
        <v>6380.9553843059339</v>
      </c>
      <c r="AJ85" s="83" cm="1">
        <f t="array" aca="1" ref="AJ85" ca="1">SUMPRODUCT(($E85:$AH85)*(AJ$3&amp;AJ$4&amp;AJ$5&amp;AJ$6=$E$3:$AH$3&amp;$E$4:$AH$4&amp;$E$5:$AH$5&amp;$E$6:$AH$6))</f>
        <v>21673.451931219221</v>
      </c>
      <c r="AK85" s="83" cm="1">
        <f t="array" aca="1" ref="AK85" ca="1">SUMPRODUCT(($E85:$AH85)*(AK$3=$E$3:$AH$3)*(AK$4=$E$4:$AH$4)*(AK$5=$E$5:$AH$5)*(AK$6=$E$6:$AH$6))</f>
        <v>19054.303661585473</v>
      </c>
      <c r="AL85" s="83" cm="1">
        <f t="array" aca="1" ref="AL85" ca="1">SUMPRODUCT(($E85:$AH85)*(AL$3=$E$3:$AH$3)*(AL$4=$E$4:$AH$4)*(AL$5=$E$5:$AH$5)*(AL$6=$E$6:$AH$6))</f>
        <v>22917.54735929524</v>
      </c>
      <c r="AM85" s="158" cm="1">
        <f t="array" aca="1" ref="AM85" ca="1">SUMPRODUCT(($E85:$AH85)*(AM$3=$E$3:$AH$3)*(AM$4=$E$4:$AH$4)*(AM$5=$E$5:$AH$5)*(AM$6=$E$6:$AH$6))</f>
        <v>20167.441676179813</v>
      </c>
      <c r="AN85" s="83" cm="1">
        <f t="array" aca="1" ref="AN85" ca="1">SUMPRODUCT(($E85:$AH85)*(AN$3=$E$3:$AH$3)*(AN$4=$E$4:$AH$4)*(AN$5=$E$5:$AH$5)*(AN$6=$E$6:$AH$6))</f>
        <v>22673.101481033082</v>
      </c>
      <c r="AO85" s="83" cm="1">
        <f t="array" aca="1" ref="AO85" ca="1">SUMPRODUCT(($E85:$AH85)*(AO$3=$E$3:$AH$3)*(AO$4=$E$4:$AH$4)*(AO$5=$E$5:$AH$5)*(AO$6=$E$6:$AH$6))</f>
        <v>19938.469046696642</v>
      </c>
      <c r="AP85" s="83" cm="1">
        <f t="array" aca="1" ref="AP85" ca="1">SUMPRODUCT(($E85:$AH85)*(AP$3=$E$3:$AH$3)*(AP$4=$E$4:$AH$4)*(AP$5=$E$5:$AH$5)*(AP$6=$E$6:$AH$6))</f>
        <v>23976.653999145317</v>
      </c>
      <c r="AQ85" s="83" cm="1">
        <f t="array" aca="1" ref="AQ85" ca="1">SUMPRODUCT(($E85:$AH85)*(AQ$3=$E$3:$AH$3)*(AQ$4=$E$4:$AH$4)*(AQ$5=$E$5:$AH$5)*(AQ$6=$E$6:$AH$6))</f>
        <v>21099.399738888013</v>
      </c>
      <c r="AR85" s="83" cm="1">
        <f t="array" aca="1" ref="AR85" ca="1">SUMPRODUCT(($E85:$AH85)*(AR$3=$E$3:$AH$3)*(AR$4=$E$4:$AH$4)*(AR$5=$E$5:$AH$5)*(AR$6=$E$6:$AH$6))</f>
        <v>23722.579250586205</v>
      </c>
      <c r="AS85" s="83" cm="1">
        <f t="array" aca="1" ref="AS85" ca="1">SUMPRODUCT(($E85:$AH85)*(AS$3=$E$3:$AH$3)*(AS$4=$E$4:$AH$4)*(AS$5=$E$5:$AH$5)*(AS$6=$E$6:$AH$6))</f>
        <v>20866.932272719263</v>
      </c>
      <c r="AT85" s="83"/>
      <c r="AU85" s="83" cm="1">
        <f t="array" aca="1" ref="AU85" ca="1">SUMPRODUCT(($E85:$AH85)*(AU$5=$E$5:$AH$5))</f>
        <v>40727.755592804693</v>
      </c>
      <c r="AV85" s="83" cm="1">
        <f t="array" aca="1" ref="AV85" ca="1">SUMPRODUCT(($E85:$AH85)*(AV$5=$E$5:$AH$5))</f>
        <v>85696.559563204777</v>
      </c>
      <c r="AW85" s="83" cm="1">
        <f t="array" aca="1" ref="AW85" ca="1">SUMPRODUCT(($E85:$AH85)*(AW$5=$E$5:$AH$5))</f>
        <v>89665.565261338794</v>
      </c>
    </row>
    <row r="86" spans="2:49" x14ac:dyDescent="0.25">
      <c r="C86" s="1" t="s">
        <v>2</v>
      </c>
      <c r="E86" s="65">
        <v>26911.748470486698</v>
      </c>
      <c r="F86" s="65">
        <v>24161.642787371267</v>
      </c>
      <c r="G86" s="65">
        <v>20822.22874358825</v>
      </c>
      <c r="H86" s="65">
        <v>24161.642787371267</v>
      </c>
      <c r="I86" s="65">
        <v>25274.780801965608</v>
      </c>
      <c r="J86" s="91">
        <v>31036.906995159847</v>
      </c>
      <c r="K86" s="65">
        <v>26846.269763745855</v>
      </c>
      <c r="L86" s="65">
        <v>21804.4093447009</v>
      </c>
      <c r="M86" s="65">
        <v>20363.877796402343</v>
      </c>
      <c r="N86" s="65">
        <v>30971.428288418992</v>
      </c>
      <c r="O86" s="65">
        <v>28352.280018785259</v>
      </c>
      <c r="P86" s="67">
        <v>33001.26819738515</v>
      </c>
      <c r="Q86" s="83">
        <f t="shared" ref="Q86:AH86" si="105">Q73*Q80</f>
        <v>28148.693292161752</v>
      </c>
      <c r="R86" s="83">
        <f t="shared" si="105"/>
        <v>25277.695708113468</v>
      </c>
      <c r="S86" s="83">
        <f t="shared" si="105"/>
        <v>21785.21802809781</v>
      </c>
      <c r="T86" s="83">
        <f t="shared" si="105"/>
        <v>25283.098543760916</v>
      </c>
      <c r="U86" s="83">
        <f t="shared" si="105"/>
        <v>26449.320143498451</v>
      </c>
      <c r="V86" s="83">
        <f t="shared" si="105"/>
        <v>32474.46594876159</v>
      </c>
      <c r="W86" s="83">
        <f t="shared" si="105"/>
        <v>28088.13837379064</v>
      </c>
      <c r="X86" s="83">
        <f t="shared" si="105"/>
        <v>22811.867615516425</v>
      </c>
      <c r="Y86" s="83">
        <f t="shared" si="105"/>
        <v>21304.042213620698</v>
      </c>
      <c r="Z86" s="83">
        <f t="shared" si="105"/>
        <v>32405.202222867549</v>
      </c>
      <c r="AA86" s="83">
        <f t="shared" si="105"/>
        <v>29659.422476786989</v>
      </c>
      <c r="AB86" s="83">
        <f t="shared" si="105"/>
        <v>34526.776728514022</v>
      </c>
      <c r="AC86" s="83">
        <f t="shared" si="105"/>
        <v>29447.046908307002</v>
      </c>
      <c r="AD86" s="83">
        <f t="shared" si="105"/>
        <v>26449.44706137916</v>
      </c>
      <c r="AE86" s="83">
        <f t="shared" si="105"/>
        <v>22796.385085209207</v>
      </c>
      <c r="AF86" s="83">
        <f t="shared" si="105"/>
        <v>26460.738303908871</v>
      </c>
      <c r="AG86" s="83">
        <f t="shared" si="105"/>
        <v>27682.776084603305</v>
      </c>
      <c r="AH86" s="83">
        <f t="shared" si="105"/>
        <v>33983.964631022624</v>
      </c>
      <c r="AJ86" s="83" cm="1">
        <f t="array" aca="1" ref="AJ86" ca="1">SUMPRODUCT(($E86:$AH86)*(AJ$3&amp;AJ$4&amp;AJ$5&amp;AJ$6=$E$3:$AH$3&amp;$E$4:$AH$4&amp;$E$5:$AH$5&amp;$E$6:$AH$6))</f>
        <v>71895.620001446208</v>
      </c>
      <c r="AK86" s="83" cm="1">
        <f t="array" aca="1" ref="AK86" ca="1">SUMPRODUCT(($E86:$AH86)*(AK$3=$E$3:$AH$3)*(AK$4=$E$4:$AH$4)*(AK$5=$E$5:$AH$5)*(AK$6=$E$6:$AH$6))</f>
        <v>80473.330584496725</v>
      </c>
      <c r="AL86" s="83" cm="1">
        <f t="array" aca="1" ref="AL86" ca="1">SUMPRODUCT(($E86:$AH86)*(AL$3=$E$3:$AH$3)*(AL$4=$E$4:$AH$4)*(AL$5=$E$5:$AH$5)*(AL$6=$E$6:$AH$6))</f>
        <v>69014.556904849102</v>
      </c>
      <c r="AM86" s="158" cm="1">
        <f t="array" aca="1" ref="AM86" ca="1">SUMPRODUCT(($E86:$AH86)*(AM$3=$E$3:$AH$3)*(AM$4=$E$4:$AH$4)*(AM$5=$E$5:$AH$5)*(AM$6=$E$6:$AH$6))</f>
        <v>92324.976504589402</v>
      </c>
      <c r="AN86" s="83" cm="1">
        <f t="array" aca="1" ref="AN86" ca="1">SUMPRODUCT(($E86:$AH86)*(AN$3=$E$3:$AH$3)*(AN$4=$E$4:$AH$4)*(AN$5=$E$5:$AH$5)*(AN$6=$E$6:$AH$6))</f>
        <v>75211.607028373022</v>
      </c>
      <c r="AO86" s="83" cm="1">
        <f t="array" aca="1" ref="AO86" ca="1">SUMPRODUCT(($E86:$AH86)*(AO$3=$E$3:$AH$3)*(AO$4=$E$4:$AH$4)*(AO$5=$E$5:$AH$5)*(AO$6=$E$6:$AH$6))</f>
        <v>84206.884636020957</v>
      </c>
      <c r="AP86" s="83" cm="1">
        <f t="array" aca="1" ref="AP86" ca="1">SUMPRODUCT(($E86:$AH86)*(AP$3=$E$3:$AH$3)*(AP$4=$E$4:$AH$4)*(AP$5=$E$5:$AH$5)*(AP$6=$E$6:$AH$6))</f>
        <v>72204.048202927763</v>
      </c>
      <c r="AQ86" s="83" cm="1">
        <f t="array" aca="1" ref="AQ86" ca="1">SUMPRODUCT(($E86:$AH86)*(AQ$3=$E$3:$AH$3)*(AQ$4=$E$4:$AH$4)*(AQ$5=$E$5:$AH$5)*(AQ$6=$E$6:$AH$6))</f>
        <v>96591.401428168552</v>
      </c>
      <c r="AR86" s="83" cm="1">
        <f t="array" aca="1" ref="AR86" ca="1">SUMPRODUCT(($E86:$AH86)*(AR$3=$E$3:$AH$3)*(AR$4=$E$4:$AH$4)*(AR$5=$E$5:$AH$5)*(AR$6=$E$6:$AH$6))</f>
        <v>78692.879054895369</v>
      </c>
      <c r="AS86" s="83" cm="1">
        <f t="array" aca="1" ref="AS86" ca="1">SUMPRODUCT(($E86:$AH86)*(AS$3=$E$3:$AH$3)*(AS$4=$E$4:$AH$4)*(AS$5=$E$5:$AH$5)*(AS$6=$E$6:$AH$6))</f>
        <v>88127.479019534803</v>
      </c>
      <c r="AT86" s="83"/>
      <c r="AU86" s="83" cm="1">
        <f t="array" aca="1" ref="AU86" ca="1">SUMPRODUCT(($E86:$AH86)*(AU$5=$E$5:$AH$5))</f>
        <v>152368.95058594292</v>
      </c>
      <c r="AV86" s="83" cm="1">
        <f t="array" aca="1" ref="AV86" ca="1">SUMPRODUCT(($E86:$AH86)*(AV$5=$E$5:$AH$5))</f>
        <v>320758.02507383254</v>
      </c>
      <c r="AW86" s="83" cm="1">
        <f t="array" aca="1" ref="AW86" ca="1">SUMPRODUCT(($E86:$AH86)*(AW$5=$E$5:$AH$5))</f>
        <v>335615.80770552647</v>
      </c>
    </row>
    <row r="87" spans="2:49" outlineLevel="1" x14ac:dyDescent="0.25">
      <c r="C87" s="1" t="s">
        <v>3</v>
      </c>
      <c r="E87" s="65">
        <v>39025.309217542752</v>
      </c>
      <c r="F87" s="65">
        <v>35816.852587241425</v>
      </c>
      <c r="G87" s="65">
        <v>33066.746904126005</v>
      </c>
      <c r="H87" s="65">
        <v>35554.937760278059</v>
      </c>
      <c r="I87" s="65">
        <v>37650.256375985038</v>
      </c>
      <c r="J87" s="91">
        <v>45180.307651182047</v>
      </c>
      <c r="K87" s="65">
        <v>39483.660164728652</v>
      </c>
      <c r="L87" s="65">
        <v>33656.055264793576</v>
      </c>
      <c r="M87" s="65">
        <v>31102.385701900694</v>
      </c>
      <c r="N87" s="65">
        <v>46555.360492739761</v>
      </c>
      <c r="O87" s="65">
        <v>45507.701184886268</v>
      </c>
      <c r="P87" s="67">
        <v>48454.242988224229</v>
      </c>
      <c r="Q87" s="83">
        <f t="shared" ref="Q87:AH87" si="106">Q74*Q81</f>
        <v>40819.029688876893</v>
      </c>
      <c r="R87" s="83">
        <f t="shared" si="106"/>
        <v>37471.272499561164</v>
      </c>
      <c r="S87" s="83">
        <f t="shared" si="106"/>
        <v>34596.022340218238</v>
      </c>
      <c r="T87" s="83">
        <f t="shared" si="106"/>
        <v>37205.21005220103</v>
      </c>
      <c r="U87" s="83">
        <f t="shared" si="106"/>
        <v>39399.893996144063</v>
      </c>
      <c r="V87" s="83">
        <f t="shared" si="106"/>
        <v>47272.956760855479</v>
      </c>
      <c r="W87" s="83">
        <f t="shared" si="106"/>
        <v>41310.115705843302</v>
      </c>
      <c r="X87" s="83">
        <f t="shared" si="106"/>
        <v>35211.110974100426</v>
      </c>
      <c r="Y87" s="83">
        <f t="shared" si="106"/>
        <v>32538.328139774385</v>
      </c>
      <c r="Z87" s="83">
        <f t="shared" si="106"/>
        <v>48710.568246213166</v>
      </c>
      <c r="AA87" s="83">
        <f t="shared" si="106"/>
        <v>47605.77048814539</v>
      </c>
      <c r="AB87" s="83">
        <f t="shared" si="106"/>
        <v>50694.076942659485</v>
      </c>
      <c r="AC87" s="83">
        <f t="shared" si="106"/>
        <v>42701.800382849076</v>
      </c>
      <c r="AD87" s="83">
        <f t="shared" si="106"/>
        <v>39208.258922965862</v>
      </c>
      <c r="AE87" s="83">
        <f t="shared" si="106"/>
        <v>36201.80650324106</v>
      </c>
      <c r="AF87" s="83">
        <f t="shared" si="106"/>
        <v>38938.159617947204</v>
      </c>
      <c r="AG87" s="83">
        <f t="shared" si="106"/>
        <v>41237.295980950512</v>
      </c>
      <c r="AH87" s="83">
        <f t="shared" si="106"/>
        <v>49470.328260349386</v>
      </c>
      <c r="AJ87" s="83" cm="1">
        <f t="array" aca="1" ref="AJ87" ca="1">SUMPRODUCT(($E87:$AH87)*(AJ$3&amp;AJ$4&amp;AJ$5&amp;AJ$6=$E$3:$AH$3&amp;$E$4:$AH$4&amp;$E$5:$AH$5&amp;$E$6:$AH$6))</f>
        <v>107908.90870891018</v>
      </c>
      <c r="AK87" s="83" cm="1">
        <f t="array" aca="1" ref="AK87" ca="1">SUMPRODUCT(($E87:$AH87)*(AK$3=$E$3:$AH$3)*(AK$4=$E$4:$AH$4)*(AK$5=$E$5:$AH$5)*(AK$6=$E$6:$AH$6))</f>
        <v>118385.50178744516</v>
      </c>
      <c r="AL87" s="83" cm="1">
        <f t="array" aca="1" ref="AL87" ca="1">SUMPRODUCT(($E87:$AH87)*(AL$3=$E$3:$AH$3)*(AL$4=$E$4:$AH$4)*(AL$5=$E$5:$AH$5)*(AL$6=$E$6:$AH$6))</f>
        <v>104242.10113142293</v>
      </c>
      <c r="AM87" s="158" cm="1">
        <f t="array" aca="1" ref="AM87" ca="1">SUMPRODUCT(($E87:$AH87)*(AM$3=$E$3:$AH$3)*(AM$4=$E$4:$AH$4)*(AM$5=$E$5:$AH$5)*(AM$6=$E$6:$AH$6))</f>
        <v>140517.30466585024</v>
      </c>
      <c r="AN87" s="83" cm="1">
        <f t="array" aca="1" ref="AN87" ca="1">SUMPRODUCT(($E87:$AH87)*(AN$3=$E$3:$AH$3)*(AN$4=$E$4:$AH$4)*(AN$5=$E$5:$AH$5)*(AN$6=$E$6:$AH$6))</f>
        <v>112886.32452865629</v>
      </c>
      <c r="AO87" s="83" cm="1">
        <f t="array" aca="1" ref="AO87" ca="1">SUMPRODUCT(($E87:$AH87)*(AO$3=$E$3:$AH$3)*(AO$4=$E$4:$AH$4)*(AO$5=$E$5:$AH$5)*(AO$6=$E$6:$AH$6))</f>
        <v>123878.06080920057</v>
      </c>
      <c r="AP87" s="83" cm="1">
        <f t="array" aca="1" ref="AP87" ca="1">SUMPRODUCT(($E87:$AH87)*(AP$3=$E$3:$AH$3)*(AP$4=$E$4:$AH$4)*(AP$5=$E$5:$AH$5)*(AP$6=$E$6:$AH$6))</f>
        <v>109059.55481971812</v>
      </c>
      <c r="AQ87" s="83" cm="1">
        <f t="array" aca="1" ref="AQ87" ca="1">SUMPRODUCT(($E87:$AH87)*(AQ$3=$E$3:$AH$3)*(AQ$4=$E$4:$AH$4)*(AQ$5=$E$5:$AH$5)*(AQ$6=$E$6:$AH$6))</f>
        <v>147010.41567701803</v>
      </c>
      <c r="AR87" s="83" cm="1">
        <f t="array" aca="1" ref="AR87" ca="1">SUMPRODUCT(($E87:$AH87)*(AR$3=$E$3:$AH$3)*(AR$4=$E$4:$AH$4)*(AR$5=$E$5:$AH$5)*(AR$6=$E$6:$AH$6))</f>
        <v>118111.86580905601</v>
      </c>
      <c r="AS87" s="83" cm="1">
        <f t="array" aca="1" ref="AS87" ca="1">SUMPRODUCT(($E87:$AH87)*(AS$3=$E$3:$AH$3)*(AS$4=$E$4:$AH$4)*(AS$5=$E$5:$AH$5)*(AS$6=$E$6:$AH$6))</f>
        <v>129645.78385924709</v>
      </c>
      <c r="AT87" s="83"/>
      <c r="AU87" s="83" cm="1">
        <f t="array" aca="1" ref="AU87" ca="1">SUMPRODUCT(($E87:$AH87)*(AU$5=$E$5:$AH$5))</f>
        <v>226294.41049635533</v>
      </c>
      <c r="AV87" s="83" cm="1">
        <f t="array" aca="1" ref="AV87" ca="1">SUMPRODUCT(($E87:$AH87)*(AV$5=$E$5:$AH$5))</f>
        <v>481523.7911351301</v>
      </c>
      <c r="AW87" s="83" cm="1">
        <f t="array" aca="1" ref="AW87" ca="1">SUMPRODUCT(($E87:$AH87)*(AW$5=$E$5:$AH$5))</f>
        <v>503827.62016503926</v>
      </c>
    </row>
    <row r="88" spans="2:49" outlineLevel="1" x14ac:dyDescent="0.25">
      <c r="C88" s="23" t="s">
        <v>4</v>
      </c>
      <c r="D88" s="27"/>
      <c r="E88" s="68">
        <v>4910.9030055632657</v>
      </c>
      <c r="F88" s="68">
        <v>4518.0307651182056</v>
      </c>
      <c r="G88" s="68">
        <v>4321.5946448956747</v>
      </c>
      <c r="H88" s="68">
        <v>4583.509471859049</v>
      </c>
      <c r="I88" s="68">
        <v>4910.9030055632647</v>
      </c>
      <c r="J88" s="68">
        <v>5696.6474864533893</v>
      </c>
      <c r="K88" s="68">
        <v>4648.9881785998914</v>
      </c>
      <c r="L88" s="68">
        <v>4321.5946448956747</v>
      </c>
      <c r="M88" s="68">
        <v>3797.7649909689258</v>
      </c>
      <c r="N88" s="68">
        <v>6220.4771403801369</v>
      </c>
      <c r="O88" s="68">
        <v>5762.1261931942327</v>
      </c>
      <c r="P88" s="69">
        <v>6089.5197268984502</v>
      </c>
      <c r="Q88" s="125">
        <f t="shared" ref="Q88:AH88" si="107">Q75*Q82</f>
        <v>5136.6228635331654</v>
      </c>
      <c r="R88" s="125">
        <f t="shared" si="107"/>
        <v>4726.7235876960158</v>
      </c>
      <c r="S88" s="125">
        <f t="shared" si="107"/>
        <v>4521.460345454263</v>
      </c>
      <c r="T88" s="125">
        <f t="shared" si="107"/>
        <v>4796.2517562690091</v>
      </c>
      <c r="U88" s="125">
        <f t="shared" si="107"/>
        <v>5139.116608192704</v>
      </c>
      <c r="V88" s="125">
        <f t="shared" si="107"/>
        <v>5960.5032437600385</v>
      </c>
      <c r="W88" s="125">
        <f t="shared" si="107"/>
        <v>4864.0434744856966</v>
      </c>
      <c r="X88" s="125">
        <f t="shared" si="107"/>
        <v>4521.2710589311837</v>
      </c>
      <c r="Y88" s="125">
        <f t="shared" si="107"/>
        <v>3973.101120225082</v>
      </c>
      <c r="Z88" s="125">
        <f t="shared" si="107"/>
        <v>6508.4444210833344</v>
      </c>
      <c r="AA88" s="125">
        <f t="shared" si="107"/>
        <v>6027.7810114486256</v>
      </c>
      <c r="AB88" s="125">
        <f t="shared" si="107"/>
        <v>6371.0123725234216</v>
      </c>
      <c r="AC88" s="125">
        <f t="shared" si="107"/>
        <v>5373.5487058954377</v>
      </c>
      <c r="AD88" s="125">
        <f t="shared" si="107"/>
        <v>4945.8315643229344</v>
      </c>
      <c r="AE88" s="125">
        <f t="shared" si="107"/>
        <v>4731.3252063641758</v>
      </c>
      <c r="AF88" s="125">
        <f t="shared" si="107"/>
        <v>5019.6522527740399</v>
      </c>
      <c r="AG88" s="125">
        <f t="shared" si="107"/>
        <v>5378.7777366457185</v>
      </c>
      <c r="AH88" s="125">
        <f t="shared" si="107"/>
        <v>6237.563128478836</v>
      </c>
      <c r="AJ88" s="83" cm="1">
        <f t="array" aca="1" ref="AJ88" ca="1">SUMPRODUCT(($E88:$AH88)*(AJ$3&amp;AJ$4&amp;AJ$5&amp;AJ$6=$E$3:$AH$3&amp;$E$4:$AH$4&amp;$E$5:$AH$5&amp;$E$6:$AH$6))</f>
        <v>13750.528415577146</v>
      </c>
      <c r="AK88" s="83" cm="1">
        <f t="array" aca="1" ref="AK88" ca="1">SUMPRODUCT(($E88:$AH88)*(AK$3=$E$3:$AH$3)*(AK$4=$E$4:$AH$4)*(AK$5=$E$5:$AH$5)*(AK$6=$E$6:$AH$6))</f>
        <v>15191.059963875701</v>
      </c>
      <c r="AL88" s="83" cm="1">
        <f t="array" aca="1" ref="AL88" ca="1">SUMPRODUCT(($E88:$AH88)*(AL$3=$E$3:$AH$3)*(AL$4=$E$4:$AH$4)*(AL$5=$E$5:$AH$5)*(AL$6=$E$6:$AH$6))</f>
        <v>12768.347814464492</v>
      </c>
      <c r="AM88" s="158" cm="1">
        <f t="array" aca="1" ref="AM88" ca="1">SUMPRODUCT(($E88:$AH88)*(AM$3=$E$3:$AH$3)*(AM$4=$E$4:$AH$4)*(AM$5=$E$5:$AH$5)*(AM$6=$E$6:$AH$6))</f>
        <v>18072.123060472819</v>
      </c>
      <c r="AN88" s="83" cm="1">
        <f t="array" aca="1" ref="AN88" ca="1">SUMPRODUCT(($E88:$AH88)*(AN$3=$E$3:$AH$3)*(AN$4=$E$4:$AH$4)*(AN$5=$E$5:$AH$5)*(AN$6=$E$6:$AH$6))</f>
        <v>14384.806796683444</v>
      </c>
      <c r="AO88" s="83" cm="1">
        <f t="array" aca="1" ref="AO88" ca="1">SUMPRODUCT(($E88:$AH88)*(AO$3=$E$3:$AH$3)*(AO$4=$E$4:$AH$4)*(AO$5=$E$5:$AH$5)*(AO$6=$E$6:$AH$6))</f>
        <v>15895.871608221751</v>
      </c>
      <c r="AP88" s="83" cm="1">
        <f t="array" aca="1" ref="AP88" ca="1">SUMPRODUCT(($E88:$AH88)*(AP$3=$E$3:$AH$3)*(AP$4=$E$4:$AH$4)*(AP$5=$E$5:$AH$5)*(AP$6=$E$6:$AH$6))</f>
        <v>13358.415653641961</v>
      </c>
      <c r="AQ88" s="83" cm="1">
        <f t="array" aca="1" ref="AQ88" ca="1">SUMPRODUCT(($E88:$AH88)*(AQ$3=$E$3:$AH$3)*(AQ$4=$E$4:$AH$4)*(AQ$5=$E$5:$AH$5)*(AQ$6=$E$6:$AH$6))</f>
        <v>18907.237805055382</v>
      </c>
      <c r="AR88" s="83" cm="1">
        <f t="array" aca="1" ref="AR88" ca="1">SUMPRODUCT(($E88:$AH88)*(AR$3=$E$3:$AH$3)*(AR$4=$E$4:$AH$4)*(AR$5=$E$5:$AH$5)*(AR$6=$E$6:$AH$6))</f>
        <v>15050.705476582547</v>
      </c>
      <c r="AS88" s="83" cm="1">
        <f t="array" aca="1" ref="AS88" ca="1">SUMPRODUCT(($E88:$AH88)*(AS$3=$E$3:$AH$3)*(AS$4=$E$4:$AH$4)*(AS$5=$E$5:$AH$5)*(AS$6=$E$6:$AH$6))</f>
        <v>16635.993117898593</v>
      </c>
      <c r="AT88" s="83"/>
      <c r="AU88" s="83" cm="1">
        <f t="array" aca="1" ref="AU88" ca="1">SUMPRODUCT(($E88:$AH88)*(AU$5=$E$5:$AH$5))</f>
        <v>28941.588379452849</v>
      </c>
      <c r="AV88" s="83" cm="1">
        <f t="array" aca="1" ref="AV88" ca="1">SUMPRODUCT(($E88:$AH88)*(AV$5=$E$5:$AH$5))</f>
        <v>61121.14927984251</v>
      </c>
      <c r="AW88" s="83" cm="1">
        <f t="array" aca="1" ref="AW88" ca="1">SUMPRODUCT(($E88:$AH88)*(AW$5=$E$5:$AH$5))</f>
        <v>63952.352053178489</v>
      </c>
    </row>
    <row r="89" spans="2:49" outlineLevel="1" x14ac:dyDescent="0.25">
      <c r="B89" t="s">
        <v>231</v>
      </c>
      <c r="C89" s="25" t="s">
        <v>232</v>
      </c>
      <c r="E89" s="123">
        <f t="shared" ref="E89:AH89" si="108">SUM(E85:E88)</f>
        <v>78836.362915975624</v>
      </c>
      <c r="F89" s="123">
        <f t="shared" si="108"/>
        <v>72026.577414927902</v>
      </c>
      <c r="G89" s="123">
        <f t="shared" si="108"/>
        <v>64365.568726249221</v>
      </c>
      <c r="H89" s="123">
        <f t="shared" si="108"/>
        <v>71633.705174482864</v>
      </c>
      <c r="I89" s="123">
        <f t="shared" si="108"/>
        <v>73729.023790189822</v>
      </c>
      <c r="J89" s="123">
        <f t="shared" si="108"/>
        <v>87741.467032730361</v>
      </c>
      <c r="K89" s="123">
        <f t="shared" si="108"/>
        <v>79425.671276643203</v>
      </c>
      <c r="L89" s="123">
        <f t="shared" si="108"/>
        <v>67574.025356550526</v>
      </c>
      <c r="M89" s="123">
        <f t="shared" si="108"/>
        <v>61942.856576838007</v>
      </c>
      <c r="N89" s="123">
        <f t="shared" si="108"/>
        <v>90818.966249550009</v>
      </c>
      <c r="O89" s="123">
        <f t="shared" si="108"/>
        <v>85973.54195072758</v>
      </c>
      <c r="P89" s="124">
        <f t="shared" si="108"/>
        <v>94289.337706814709</v>
      </c>
      <c r="Q89" s="123">
        <f t="shared" si="108"/>
        <v>82459.919035919098</v>
      </c>
      <c r="R89" s="123">
        <f t="shared" si="108"/>
        <v>75353.564441530674</v>
      </c>
      <c r="S89" s="123">
        <f t="shared" si="108"/>
        <v>67342.356357296085</v>
      </c>
      <c r="T89" s="123">
        <f t="shared" si="108"/>
        <v>74958.563162261373</v>
      </c>
      <c r="U89" s="123">
        <f t="shared" si="108"/>
        <v>77155.270677666471</v>
      </c>
      <c r="V89" s="123">
        <f t="shared" si="108"/>
        <v>91805.452260212071</v>
      </c>
      <c r="W89" s="123">
        <f t="shared" si="108"/>
        <v>83099.784993678157</v>
      </c>
      <c r="X89" s="123">
        <f t="shared" si="108"/>
        <v>70696.238376014866</v>
      </c>
      <c r="Y89" s="123">
        <f t="shared" si="108"/>
        <v>64802.649305740139</v>
      </c>
      <c r="Z89" s="123">
        <f t="shared" si="108"/>
        <v>95023.288547816672</v>
      </c>
      <c r="AA89" s="123">
        <f t="shared" si="108"/>
        <v>89937.232591273234</v>
      </c>
      <c r="AB89" s="123">
        <f t="shared" si="108"/>
        <v>98647.933510040064</v>
      </c>
      <c r="AC89" s="123">
        <f t="shared" si="108"/>
        <v>86263.368558641421</v>
      </c>
      <c r="AD89" s="123">
        <f t="shared" si="108"/>
        <v>78846.590155872836</v>
      </c>
      <c r="AE89" s="123">
        <f t="shared" si="108"/>
        <v>70468.070876605838</v>
      </c>
      <c r="AF89" s="123">
        <f t="shared" si="108"/>
        <v>78449.99377906858</v>
      </c>
      <c r="AG89" s="123">
        <f t="shared" si="108"/>
        <v>80753.383086174392</v>
      </c>
      <c r="AH89" s="123">
        <f t="shared" si="108"/>
        <v>96072.811404156775</v>
      </c>
      <c r="AJ89" s="322">
        <f ca="1">SUM(AJ85:AJ88)</f>
        <v>215228.50905715273</v>
      </c>
      <c r="AK89" s="322">
        <f t="shared" ref="AK89:AS89" ca="1" si="109">SUM(AK85:AK88)</f>
        <v>233104.19599740306</v>
      </c>
      <c r="AL89" s="322">
        <f t="shared" ca="1" si="109"/>
        <v>208942.55321003179</v>
      </c>
      <c r="AM89" s="329">
        <f t="shared" ca="1" si="109"/>
        <v>271081.84590709227</v>
      </c>
      <c r="AN89" s="322">
        <f t="shared" ca="1" si="109"/>
        <v>225155.83983474583</v>
      </c>
      <c r="AO89" s="322">
        <f t="shared" ca="1" si="109"/>
        <v>243919.28610013993</v>
      </c>
      <c r="AP89" s="322">
        <f t="shared" ca="1" si="109"/>
        <v>218598.67267543316</v>
      </c>
      <c r="AQ89" s="322">
        <f t="shared" ca="1" si="109"/>
        <v>283608.45464913</v>
      </c>
      <c r="AR89" s="322">
        <f t="shared" ca="1" si="109"/>
        <v>235578.02959112011</v>
      </c>
      <c r="AS89" s="322">
        <f t="shared" ca="1" si="109"/>
        <v>255276.18826939975</v>
      </c>
      <c r="AU89" s="322">
        <f t="shared" ref="AU89:AW89" ca="1" si="110">SUM(AU85:AU88)</f>
        <v>448332.70505455579</v>
      </c>
      <c r="AV89" s="322">
        <f t="shared" ca="1" si="110"/>
        <v>949099.52505200997</v>
      </c>
      <c r="AW89" s="322">
        <f t="shared" ca="1" si="110"/>
        <v>993061.34518508299</v>
      </c>
    </row>
    <row r="90" spans="2:49" x14ac:dyDescent="0.25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M90" s="8"/>
    </row>
    <row r="91" spans="2:49" x14ac:dyDescent="0.25">
      <c r="B91" t="s">
        <v>231</v>
      </c>
      <c r="C91" s="30" t="s">
        <v>228</v>
      </c>
      <c r="D91" s="225"/>
      <c r="E91" s="45" t="str">
        <f t="shared" ref="E91:AH91" si="111">E$9</f>
        <v>Jul-20A</v>
      </c>
      <c r="F91" s="45" t="str">
        <f t="shared" si="111"/>
        <v>Aug-20A</v>
      </c>
      <c r="G91" s="45" t="str">
        <f t="shared" si="111"/>
        <v>Sep-20A</v>
      </c>
      <c r="H91" s="45" t="str">
        <f t="shared" si="111"/>
        <v>Oct-20A</v>
      </c>
      <c r="I91" s="45" t="str">
        <f t="shared" si="111"/>
        <v>Nov-20A</v>
      </c>
      <c r="J91" s="45" t="str">
        <f t="shared" si="111"/>
        <v>Dec-20A</v>
      </c>
      <c r="K91" s="45" t="str">
        <f t="shared" si="111"/>
        <v>Jan-21A</v>
      </c>
      <c r="L91" s="45" t="str">
        <f t="shared" si="111"/>
        <v>Feb-21A</v>
      </c>
      <c r="M91" s="45" t="str">
        <f t="shared" si="111"/>
        <v>Mar-21A</v>
      </c>
      <c r="N91" s="45" t="str">
        <f t="shared" si="111"/>
        <v>Apr-21A</v>
      </c>
      <c r="O91" s="45" t="str">
        <f t="shared" si="111"/>
        <v>May-21A</v>
      </c>
      <c r="P91" s="46" t="str">
        <f t="shared" si="111"/>
        <v>Jun-21A</v>
      </c>
      <c r="Q91" s="45" t="str">
        <f t="shared" si="111"/>
        <v>Jul-21F</v>
      </c>
      <c r="R91" s="45" t="str">
        <f t="shared" si="111"/>
        <v>Aug-21F</v>
      </c>
      <c r="S91" s="45" t="str">
        <f t="shared" si="111"/>
        <v>Sep-21F</v>
      </c>
      <c r="T91" s="45" t="str">
        <f t="shared" si="111"/>
        <v>Oct-21F</v>
      </c>
      <c r="U91" s="45" t="str">
        <f t="shared" si="111"/>
        <v>Nov-21F</v>
      </c>
      <c r="V91" s="45" t="str">
        <f t="shared" si="111"/>
        <v>Dec-21F</v>
      </c>
      <c r="W91" s="45" t="str">
        <f t="shared" si="111"/>
        <v>Jan-22F</v>
      </c>
      <c r="X91" s="45" t="str">
        <f t="shared" si="111"/>
        <v>Feb-22F</v>
      </c>
      <c r="Y91" s="45" t="str">
        <f t="shared" si="111"/>
        <v>Mar-22F</v>
      </c>
      <c r="Z91" s="45" t="str">
        <f t="shared" si="111"/>
        <v>Apr-22F</v>
      </c>
      <c r="AA91" s="45" t="str">
        <f t="shared" si="111"/>
        <v>May-22F</v>
      </c>
      <c r="AB91" s="45" t="str">
        <f t="shared" si="111"/>
        <v>Jun-22F</v>
      </c>
      <c r="AC91" s="45" t="str">
        <f t="shared" si="111"/>
        <v>Jul-22F</v>
      </c>
      <c r="AD91" s="45" t="str">
        <f t="shared" si="111"/>
        <v>Aug-22F</v>
      </c>
      <c r="AE91" s="45" t="str">
        <f t="shared" si="111"/>
        <v>Sep-22F</v>
      </c>
      <c r="AF91" s="45" t="str">
        <f t="shared" si="111"/>
        <v>Oct-22F</v>
      </c>
      <c r="AG91" s="45" t="str">
        <f t="shared" si="111"/>
        <v>Nov-22F</v>
      </c>
      <c r="AH91" s="45" t="str">
        <f t="shared" si="111"/>
        <v>Dec-22F</v>
      </c>
      <c r="AJ91" s="45" t="str">
        <f ca="1">AJ$10</f>
        <v>Q3'20A</v>
      </c>
      <c r="AK91" s="45" t="str">
        <f t="shared" ref="AK91:AW91" ca="1" si="112">AK$10</f>
        <v>Q4'20A</v>
      </c>
      <c r="AL91" s="45" t="str">
        <f t="shared" ca="1" si="112"/>
        <v>Q1'21A</v>
      </c>
      <c r="AM91" s="46" t="str">
        <f t="shared" ca="1" si="112"/>
        <v>Q2'21A</v>
      </c>
      <c r="AN91" s="45" t="str">
        <f t="shared" ca="1" si="112"/>
        <v>Q3'21F</v>
      </c>
      <c r="AO91" s="45" t="str">
        <f t="shared" ca="1" si="112"/>
        <v>Q4'21F</v>
      </c>
      <c r="AP91" s="45" t="str">
        <f t="shared" ca="1" si="112"/>
        <v>Q1'22F</v>
      </c>
      <c r="AQ91" s="45" t="str">
        <f t="shared" ca="1" si="112"/>
        <v>Q2'22F</v>
      </c>
      <c r="AR91" s="45" t="str">
        <f t="shared" ca="1" si="112"/>
        <v>Q3'22F</v>
      </c>
      <c r="AS91" s="45" t="str">
        <f t="shared" ca="1" si="112"/>
        <v>Q4'22F</v>
      </c>
      <c r="AU91" s="45" t="str">
        <f t="shared" ca="1" si="112"/>
        <v>FY20</v>
      </c>
      <c r="AV91" s="45" t="str">
        <f t="shared" ca="1" si="112"/>
        <v>FY21</v>
      </c>
      <c r="AW91" s="45" t="str">
        <f t="shared" ca="1" si="112"/>
        <v>FY22</v>
      </c>
    </row>
    <row r="92" spans="2:49" outlineLevel="1" x14ac:dyDescent="0.25">
      <c r="B92" s="97"/>
      <c r="C92" s="1" t="s">
        <v>1</v>
      </c>
      <c r="E92" s="97">
        <f>E98*1000/E85</f>
        <v>611.47096359420107</v>
      </c>
      <c r="F92" s="97">
        <f t="shared" ref="F92:P92" si="113">F98*1000/F85</f>
        <v>656.55612114583585</v>
      </c>
      <c r="G92" s="97">
        <f t="shared" si="113"/>
        <v>642.66176582265052</v>
      </c>
      <c r="H92" s="97">
        <f t="shared" si="113"/>
        <v>504.44439231923104</v>
      </c>
      <c r="I92" s="97">
        <f t="shared" si="113"/>
        <v>487.85278293513267</v>
      </c>
      <c r="J92" s="97">
        <f t="shared" si="113"/>
        <v>510.85697522444747</v>
      </c>
      <c r="K92" s="97">
        <f t="shared" si="113"/>
        <v>685.39059026360019</v>
      </c>
      <c r="L92" s="97">
        <f t="shared" si="113"/>
        <v>663.81557645815212</v>
      </c>
      <c r="M92" s="97">
        <f t="shared" si="113"/>
        <v>670.09429621035019</v>
      </c>
      <c r="N92" s="97">
        <f t="shared" si="113"/>
        <v>672.21625918936456</v>
      </c>
      <c r="O92" s="97">
        <f t="shared" si="113"/>
        <v>631.64031876863078</v>
      </c>
      <c r="P92" s="126">
        <f t="shared" si="113"/>
        <v>610.20757050891814</v>
      </c>
      <c r="Q92" s="128">
        <f t="shared" ref="Q92:Z95" si="114">E92</f>
        <v>611.47096359420107</v>
      </c>
      <c r="R92" s="128">
        <f t="shared" si="114"/>
        <v>656.55612114583585</v>
      </c>
      <c r="S92" s="128">
        <f t="shared" si="114"/>
        <v>642.66176582265052</v>
      </c>
      <c r="T92" s="128">
        <f t="shared" si="114"/>
        <v>504.44439231923104</v>
      </c>
      <c r="U92" s="128">
        <f t="shared" si="114"/>
        <v>487.85278293513267</v>
      </c>
      <c r="V92" s="128">
        <f t="shared" si="114"/>
        <v>510.85697522444747</v>
      </c>
      <c r="W92" s="128">
        <f t="shared" si="114"/>
        <v>685.39059026360019</v>
      </c>
      <c r="X92" s="128">
        <f t="shared" si="114"/>
        <v>663.81557645815212</v>
      </c>
      <c r="Y92" s="128">
        <f t="shared" si="114"/>
        <v>670.09429621035019</v>
      </c>
      <c r="Z92" s="128">
        <f t="shared" si="114"/>
        <v>672.21625918936456</v>
      </c>
      <c r="AA92" s="128">
        <f t="shared" ref="AA92:AH95" si="115">O92</f>
        <v>631.64031876863078</v>
      </c>
      <c r="AB92" s="128">
        <f t="shared" si="115"/>
        <v>610.20757050891814</v>
      </c>
      <c r="AC92" s="128">
        <f t="shared" si="115"/>
        <v>611.47096359420107</v>
      </c>
      <c r="AD92" s="128">
        <f t="shared" si="115"/>
        <v>656.55612114583585</v>
      </c>
      <c r="AE92" s="128">
        <f t="shared" si="115"/>
        <v>642.66176582265052</v>
      </c>
      <c r="AF92" s="128">
        <f t="shared" si="115"/>
        <v>504.44439231923104</v>
      </c>
      <c r="AG92" s="128">
        <f t="shared" si="115"/>
        <v>487.85278293513267</v>
      </c>
      <c r="AH92" s="128">
        <f t="shared" si="115"/>
        <v>510.85697522444747</v>
      </c>
      <c r="AJ92" s="324">
        <f t="shared" ref="AJ92:AW95" ca="1" si="116">AJ98*1000/AJ85</f>
        <v>635.99280204710806</v>
      </c>
      <c r="AK92" s="324">
        <f t="shared" ca="1" si="116"/>
        <v>501.27420343261741</v>
      </c>
      <c r="AL92" s="324">
        <f t="shared" ca="1" si="116"/>
        <v>673.59730844565797</v>
      </c>
      <c r="AM92" s="331">
        <f t="shared" ca="1" si="116"/>
        <v>638.7008008942438</v>
      </c>
      <c r="AN92" s="324">
        <f t="shared" ca="1" si="116"/>
        <v>635.99487601463068</v>
      </c>
      <c r="AO92" s="324">
        <f t="shared" ca="1" si="116"/>
        <v>501.27370928917583</v>
      </c>
      <c r="AP92" s="324">
        <f t="shared" ca="1" si="116"/>
        <v>673.59756876570941</v>
      </c>
      <c r="AQ92" s="324">
        <f t="shared" ca="1" si="116"/>
        <v>638.70182080355573</v>
      </c>
      <c r="AR92" s="324">
        <f t="shared" ca="1" si="116"/>
        <v>635.99697432124867</v>
      </c>
      <c r="AS92" s="324">
        <f t="shared" ca="1" si="116"/>
        <v>501.27321752826589</v>
      </c>
      <c r="AT92" s="324"/>
      <c r="AU92" s="324">
        <f t="shared" ca="1" si="116"/>
        <v>572.96529047666309</v>
      </c>
      <c r="AV92" s="324">
        <f t="shared" ca="1" si="116"/>
        <v>615.34286018740772</v>
      </c>
      <c r="AW92" s="324">
        <f t="shared" ca="1" si="116"/>
        <v>615.33503545089013</v>
      </c>
    </row>
    <row r="93" spans="2:49" x14ac:dyDescent="0.25">
      <c r="B93" s="97"/>
      <c r="C93" s="1" t="s">
        <v>2</v>
      </c>
      <c r="E93" s="97">
        <f t="shared" ref="E93:P95" si="117">E99*1000/E86</f>
        <v>193.43207115896396</v>
      </c>
      <c r="F93" s="97">
        <f t="shared" si="117"/>
        <v>156.89918791454292</v>
      </c>
      <c r="G93" s="97">
        <f t="shared" si="117"/>
        <v>179.8543047945779</v>
      </c>
      <c r="H93" s="97">
        <f t="shared" si="117"/>
        <v>162.05988182482011</v>
      </c>
      <c r="I93" s="97">
        <f t="shared" si="117"/>
        <v>156.80045162598722</v>
      </c>
      <c r="J93" s="97">
        <f t="shared" si="117"/>
        <v>198.27364187436388</v>
      </c>
      <c r="K93" s="97">
        <f t="shared" si="117"/>
        <v>156.73682195252948</v>
      </c>
      <c r="L93" s="97">
        <f t="shared" si="117"/>
        <v>166.21900632281725</v>
      </c>
      <c r="M93" s="97">
        <f t="shared" si="117"/>
        <v>186.13962941854001</v>
      </c>
      <c r="N93" s="97">
        <f t="shared" si="117"/>
        <v>191.62553880971913</v>
      </c>
      <c r="O93" s="97">
        <f t="shared" si="117"/>
        <v>196.61935662565892</v>
      </c>
      <c r="P93" s="126">
        <f t="shared" si="117"/>
        <v>185.37</v>
      </c>
      <c r="Q93" s="128">
        <f t="shared" si="114"/>
        <v>193.43207115896396</v>
      </c>
      <c r="R93" s="128">
        <f t="shared" si="114"/>
        <v>156.89918791454292</v>
      </c>
      <c r="S93" s="128">
        <f t="shared" si="114"/>
        <v>179.8543047945779</v>
      </c>
      <c r="T93" s="128">
        <f t="shared" si="114"/>
        <v>162.05988182482011</v>
      </c>
      <c r="U93" s="128">
        <f t="shared" si="114"/>
        <v>156.80045162598722</v>
      </c>
      <c r="V93" s="128">
        <f t="shared" si="114"/>
        <v>198.27364187436388</v>
      </c>
      <c r="W93" s="128">
        <f t="shared" si="114"/>
        <v>156.73682195252948</v>
      </c>
      <c r="X93" s="128">
        <f t="shared" si="114"/>
        <v>166.21900632281725</v>
      </c>
      <c r="Y93" s="128">
        <f t="shared" si="114"/>
        <v>186.13962941854001</v>
      </c>
      <c r="Z93" s="128">
        <f t="shared" si="114"/>
        <v>191.62553880971913</v>
      </c>
      <c r="AA93" s="128">
        <f t="shared" si="115"/>
        <v>196.61935662565892</v>
      </c>
      <c r="AB93" s="128">
        <f t="shared" si="115"/>
        <v>185.37</v>
      </c>
      <c r="AC93" s="128">
        <f t="shared" si="115"/>
        <v>193.43207115896396</v>
      </c>
      <c r="AD93" s="128">
        <f t="shared" si="115"/>
        <v>156.89918791454292</v>
      </c>
      <c r="AE93" s="128">
        <f t="shared" si="115"/>
        <v>179.8543047945779</v>
      </c>
      <c r="AF93" s="128">
        <f t="shared" si="115"/>
        <v>162.05988182482011</v>
      </c>
      <c r="AG93" s="128">
        <f t="shared" si="115"/>
        <v>156.80045162598722</v>
      </c>
      <c r="AH93" s="128">
        <f t="shared" si="115"/>
        <v>198.27364187436388</v>
      </c>
      <c r="AJ93" s="324">
        <f t="shared" ca="1" si="116"/>
        <v>177.22226822538826</v>
      </c>
      <c r="AK93" s="324">
        <f t="shared" ca="1" si="116"/>
        <v>174.37492023550706</v>
      </c>
      <c r="AL93" s="324">
        <f t="shared" ca="1" si="116"/>
        <v>168.40839739582654</v>
      </c>
      <c r="AM93" s="331">
        <f t="shared" ca="1" si="116"/>
        <v>190.92307891908334</v>
      </c>
      <c r="AN93" s="324">
        <f t="shared" ca="1" si="116"/>
        <v>177.22098679647615</v>
      </c>
      <c r="AO93" s="324">
        <f t="shared" ca="1" si="116"/>
        <v>174.37377004175409</v>
      </c>
      <c r="AP93" s="324">
        <f t="shared" ca="1" si="116"/>
        <v>168.40798176959919</v>
      </c>
      <c r="AQ93" s="324">
        <f t="shared" ca="1" si="116"/>
        <v>190.92288993599789</v>
      </c>
      <c r="AR93" s="324">
        <f t="shared" ca="1" si="116"/>
        <v>177.21969505410163</v>
      </c>
      <c r="AS93" s="324">
        <f t="shared" ca="1" si="116"/>
        <v>174.37263063172304</v>
      </c>
      <c r="AT93" s="324"/>
      <c r="AU93" s="324">
        <f t="shared" ca="1" si="116"/>
        <v>175.71844756377936</v>
      </c>
      <c r="AV93" s="324">
        <f t="shared" ca="1" si="116"/>
        <v>178.52132254869491</v>
      </c>
      <c r="AW93" s="324">
        <f t="shared" ca="1" si="116"/>
        <v>178.52018450295859</v>
      </c>
    </row>
    <row r="94" spans="2:49" outlineLevel="1" x14ac:dyDescent="0.25">
      <c r="B94" s="97"/>
      <c r="C94" s="1" t="s">
        <v>3</v>
      </c>
      <c r="E94" s="97">
        <f t="shared" si="117"/>
        <v>38.286035749370001</v>
      </c>
      <c r="F94" s="97">
        <f t="shared" si="117"/>
        <v>33.258235555593743</v>
      </c>
      <c r="G94" s="97">
        <f t="shared" si="117"/>
        <v>32.204853005111687</v>
      </c>
      <c r="H94" s="97">
        <f t="shared" si="117"/>
        <v>32.847985799329152</v>
      </c>
      <c r="I94" s="97">
        <f t="shared" si="117"/>
        <v>36.863513988965735</v>
      </c>
      <c r="J94" s="97">
        <f t="shared" si="117"/>
        <v>33.564933263566111</v>
      </c>
      <c r="K94" s="97">
        <f t="shared" si="117"/>
        <v>34.576388023882444</v>
      </c>
      <c r="L94" s="97">
        <f t="shared" si="117"/>
        <v>34.222614069682173</v>
      </c>
      <c r="M94" s="97">
        <f t="shared" si="117"/>
        <v>38.466755604434283</v>
      </c>
      <c r="N94" s="97">
        <f t="shared" si="117"/>
        <v>33.639722067006936</v>
      </c>
      <c r="O94" s="97">
        <f t="shared" si="117"/>
        <v>35.345836893304117</v>
      </c>
      <c r="P94" s="126">
        <f t="shared" si="117"/>
        <v>34.833259331252442</v>
      </c>
      <c r="Q94" s="128">
        <f t="shared" si="114"/>
        <v>38.286035749370001</v>
      </c>
      <c r="R94" s="128">
        <f t="shared" si="114"/>
        <v>33.258235555593743</v>
      </c>
      <c r="S94" s="128">
        <f t="shared" si="114"/>
        <v>32.204853005111687</v>
      </c>
      <c r="T94" s="128">
        <f t="shared" si="114"/>
        <v>32.847985799329152</v>
      </c>
      <c r="U94" s="128">
        <f t="shared" si="114"/>
        <v>36.863513988965735</v>
      </c>
      <c r="V94" s="128">
        <f t="shared" si="114"/>
        <v>33.564933263566111</v>
      </c>
      <c r="W94" s="128">
        <f t="shared" si="114"/>
        <v>34.576388023882444</v>
      </c>
      <c r="X94" s="128">
        <f t="shared" si="114"/>
        <v>34.222614069682173</v>
      </c>
      <c r="Y94" s="128">
        <f t="shared" si="114"/>
        <v>38.466755604434283</v>
      </c>
      <c r="Z94" s="128">
        <f t="shared" si="114"/>
        <v>33.639722067006936</v>
      </c>
      <c r="AA94" s="128">
        <f t="shared" si="115"/>
        <v>35.345836893304117</v>
      </c>
      <c r="AB94" s="128">
        <f t="shared" si="115"/>
        <v>34.833259331252442</v>
      </c>
      <c r="AC94" s="128">
        <f t="shared" si="115"/>
        <v>38.286035749370001</v>
      </c>
      <c r="AD94" s="128">
        <f t="shared" si="115"/>
        <v>33.258235555593743</v>
      </c>
      <c r="AE94" s="128">
        <f t="shared" si="115"/>
        <v>32.204853005111687</v>
      </c>
      <c r="AF94" s="128">
        <f t="shared" si="115"/>
        <v>32.847985799329152</v>
      </c>
      <c r="AG94" s="128">
        <f t="shared" si="115"/>
        <v>36.863513988965735</v>
      </c>
      <c r="AH94" s="128">
        <f t="shared" si="115"/>
        <v>33.564933263566111</v>
      </c>
      <c r="AJ94" s="324">
        <f t="shared" ca="1" si="116"/>
        <v>34.753751773735253</v>
      </c>
      <c r="AK94" s="324">
        <f t="shared" ca="1" si="116"/>
        <v>34.398661938358202</v>
      </c>
      <c r="AL94" s="324">
        <f t="shared" ca="1" si="116"/>
        <v>35.622923694927159</v>
      </c>
      <c r="AM94" s="331">
        <f t="shared" ca="1" si="116"/>
        <v>34.60382615825494</v>
      </c>
      <c r="AN94" s="324">
        <f t="shared" ca="1" si="116"/>
        <v>34.753430654158358</v>
      </c>
      <c r="AO94" s="324">
        <f t="shared" ca="1" si="116"/>
        <v>34.398733447718406</v>
      </c>
      <c r="AP94" s="324">
        <f t="shared" ca="1" si="116"/>
        <v>35.622873892524638</v>
      </c>
      <c r="AQ94" s="324">
        <f t="shared" ca="1" si="116"/>
        <v>34.60377743751954</v>
      </c>
      <c r="AR94" s="324">
        <f t="shared" ca="1" si="116"/>
        <v>34.753104574583567</v>
      </c>
      <c r="AS94" s="324">
        <f t="shared" ca="1" si="116"/>
        <v>34.398804845596047</v>
      </c>
      <c r="AT94" s="324"/>
      <c r="AU94" s="324">
        <f t="shared" ca="1" si="116"/>
        <v>34.567987183931521</v>
      </c>
      <c r="AV94" s="324">
        <f t="shared" ca="1" si="116"/>
        <v>34.806754206022518</v>
      </c>
      <c r="AW94" s="324">
        <f t="shared" ca="1" si="116"/>
        <v>34.806635867735615</v>
      </c>
    </row>
    <row r="95" spans="2:49" outlineLevel="1" x14ac:dyDescent="0.25">
      <c r="B95" s="97"/>
      <c r="C95" s="1" t="s">
        <v>4</v>
      </c>
      <c r="E95" s="97">
        <f t="shared" si="117"/>
        <v>44.078531366725628</v>
      </c>
      <c r="F95" s="97">
        <f t="shared" si="117"/>
        <v>58.448426825219208</v>
      </c>
      <c r="G95" s="97">
        <f t="shared" si="117"/>
        <v>79.730178130928792</v>
      </c>
      <c r="H95" s="97">
        <f t="shared" si="117"/>
        <v>56.995831356674508</v>
      </c>
      <c r="I95" s="97">
        <f t="shared" si="117"/>
        <v>43.644671509179076</v>
      </c>
      <c r="J95" s="97">
        <f t="shared" si="117"/>
        <v>44.142720460003844</v>
      </c>
      <c r="K95" s="97">
        <f t="shared" si="117"/>
        <v>75.433379888333576</v>
      </c>
      <c r="L95" s="97">
        <f t="shared" si="117"/>
        <v>68.663937379227363</v>
      </c>
      <c r="M95" s="97">
        <f t="shared" si="117"/>
        <v>62.213565027219829</v>
      </c>
      <c r="N95" s="97">
        <f t="shared" si="117"/>
        <v>66.998834614506649</v>
      </c>
      <c r="O95" s="97">
        <f t="shared" si="117"/>
        <v>54.272831729746301</v>
      </c>
      <c r="P95" s="126">
        <f t="shared" si="117"/>
        <v>66.4454871722414</v>
      </c>
      <c r="Q95" s="128">
        <f t="shared" si="114"/>
        <v>44.078531366725628</v>
      </c>
      <c r="R95" s="128">
        <f t="shared" si="114"/>
        <v>58.448426825219208</v>
      </c>
      <c r="S95" s="128">
        <f t="shared" si="114"/>
        <v>79.730178130928792</v>
      </c>
      <c r="T95" s="128">
        <f t="shared" si="114"/>
        <v>56.995831356674508</v>
      </c>
      <c r="U95" s="128">
        <f t="shared" si="114"/>
        <v>43.644671509179076</v>
      </c>
      <c r="V95" s="128">
        <f t="shared" si="114"/>
        <v>44.142720460003844</v>
      </c>
      <c r="W95" s="128">
        <f t="shared" si="114"/>
        <v>75.433379888333576</v>
      </c>
      <c r="X95" s="128">
        <f t="shared" si="114"/>
        <v>68.663937379227363</v>
      </c>
      <c r="Y95" s="128">
        <f t="shared" si="114"/>
        <v>62.213565027219829</v>
      </c>
      <c r="Z95" s="128">
        <f t="shared" si="114"/>
        <v>66.998834614506649</v>
      </c>
      <c r="AA95" s="128">
        <f t="shared" si="115"/>
        <v>54.272831729746301</v>
      </c>
      <c r="AB95" s="128">
        <f t="shared" si="115"/>
        <v>66.4454871722414</v>
      </c>
      <c r="AC95" s="128">
        <f t="shared" si="115"/>
        <v>44.078531366725628</v>
      </c>
      <c r="AD95" s="128">
        <f t="shared" si="115"/>
        <v>58.448426825219208</v>
      </c>
      <c r="AE95" s="128">
        <f t="shared" si="115"/>
        <v>79.730178130928792</v>
      </c>
      <c r="AF95" s="128">
        <f t="shared" si="115"/>
        <v>56.995831356674508</v>
      </c>
      <c r="AG95" s="128">
        <f t="shared" si="115"/>
        <v>43.644671509179076</v>
      </c>
      <c r="AH95" s="128">
        <f t="shared" si="115"/>
        <v>44.142720460003844</v>
      </c>
      <c r="AJ95" s="324">
        <f t="shared" ca="1" si="116"/>
        <v>60.004871714694509</v>
      </c>
      <c r="AK95" s="324">
        <f t="shared" ca="1" si="116"/>
        <v>47.859807061103375</v>
      </c>
      <c r="AL95" s="324">
        <f t="shared" ca="1" si="116"/>
        <v>69.210136465022757</v>
      </c>
      <c r="AM95" s="331">
        <f t="shared" ca="1" si="116"/>
        <v>62.754814447877749</v>
      </c>
      <c r="AN95" s="324">
        <f t="shared" ca="1" si="116"/>
        <v>60.006449909482882</v>
      </c>
      <c r="AO95" s="324">
        <f t="shared" ca="1" si="116"/>
        <v>47.859863220910341</v>
      </c>
      <c r="AP95" s="324">
        <f t="shared" ca="1" si="116"/>
        <v>69.210325606240232</v>
      </c>
      <c r="AQ95" s="324">
        <f t="shared" ca="1" si="116"/>
        <v>62.7552246928119</v>
      </c>
      <c r="AR95" s="324">
        <f t="shared" ca="1" si="116"/>
        <v>60.008058251132049</v>
      </c>
      <c r="AS95" s="324">
        <f t="shared" ca="1" si="116"/>
        <v>47.859916783717097</v>
      </c>
      <c r="AT95" s="324"/>
      <c r="AU95" s="324">
        <f t="shared" ca="1" si="116"/>
        <v>53.630086647651197</v>
      </c>
      <c r="AV95" s="324">
        <f t="shared" ca="1" si="116"/>
        <v>59.582767934987189</v>
      </c>
      <c r="AW95" s="324">
        <f t="shared" ca="1" si="116"/>
        <v>59.582313841666874</v>
      </c>
    </row>
    <row r="96" spans="2:49" x14ac:dyDescent="0.25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M96" s="8"/>
    </row>
    <row r="97" spans="2:49" x14ac:dyDescent="0.25">
      <c r="C97" s="30" t="s">
        <v>270</v>
      </c>
      <c r="D97" s="225"/>
      <c r="E97" s="45" t="str">
        <f t="shared" ref="E97:AH97" si="118">E$9</f>
        <v>Jul-20A</v>
      </c>
      <c r="F97" s="45" t="str">
        <f t="shared" si="118"/>
        <v>Aug-20A</v>
      </c>
      <c r="G97" s="45" t="str">
        <f t="shared" si="118"/>
        <v>Sep-20A</v>
      </c>
      <c r="H97" s="45" t="str">
        <f t="shared" si="118"/>
        <v>Oct-20A</v>
      </c>
      <c r="I97" s="45" t="str">
        <f t="shared" si="118"/>
        <v>Nov-20A</v>
      </c>
      <c r="J97" s="45" t="str">
        <f t="shared" si="118"/>
        <v>Dec-20A</v>
      </c>
      <c r="K97" s="45" t="str">
        <f t="shared" si="118"/>
        <v>Jan-21A</v>
      </c>
      <c r="L97" s="45" t="str">
        <f t="shared" si="118"/>
        <v>Feb-21A</v>
      </c>
      <c r="M97" s="45" t="str">
        <f t="shared" si="118"/>
        <v>Mar-21A</v>
      </c>
      <c r="N97" s="45" t="str">
        <f t="shared" si="118"/>
        <v>Apr-21A</v>
      </c>
      <c r="O97" s="45" t="str">
        <f t="shared" si="118"/>
        <v>May-21A</v>
      </c>
      <c r="P97" s="46" t="str">
        <f t="shared" si="118"/>
        <v>Jun-21A</v>
      </c>
      <c r="Q97" s="45" t="str">
        <f t="shared" si="118"/>
        <v>Jul-21F</v>
      </c>
      <c r="R97" s="45" t="str">
        <f t="shared" si="118"/>
        <v>Aug-21F</v>
      </c>
      <c r="S97" s="45" t="str">
        <f t="shared" si="118"/>
        <v>Sep-21F</v>
      </c>
      <c r="T97" s="45" t="str">
        <f t="shared" si="118"/>
        <v>Oct-21F</v>
      </c>
      <c r="U97" s="45" t="str">
        <f t="shared" si="118"/>
        <v>Nov-21F</v>
      </c>
      <c r="V97" s="45" t="str">
        <f t="shared" si="118"/>
        <v>Dec-21F</v>
      </c>
      <c r="W97" s="45" t="str">
        <f t="shared" si="118"/>
        <v>Jan-22F</v>
      </c>
      <c r="X97" s="45" t="str">
        <f t="shared" si="118"/>
        <v>Feb-22F</v>
      </c>
      <c r="Y97" s="45" t="str">
        <f t="shared" si="118"/>
        <v>Mar-22F</v>
      </c>
      <c r="Z97" s="45" t="str">
        <f t="shared" si="118"/>
        <v>Apr-22F</v>
      </c>
      <c r="AA97" s="45" t="str">
        <f t="shared" si="118"/>
        <v>May-22F</v>
      </c>
      <c r="AB97" s="45" t="str">
        <f t="shared" si="118"/>
        <v>Jun-22F</v>
      </c>
      <c r="AC97" s="45" t="str">
        <f t="shared" si="118"/>
        <v>Jul-22F</v>
      </c>
      <c r="AD97" s="45" t="str">
        <f t="shared" si="118"/>
        <v>Aug-22F</v>
      </c>
      <c r="AE97" s="45" t="str">
        <f t="shared" si="118"/>
        <v>Sep-22F</v>
      </c>
      <c r="AF97" s="45" t="str">
        <f t="shared" si="118"/>
        <v>Oct-22F</v>
      </c>
      <c r="AG97" s="45" t="str">
        <f t="shared" si="118"/>
        <v>Nov-22F</v>
      </c>
      <c r="AH97" s="45" t="str">
        <f t="shared" si="118"/>
        <v>Dec-22F</v>
      </c>
      <c r="AJ97" s="45" t="str">
        <f ca="1">AJ$10</f>
        <v>Q3'20A</v>
      </c>
      <c r="AK97" s="45" t="str">
        <f t="shared" ref="AK97:AW97" ca="1" si="119">AK$10</f>
        <v>Q4'20A</v>
      </c>
      <c r="AL97" s="45" t="str">
        <f t="shared" ca="1" si="119"/>
        <v>Q1'21A</v>
      </c>
      <c r="AM97" s="46" t="str">
        <f t="shared" ca="1" si="119"/>
        <v>Q2'21A</v>
      </c>
      <c r="AN97" s="45" t="str">
        <f t="shared" ca="1" si="119"/>
        <v>Q3'21F</v>
      </c>
      <c r="AO97" s="45" t="str">
        <f t="shared" ca="1" si="119"/>
        <v>Q4'21F</v>
      </c>
      <c r="AP97" s="45" t="str">
        <f t="shared" ca="1" si="119"/>
        <v>Q1'22F</v>
      </c>
      <c r="AQ97" s="45" t="str">
        <f t="shared" ca="1" si="119"/>
        <v>Q2'22F</v>
      </c>
      <c r="AR97" s="45" t="str">
        <f t="shared" ca="1" si="119"/>
        <v>Q3'22F</v>
      </c>
      <c r="AS97" s="45" t="str">
        <f t="shared" ca="1" si="119"/>
        <v>Q4'22F</v>
      </c>
      <c r="AU97" s="45" t="str">
        <f t="shared" ca="1" si="119"/>
        <v>FY20</v>
      </c>
      <c r="AV97" s="45" t="str">
        <f t="shared" ca="1" si="119"/>
        <v>FY21</v>
      </c>
      <c r="AW97" s="45" t="str">
        <f t="shared" ca="1" si="119"/>
        <v>FY22</v>
      </c>
    </row>
    <row r="98" spans="2:49" outlineLevel="1" x14ac:dyDescent="0.25">
      <c r="C98" s="1" t="s">
        <v>1</v>
      </c>
      <c r="E98" s="65">
        <v>4884.6760044985376</v>
      </c>
      <c r="F98" s="65">
        <v>4943.9012572726042</v>
      </c>
      <c r="G98" s="65">
        <v>3955.5821619982771</v>
      </c>
      <c r="H98" s="65">
        <v>3699.4010403542038</v>
      </c>
      <c r="I98" s="65">
        <v>2874.9572375862563</v>
      </c>
      <c r="J98" s="91">
        <v>2977.0726119840015</v>
      </c>
      <c r="K98" s="65">
        <v>5789.3251407017078</v>
      </c>
      <c r="L98" s="65">
        <v>5172.4284698479751</v>
      </c>
      <c r="M98" s="65">
        <v>4475.4446068474863</v>
      </c>
      <c r="N98" s="65">
        <v>4753.7119406038264</v>
      </c>
      <c r="O98" s="65">
        <v>4011.822146239379</v>
      </c>
      <c r="P98" s="67">
        <v>4115.4270637207946</v>
      </c>
      <c r="Q98" s="83">
        <f>Q85*Q92/1000</f>
        <v>5109.1903906949983</v>
      </c>
      <c r="R98" s="83">
        <f t="shared" ref="R98:AH98" si="120">R85*R92/1000</f>
        <v>5172.2655074437089</v>
      </c>
      <c r="S98" s="83">
        <f t="shared" si="120"/>
        <v>4138.5204671580677</v>
      </c>
      <c r="T98" s="83">
        <f t="shared" si="120"/>
        <v>3871.1076841618637</v>
      </c>
      <c r="U98" s="83">
        <f t="shared" si="120"/>
        <v>3008.5588069619648</v>
      </c>
      <c r="V98" s="83">
        <f t="shared" si="120"/>
        <v>3114.9638454612141</v>
      </c>
      <c r="W98" s="83">
        <f t="shared" si="120"/>
        <v>6057.1307326461656</v>
      </c>
      <c r="X98" s="83">
        <f t="shared" si="120"/>
        <v>5411.4170964037512</v>
      </c>
      <c r="Y98" s="83">
        <f t="shared" si="120"/>
        <v>4682.0680119109929</v>
      </c>
      <c r="Z98" s="83">
        <f t="shared" si="120"/>
        <v>4973.7776156138207</v>
      </c>
      <c r="AA98" s="83">
        <f t="shared" si="120"/>
        <v>4196.7816294917529</v>
      </c>
      <c r="AB98" s="83">
        <f t="shared" si="120"/>
        <v>4305.6657859842671</v>
      </c>
      <c r="AC98" s="83">
        <f t="shared" si="120"/>
        <v>5344.8509149858564</v>
      </c>
      <c r="AD98" s="83">
        <f t="shared" si="120"/>
        <v>5412.0266461875126</v>
      </c>
      <c r="AE98" s="83">
        <f t="shared" si="120"/>
        <v>4330.6110652954922</v>
      </c>
      <c r="AF98" s="83">
        <f t="shared" si="120"/>
        <v>4051.4166884871361</v>
      </c>
      <c r="AG98" s="83">
        <f t="shared" si="120"/>
        <v>3148.8620251345774</v>
      </c>
      <c r="AH98" s="83">
        <f t="shared" si="120"/>
        <v>3259.7555666686812</v>
      </c>
      <c r="AJ98" s="83" cm="1">
        <f t="array" aca="1" ref="AJ98" ca="1">SUMPRODUCT(($E98:$AH98)*(AJ$3&amp;AJ$4&amp;AJ$5&amp;AJ$6=$E$3:$AH$3&amp;$E$4:$AH$4&amp;$E$5:$AH$5&amp;$E$6:$AH$6))</f>
        <v>13784.159423769419</v>
      </c>
      <c r="AK98" s="83" cm="1">
        <f t="array" aca="1" ref="AK98" ca="1">SUMPRODUCT(($E98:$AH98)*(AK$3=$E$3:$AH$3)*(AK$4=$E$4:$AH$4)*(AK$5=$E$5:$AH$5)*(AK$6=$E$6:$AH$6))</f>
        <v>9551.4308899244625</v>
      </c>
      <c r="AL98" s="83" cm="1">
        <f t="array" aca="1" ref="AL98" ca="1">SUMPRODUCT(($E98:$AH98)*(AL$3=$E$3:$AH$3)*(AL$4=$E$4:$AH$4)*(AL$5=$E$5:$AH$5)*(AL$6=$E$6:$AH$6))</f>
        <v>15437.19821739717</v>
      </c>
      <c r="AM98" s="158" cm="1">
        <f t="array" aca="1" ref="AM98" ca="1">SUMPRODUCT(($E98:$AH98)*(AM$3=$E$3:$AH$3)*(AM$4=$E$4:$AH$4)*(AM$5=$E$5:$AH$5)*(AM$6=$E$6:$AH$6))</f>
        <v>12880.961150563999</v>
      </c>
      <c r="AN98" s="83" cm="1">
        <f t="array" aca="1" ref="AN98" ca="1">SUMPRODUCT(($E98:$AH98)*(AN$3=$E$3:$AH$3)*(AN$4=$E$4:$AH$4)*(AN$5=$E$5:$AH$5)*(AN$6=$E$6:$AH$6))</f>
        <v>14419.976365296774</v>
      </c>
      <c r="AO98" s="83" cm="1">
        <f t="array" aca="1" ref="AO98" ca="1">SUMPRODUCT(($E98:$AH98)*(AO$3=$E$3:$AH$3)*(AO$4=$E$4:$AH$4)*(AO$5=$E$5:$AH$5)*(AO$6=$E$6:$AH$6))</f>
        <v>9994.6303365850436</v>
      </c>
      <c r="AP98" s="83" cm="1">
        <f t="array" aca="1" ref="AP98" ca="1">SUMPRODUCT(($E98:$AH98)*(AP$3=$E$3:$AH$3)*(AP$4=$E$4:$AH$4)*(AP$5=$E$5:$AH$5)*(AP$6=$E$6:$AH$6))</f>
        <v>16150.615840960909</v>
      </c>
      <c r="AQ98" s="83" cm="1">
        <f t="array" aca="1" ref="AQ98" ca="1">SUMPRODUCT(($E98:$AH98)*(AQ$3=$E$3:$AH$3)*(AQ$4=$E$4:$AH$4)*(AQ$5=$E$5:$AH$5)*(AQ$6=$E$6:$AH$6))</f>
        <v>13476.225031089842</v>
      </c>
      <c r="AR98" s="83" cm="1">
        <f t="array" aca="1" ref="AR98" ca="1">SUMPRODUCT(($E98:$AH98)*(AR$3=$E$3:$AH$3)*(AR$4=$E$4:$AH$4)*(AR$5=$E$5:$AH$5)*(AR$6=$E$6:$AH$6))</f>
        <v>15087.488626468861</v>
      </c>
      <c r="AS98" s="83" cm="1">
        <f t="array" aca="1" ref="AS98" ca="1">SUMPRODUCT(($E98:$AH98)*(AS$3=$E$3:$AH$3)*(AS$4=$E$4:$AH$4)*(AS$5=$E$5:$AH$5)*(AS$6=$E$6:$AH$6))</f>
        <v>10460.034280290394</v>
      </c>
      <c r="AT98" s="83"/>
      <c r="AU98" s="83" cm="1">
        <f t="array" aca="1" ref="AU98" ca="1">SUMPRODUCT(($E98:$AH98)*(AU$5=$E$5:$AH$5))</f>
        <v>23335.59031369388</v>
      </c>
      <c r="AV98" s="83" cm="1">
        <f t="array" aca="1" ref="AV98" ca="1">SUMPRODUCT(($E98:$AH98)*(AV$5=$E$5:$AH$5))</f>
        <v>52732.766069842975</v>
      </c>
      <c r="AW98" s="83" cm="1">
        <f t="array" aca="1" ref="AW98" ca="1">SUMPRODUCT(($E98:$AH98)*(AW$5=$E$5:$AH$5))</f>
        <v>55174.36377881001</v>
      </c>
    </row>
    <row r="99" spans="2:49" x14ac:dyDescent="0.25">
      <c r="C99" s="1" t="s">
        <v>2</v>
      </c>
      <c r="E99" s="65">
        <v>5205.5952451553221</v>
      </c>
      <c r="F99" s="65">
        <v>3790.9421320198253</v>
      </c>
      <c r="G99" s="65">
        <v>3744.9674749517417</v>
      </c>
      <c r="H99" s="65">
        <v>3915.6329748149046</v>
      </c>
      <c r="I99" s="65">
        <v>3963.097044496039</v>
      </c>
      <c r="J99" s="91">
        <v>6153.8005824462625</v>
      </c>
      <c r="K99" s="65">
        <v>4207.7990040498098</v>
      </c>
      <c r="L99" s="65">
        <v>3624.3072547321344</v>
      </c>
      <c r="M99" s="65">
        <v>3790.5246665467671</v>
      </c>
      <c r="N99" s="65">
        <v>5934.916633474867</v>
      </c>
      <c r="O99" s="65">
        <v>5574.6070561640818</v>
      </c>
      <c r="P99" s="67">
        <v>6117.4450857492857</v>
      </c>
      <c r="Q99" s="83">
        <f t="shared" ref="Q99:AH99" si="121">Q86*Q93/1000</f>
        <v>5444.8600439212832</v>
      </c>
      <c r="R99" s="83">
        <f t="shared" si="121"/>
        <v>3966.0499289539302</v>
      </c>
      <c r="S99" s="83">
        <f t="shared" si="121"/>
        <v>3918.1652432418368</v>
      </c>
      <c r="T99" s="83">
        <f t="shared" si="121"/>
        <v>4097.3759621671752</v>
      </c>
      <c r="U99" s="83">
        <f t="shared" si="121"/>
        <v>4147.2653437008785</v>
      </c>
      <c r="V99" s="83">
        <f t="shared" si="121"/>
        <v>6438.83063158598</v>
      </c>
      <c r="W99" s="83">
        <f t="shared" si="121"/>
        <v>4402.4455432708346</v>
      </c>
      <c r="X99" s="83">
        <f t="shared" si="121"/>
        <v>3791.7659674187944</v>
      </c>
      <c r="Y99" s="83">
        <f t="shared" si="121"/>
        <v>3965.5265227602899</v>
      </c>
      <c r="Z99" s="83">
        <f t="shared" si="121"/>
        <v>6209.6643361949018</v>
      </c>
      <c r="AA99" s="83">
        <f t="shared" si="121"/>
        <v>5831.6165652744648</v>
      </c>
      <c r="AB99" s="83">
        <f t="shared" si="121"/>
        <v>6400.2286021646451</v>
      </c>
      <c r="AC99" s="83">
        <f t="shared" si="121"/>
        <v>5696.0032729889899</v>
      </c>
      <c r="AD99" s="83">
        <f t="shared" si="121"/>
        <v>4149.8967647190839</v>
      </c>
      <c r="AE99" s="83">
        <f t="shared" si="121"/>
        <v>4100.0279913297863</v>
      </c>
      <c r="AF99" s="83">
        <f t="shared" si="121"/>
        <v>4288.2241225289627</v>
      </c>
      <c r="AG99" s="83">
        <f t="shared" si="121"/>
        <v>4340.671792326877</v>
      </c>
      <c r="AH99" s="83">
        <f t="shared" si="121"/>
        <v>6738.1244327224276</v>
      </c>
      <c r="AJ99" s="83" cm="1">
        <f t="array" aca="1" ref="AJ99" ca="1">SUMPRODUCT(($E99:$AH99)*(AJ$3&amp;AJ$4&amp;AJ$5&amp;AJ$6=$E$3:$AH$3&amp;$E$4:$AH$4&amp;$E$5:$AH$5&amp;$E$6:$AH$6))</f>
        <v>12741.504852126889</v>
      </c>
      <c r="AK99" s="83" cm="1">
        <f t="array" aca="1" ref="AK99" ca="1">SUMPRODUCT(($E99:$AH99)*(AK$3=$E$3:$AH$3)*(AK$4=$E$4:$AH$4)*(AK$5=$E$5:$AH$5)*(AK$6=$E$6:$AH$6))</f>
        <v>14032.530601757207</v>
      </c>
      <c r="AL99" s="83" cm="1">
        <f t="array" aca="1" ref="AL99" ca="1">SUMPRODUCT(($E99:$AH99)*(AL$3=$E$3:$AH$3)*(AL$4=$E$4:$AH$4)*(AL$5=$E$5:$AH$5)*(AL$6=$E$6:$AH$6))</f>
        <v>11622.630925328711</v>
      </c>
      <c r="AM99" s="158" cm="1">
        <f t="array" aca="1" ref="AM99" ca="1">SUMPRODUCT(($E99:$AH99)*(AM$3=$E$3:$AH$3)*(AM$4=$E$4:$AH$4)*(AM$5=$E$5:$AH$5)*(AM$6=$E$6:$AH$6))</f>
        <v>17626.968775388235</v>
      </c>
      <c r="AN99" s="83" cm="1">
        <f t="array" aca="1" ref="AN99" ca="1">SUMPRODUCT(($E99:$AH99)*(AN$3=$E$3:$AH$3)*(AN$4=$E$4:$AH$4)*(AN$5=$E$5:$AH$5)*(AN$6=$E$6:$AH$6))</f>
        <v>13329.075216117049</v>
      </c>
      <c r="AO99" s="83" cm="1">
        <f t="array" aca="1" ref="AO99" ca="1">SUMPRODUCT(($E99:$AH99)*(AO$3=$E$3:$AH$3)*(AO$4=$E$4:$AH$4)*(AO$5=$E$5:$AH$5)*(AO$6=$E$6:$AH$6))</f>
        <v>14683.471937454033</v>
      </c>
      <c r="AP99" s="83" cm="1">
        <f t="array" aca="1" ref="AP99" ca="1">SUMPRODUCT(($E99:$AH99)*(AP$3=$E$3:$AH$3)*(AP$4=$E$4:$AH$4)*(AP$5=$E$5:$AH$5)*(AP$6=$E$6:$AH$6))</f>
        <v>12159.738033449919</v>
      </c>
      <c r="AQ99" s="83" cm="1">
        <f t="array" aca="1" ref="AQ99" ca="1">SUMPRODUCT(($E99:$AH99)*(AQ$3=$E$3:$AH$3)*(AQ$4=$E$4:$AH$4)*(AQ$5=$E$5:$AH$5)*(AQ$6=$E$6:$AH$6))</f>
        <v>18441.509503634014</v>
      </c>
      <c r="AR99" s="83" cm="1">
        <f t="array" aca="1" ref="AR99" ca="1">SUMPRODUCT(($E99:$AH99)*(AR$3=$E$3:$AH$3)*(AR$4=$E$4:$AH$4)*(AR$5=$E$5:$AH$5)*(AR$6=$E$6:$AH$6))</f>
        <v>13945.928029037859</v>
      </c>
      <c r="AS99" s="83" cm="1">
        <f t="array" aca="1" ref="AS99" ca="1">SUMPRODUCT(($E99:$AH99)*(AS$3=$E$3:$AH$3)*(AS$4=$E$4:$AH$4)*(AS$5=$E$5:$AH$5)*(AS$6=$E$6:$AH$6))</f>
        <v>15367.020347578266</v>
      </c>
      <c r="AT99" s="83"/>
      <c r="AU99" s="83" cm="1">
        <f t="array" aca="1" ref="AU99" ca="1">SUMPRODUCT(($E99:$AH99)*(AU$5=$E$5:$AH$5))</f>
        <v>26774.035453884098</v>
      </c>
      <c r="AV99" s="83" cm="1">
        <f t="array" aca="1" ref="AV99" ca="1">SUMPRODUCT(($E99:$AH99)*(AV$5=$E$5:$AH$5))</f>
        <v>57262.146854288025</v>
      </c>
      <c r="AW99" s="83" cm="1">
        <f t="array" aca="1" ref="AW99" ca="1">SUMPRODUCT(($E99:$AH99)*(AW$5=$E$5:$AH$5))</f>
        <v>59914.195913700052</v>
      </c>
    </row>
    <row r="100" spans="2:49" outlineLevel="1" x14ac:dyDescent="0.25">
      <c r="C100" s="1" t="s">
        <v>3</v>
      </c>
      <c r="E100" s="65">
        <v>1494.1243838330606</v>
      </c>
      <c r="F100" s="65">
        <v>1191.2053202064524</v>
      </c>
      <c r="G100" s="65">
        <v>1064.9097234046098</v>
      </c>
      <c r="H100" s="65">
        <v>1167.9080906456454</v>
      </c>
      <c r="I100" s="65">
        <v>1387.9207526042708</v>
      </c>
      <c r="J100" s="91">
        <v>1516.4740111393107</v>
      </c>
      <c r="K100" s="65">
        <v>1365.2023544587682</v>
      </c>
      <c r="L100" s="65">
        <v>1151.7981904349256</v>
      </c>
      <c r="M100" s="65">
        <v>1196.4078695098653</v>
      </c>
      <c r="N100" s="65">
        <v>1566.1093877050807</v>
      </c>
      <c r="O100" s="65">
        <v>1608.5077834702124</v>
      </c>
      <c r="P100" s="67">
        <v>1687.8192117083347</v>
      </c>
      <c r="Q100" s="83">
        <f t="shared" ref="Q100:AH100" si="122">Q87*Q94/1000</f>
        <v>1562.7988299229362</v>
      </c>
      <c r="R100" s="83">
        <f t="shared" si="122"/>
        <v>1246.2284073582471</v>
      </c>
      <c r="S100" s="83">
        <f t="shared" si="122"/>
        <v>1114.1598140282886</v>
      </c>
      <c r="T100" s="83">
        <f t="shared" si="122"/>
        <v>1222.1162114557578</v>
      </c>
      <c r="U100" s="83">
        <f t="shared" si="122"/>
        <v>1452.4185434906237</v>
      </c>
      <c r="V100" s="83">
        <f t="shared" si="122"/>
        <v>1586.7136388495605</v>
      </c>
      <c r="W100" s="83">
        <f t="shared" si="122"/>
        <v>1428.3545899567184</v>
      </c>
      <c r="X100" s="83">
        <f t="shared" si="122"/>
        <v>1205.0162618313896</v>
      </c>
      <c r="Y100" s="83">
        <f t="shared" si="122"/>
        <v>1251.6439163295881</v>
      </c>
      <c r="Z100" s="83">
        <f t="shared" si="122"/>
        <v>1638.6099775285845</v>
      </c>
      <c r="AA100" s="83">
        <f t="shared" si="122"/>
        <v>1682.6657988540576</v>
      </c>
      <c r="AB100" s="83">
        <f t="shared" si="122"/>
        <v>1765.8399287021227</v>
      </c>
      <c r="AC100" s="83">
        <f t="shared" si="122"/>
        <v>1634.8826560202212</v>
      </c>
      <c r="AD100" s="83">
        <f t="shared" si="122"/>
        <v>1303.9975109847087</v>
      </c>
      <c r="AE100" s="83">
        <f t="shared" si="122"/>
        <v>1165.8738569563745</v>
      </c>
      <c r="AF100" s="83">
        <f t="shared" si="122"/>
        <v>1279.0401141823415</v>
      </c>
      <c r="AG100" s="83">
        <f t="shared" si="122"/>
        <v>1520.1516372608896</v>
      </c>
      <c r="AH100" s="83">
        <f t="shared" si="122"/>
        <v>1660.4682665853359</v>
      </c>
      <c r="AJ100" s="83" cm="1">
        <f t="array" aca="1" ref="AJ100" ca="1">SUMPRODUCT(($E100:$AH100)*(AJ$3&amp;AJ$4&amp;AJ$5&amp;AJ$6=$E$3:$AH$3&amp;$E$4:$AH$4&amp;$E$5:$AH$5&amp;$E$6:$AH$6))</f>
        <v>3750.2394274441226</v>
      </c>
      <c r="AK100" s="83" cm="1">
        <f t="array" aca="1" ref="AK100" ca="1">SUMPRODUCT(($E100:$AH100)*(AK$3=$E$3:$AH$3)*(AK$4=$E$4:$AH$4)*(AK$5=$E$5:$AH$5)*(AK$6=$E$6:$AH$6))</f>
        <v>4072.3028543892269</v>
      </c>
      <c r="AL100" s="83" cm="1">
        <f t="array" aca="1" ref="AL100" ca="1">SUMPRODUCT(($E100:$AH100)*(AL$3=$E$3:$AH$3)*(AL$4=$E$4:$AH$4)*(AL$5=$E$5:$AH$5)*(AL$6=$E$6:$AH$6))</f>
        <v>3713.4084144035587</v>
      </c>
      <c r="AM100" s="158" cm="1">
        <f t="array" aca="1" ref="AM100" ca="1">SUMPRODUCT(($E100:$AH100)*(AM$3=$E$3:$AH$3)*(AM$4=$E$4:$AH$4)*(AM$5=$E$5:$AH$5)*(AM$6=$E$6:$AH$6))</f>
        <v>4862.4363828836276</v>
      </c>
      <c r="AN100" s="83" cm="1">
        <f t="array" aca="1" ref="AN100" ca="1">SUMPRODUCT(($E100:$AH100)*(AN$3=$E$3:$AH$3)*(AN$4=$E$4:$AH$4)*(AN$5=$E$5:$AH$5)*(AN$6=$E$6:$AH$6))</f>
        <v>3923.1870513094718</v>
      </c>
      <c r="AO100" s="83" cm="1">
        <f t="array" aca="1" ref="AO100" ca="1">SUMPRODUCT(($E100:$AH100)*(AO$3=$E$3:$AH$3)*(AO$4=$E$4:$AH$4)*(AO$5=$E$5:$AH$5)*(AO$6=$E$6:$AH$6))</f>
        <v>4261.2483937959423</v>
      </c>
      <c r="AP100" s="83" cm="1">
        <f t="array" aca="1" ref="AP100" ca="1">SUMPRODUCT(($E100:$AH100)*(AP$3=$E$3:$AH$3)*(AP$4=$E$4:$AH$4)*(AP$5=$E$5:$AH$5)*(AP$6=$E$6:$AH$6))</f>
        <v>3885.0147681176959</v>
      </c>
      <c r="AQ100" s="83" cm="1">
        <f t="array" aca="1" ref="AQ100" ca="1">SUMPRODUCT(($E100:$AH100)*(AQ$3=$E$3:$AH$3)*(AQ$4=$E$4:$AH$4)*(AQ$5=$E$5:$AH$5)*(AQ$6=$E$6:$AH$6))</f>
        <v>5087.1157050847651</v>
      </c>
      <c r="AR100" s="83" cm="1">
        <f t="array" aca="1" ref="AR100" ca="1">SUMPRODUCT(($E100:$AH100)*(AR$3=$E$3:$AH$3)*(AR$4=$E$4:$AH$4)*(AR$5=$E$5:$AH$5)*(AR$6=$E$6:$AH$6))</f>
        <v>4104.7540239613045</v>
      </c>
      <c r="AS100" s="83" cm="1">
        <f t="array" aca="1" ref="AS100" ca="1">SUMPRODUCT(($E100:$AH100)*(AS$3=$E$3:$AH$3)*(AS$4=$E$4:$AH$4)*(AS$5=$E$5:$AH$5)*(AS$6=$E$6:$AH$6))</f>
        <v>4459.6600180285668</v>
      </c>
      <c r="AT100" s="83"/>
      <c r="AU100" s="83" cm="1">
        <f t="array" aca="1" ref="AU100" ca="1">SUMPRODUCT(($E100:$AH100)*(AU$5=$E$5:$AH$5))</f>
        <v>7822.54228183335</v>
      </c>
      <c r="AV100" s="83" cm="1">
        <f t="array" aca="1" ref="AV100" ca="1">SUMPRODUCT(($E100:$AH100)*(AV$5=$E$5:$AH$5))</f>
        <v>16760.2802423926</v>
      </c>
      <c r="AW100" s="83" cm="1">
        <f t="array" aca="1" ref="AW100" ca="1">SUMPRODUCT(($E100:$AH100)*(AW$5=$E$5:$AH$5))</f>
        <v>17536.54451519233</v>
      </c>
    </row>
    <row r="101" spans="2:49" outlineLevel="1" x14ac:dyDescent="0.25">
      <c r="C101" s="23" t="s">
        <v>4</v>
      </c>
      <c r="D101" s="27"/>
      <c r="E101" s="68">
        <v>216.46539216966755</v>
      </c>
      <c r="F101" s="68">
        <v>264.07179056910059</v>
      </c>
      <c r="G101" s="68">
        <v>344.56151084720011</v>
      </c>
      <c r="H101" s="68">
        <v>261.24093287979861</v>
      </c>
      <c r="I101" s="68">
        <v>214.33474849124894</v>
      </c>
      <c r="J101" s="68">
        <v>251.46551755369552</v>
      </c>
      <c r="K101" s="68">
        <v>350.68889137269758</v>
      </c>
      <c r="L101" s="68">
        <v>296.73770407552092</v>
      </c>
      <c r="M101" s="68">
        <v>236.27249922374418</v>
      </c>
      <c r="N101" s="68">
        <v>416.76471915164808</v>
      </c>
      <c r="O101" s="68">
        <v>312.72690528879417</v>
      </c>
      <c r="P101" s="69">
        <v>404.62110489874192</v>
      </c>
      <c r="Q101" s="125">
        <f t="shared" ref="Q101:AH101" si="123">Q88*Q95/1000</f>
        <v>226.41479200928663</v>
      </c>
      <c r="R101" s="125">
        <f t="shared" si="123"/>
        <v>276.26955773848817</v>
      </c>
      <c r="S101" s="125">
        <f t="shared" si="123"/>
        <v>360.4968387549992</v>
      </c>
      <c r="T101" s="125">
        <f t="shared" si="123"/>
        <v>273.36635624446239</v>
      </c>
      <c r="U101" s="125">
        <f t="shared" si="123"/>
        <v>224.29505621193712</v>
      </c>
      <c r="V101" s="125">
        <f t="shared" si="123"/>
        <v>263.11282849024553</v>
      </c>
      <c r="W101" s="125">
        <f t="shared" si="123"/>
        <v>366.91123920424951</v>
      </c>
      <c r="X101" s="125">
        <f t="shared" si="123"/>
        <v>310.44827286496383</v>
      </c>
      <c r="Y101" s="125">
        <f t="shared" si="123"/>
        <v>247.1807849028431</v>
      </c>
      <c r="Z101" s="125">
        <f t="shared" si="123"/>
        <v>436.05819136587075</v>
      </c>
      <c r="AA101" s="125">
        <f t="shared" si="123"/>
        <v>327.14474453811118</v>
      </c>
      <c r="AB101" s="125">
        <f t="shared" si="123"/>
        <v>423.32502087269626</v>
      </c>
      <c r="AC101" s="125">
        <f t="shared" si="123"/>
        <v>236.85813518343997</v>
      </c>
      <c r="AD101" s="125">
        <f t="shared" si="123"/>
        <v>289.07607427718847</v>
      </c>
      <c r="AE101" s="125">
        <f t="shared" si="123"/>
        <v>377.22940149876916</v>
      </c>
      <c r="AF101" s="125">
        <f t="shared" si="123"/>
        <v>286.09925326826044</v>
      </c>
      <c r="AG101" s="125">
        <f t="shared" si="123"/>
        <v>234.7549874367881</v>
      </c>
      <c r="AH101" s="125">
        <f t="shared" si="123"/>
        <v>275.34300553206833</v>
      </c>
      <c r="AJ101" s="83" cm="1">
        <f t="array" aca="1" ref="AJ101" ca="1">SUMPRODUCT(($E101:$AH101)*(AJ$3&amp;AJ$4&amp;AJ$5&amp;AJ$6=$E$3:$AH$3&amp;$E$4:$AH$4&amp;$E$5:$AH$5&amp;$E$6:$AH$6))</f>
        <v>825.09869358596825</v>
      </c>
      <c r="AK101" s="83" cm="1">
        <f t="array" aca="1" ref="AK101" ca="1">SUMPRODUCT(($E101:$AH101)*(AK$3=$E$3:$AH$3)*(AK$4=$E$4:$AH$4)*(AK$5=$E$5:$AH$5)*(AK$6=$E$6:$AH$6))</f>
        <v>727.04119892474307</v>
      </c>
      <c r="AL101" s="83" cm="1">
        <f t="array" aca="1" ref="AL101" ca="1">SUMPRODUCT(($E101:$AH101)*(AL$3=$E$3:$AH$3)*(AL$4=$E$4:$AH$4)*(AL$5=$E$5:$AH$5)*(AL$6=$E$6:$AH$6))</f>
        <v>883.6990946719626</v>
      </c>
      <c r="AM101" s="158" cm="1">
        <f t="array" aca="1" ref="AM101" ca="1">SUMPRODUCT(($E101:$AH101)*(AM$3=$E$3:$AH$3)*(AM$4=$E$4:$AH$4)*(AM$5=$E$5:$AH$5)*(AM$6=$E$6:$AH$6))</f>
        <v>1134.1127293391842</v>
      </c>
      <c r="AN101" s="83" cm="1">
        <f t="array" aca="1" ref="AN101" ca="1">SUMPRODUCT(($E101:$AH101)*(AN$3=$E$3:$AH$3)*(AN$4=$E$4:$AH$4)*(AN$5=$E$5:$AH$5)*(AN$6=$E$6:$AH$6))</f>
        <v>863.18118850277403</v>
      </c>
      <c r="AO101" s="83" cm="1">
        <f t="array" aca="1" ref="AO101" ca="1">SUMPRODUCT(($E101:$AH101)*(AO$3=$E$3:$AH$3)*(AO$4=$E$4:$AH$4)*(AO$5=$E$5:$AH$5)*(AO$6=$E$6:$AH$6))</f>
        <v>760.77424094664502</v>
      </c>
      <c r="AP101" s="83" cm="1">
        <f t="array" aca="1" ref="AP101" ca="1">SUMPRODUCT(($E101:$AH101)*(AP$3=$E$3:$AH$3)*(AP$4=$E$4:$AH$4)*(AP$5=$E$5:$AH$5)*(AP$6=$E$6:$AH$6))</f>
        <v>924.54029697205647</v>
      </c>
      <c r="AQ101" s="83" cm="1">
        <f t="array" aca="1" ref="AQ101" ca="1">SUMPRODUCT(($E101:$AH101)*(AQ$3=$E$3:$AH$3)*(AQ$4=$E$4:$AH$4)*(AQ$5=$E$5:$AH$5)*(AQ$6=$E$6:$AH$6))</f>
        <v>1186.5279567766781</v>
      </c>
      <c r="AR101" s="83" cm="1">
        <f t="array" aca="1" ref="AR101" ca="1">SUMPRODUCT(($E101:$AH101)*(AR$3=$E$3:$AH$3)*(AR$4=$E$4:$AH$4)*(AR$5=$E$5:$AH$5)*(AR$6=$E$6:$AH$6))</f>
        <v>903.1636109593976</v>
      </c>
      <c r="AS101" s="83" cm="1">
        <f t="array" aca="1" ref="AS101" ca="1">SUMPRODUCT(($E101:$AH101)*(AS$3=$E$3:$AH$3)*(AS$4=$E$4:$AH$4)*(AS$5=$E$5:$AH$5)*(AS$6=$E$6:$AH$6))</f>
        <v>796.19724623711693</v>
      </c>
      <c r="AT101" s="83"/>
      <c r="AU101" s="83" cm="1">
        <f t="array" aca="1" ref="AU101" ca="1">SUMPRODUCT(($E101:$AH101)*(AU$5=$E$5:$AH$5))</f>
        <v>1552.1398925107112</v>
      </c>
      <c r="AV101" s="83" cm="1">
        <f t="array" aca="1" ref="AV101" ca="1">SUMPRODUCT(($E101:$AH101)*(AV$5=$E$5:$AH$5))</f>
        <v>3641.7672534605654</v>
      </c>
      <c r="AW101" s="83" cm="1">
        <f t="array" aca="1" ref="AW101" ca="1">SUMPRODUCT(($E101:$AH101)*(AW$5=$E$5:$AH$5))</f>
        <v>3810.4291109452492</v>
      </c>
    </row>
    <row r="102" spans="2:49" outlineLevel="1" x14ac:dyDescent="0.25">
      <c r="B102" t="s">
        <v>231</v>
      </c>
      <c r="C102" s="25" t="s">
        <v>233</v>
      </c>
      <c r="E102" s="123">
        <f t="shared" ref="E102:AH102" si="124">SUM(E98:E101)</f>
        <v>11800.861025656588</v>
      </c>
      <c r="F102" s="123">
        <f t="shared" si="124"/>
        <v>10190.120500067982</v>
      </c>
      <c r="G102" s="123">
        <f t="shared" si="124"/>
        <v>9110.0208712018284</v>
      </c>
      <c r="H102" s="123">
        <f t="shared" si="124"/>
        <v>9044.183038694553</v>
      </c>
      <c r="I102" s="123">
        <f t="shared" si="124"/>
        <v>8440.3097831778141</v>
      </c>
      <c r="J102" s="123">
        <f t="shared" si="124"/>
        <v>10898.81272312327</v>
      </c>
      <c r="K102" s="123">
        <f t="shared" si="124"/>
        <v>11713.015390582983</v>
      </c>
      <c r="L102" s="123">
        <f t="shared" si="124"/>
        <v>10245.271619090556</v>
      </c>
      <c r="M102" s="123">
        <f t="shared" si="124"/>
        <v>9698.6496421278625</v>
      </c>
      <c r="N102" s="123">
        <f t="shared" si="124"/>
        <v>12671.502680935422</v>
      </c>
      <c r="O102" s="123">
        <f t="shared" si="124"/>
        <v>11507.663891162467</v>
      </c>
      <c r="P102" s="124">
        <f t="shared" si="124"/>
        <v>12325.312466077157</v>
      </c>
      <c r="Q102" s="123">
        <f t="shared" si="124"/>
        <v>12343.264056548505</v>
      </c>
      <c r="R102" s="123">
        <f t="shared" si="124"/>
        <v>10660.813401494373</v>
      </c>
      <c r="S102" s="123">
        <f t="shared" si="124"/>
        <v>9531.3423631831938</v>
      </c>
      <c r="T102" s="123">
        <f t="shared" si="124"/>
        <v>9463.9662140292585</v>
      </c>
      <c r="U102" s="123">
        <f t="shared" si="124"/>
        <v>8832.5377503654036</v>
      </c>
      <c r="V102" s="123">
        <f t="shared" si="124"/>
        <v>11403.620944387001</v>
      </c>
      <c r="W102" s="123">
        <f t="shared" si="124"/>
        <v>12254.842105077967</v>
      </c>
      <c r="X102" s="123">
        <f t="shared" si="124"/>
        <v>10718.647598518899</v>
      </c>
      <c r="Y102" s="123">
        <f t="shared" si="124"/>
        <v>10146.419235903713</v>
      </c>
      <c r="Z102" s="123">
        <f t="shared" si="124"/>
        <v>13258.110120703179</v>
      </c>
      <c r="AA102" s="123">
        <f t="shared" si="124"/>
        <v>12038.208738158386</v>
      </c>
      <c r="AB102" s="123">
        <f t="shared" si="124"/>
        <v>12895.059337723731</v>
      </c>
      <c r="AC102" s="123">
        <f t="shared" si="124"/>
        <v>12912.594979178508</v>
      </c>
      <c r="AD102" s="123">
        <f t="shared" si="124"/>
        <v>11154.996996168495</v>
      </c>
      <c r="AE102" s="123">
        <f t="shared" si="124"/>
        <v>9973.7423150804207</v>
      </c>
      <c r="AF102" s="123">
        <f t="shared" si="124"/>
        <v>9904.7801784667026</v>
      </c>
      <c r="AG102" s="123">
        <f t="shared" si="124"/>
        <v>9244.4404421591335</v>
      </c>
      <c r="AH102" s="123">
        <f t="shared" si="124"/>
        <v>11933.691271508513</v>
      </c>
      <c r="AJ102" s="322">
        <f ca="1">SUM(AJ98:AJ101)</f>
        <v>31101.002396926397</v>
      </c>
      <c r="AK102" s="322">
        <f t="shared" ref="AK102:AS102" ca="1" si="125">SUM(AK98:AK101)</f>
        <v>28383.305544995645</v>
      </c>
      <c r="AL102" s="322">
        <f t="shared" ca="1" si="125"/>
        <v>31656.936651801403</v>
      </c>
      <c r="AM102" s="329">
        <f t="shared" ca="1" si="125"/>
        <v>36504.479038175043</v>
      </c>
      <c r="AN102" s="322">
        <f t="shared" ca="1" si="125"/>
        <v>32535.419821226071</v>
      </c>
      <c r="AO102" s="322">
        <f t="shared" ca="1" si="125"/>
        <v>29700.124908781661</v>
      </c>
      <c r="AP102" s="322">
        <f t="shared" ca="1" si="125"/>
        <v>33119.908939500587</v>
      </c>
      <c r="AQ102" s="322">
        <f t="shared" ca="1" si="125"/>
        <v>38191.378196585298</v>
      </c>
      <c r="AR102" s="322">
        <f t="shared" ca="1" si="125"/>
        <v>34041.334290427418</v>
      </c>
      <c r="AS102" s="322">
        <f t="shared" ca="1" si="125"/>
        <v>31082.911892134343</v>
      </c>
      <c r="AU102" s="322">
        <f t="shared" ref="AU102:AW102" ca="1" si="126">SUM(AU98:AU101)</f>
        <v>59484.307941922038</v>
      </c>
      <c r="AV102" s="322">
        <f t="shared" ca="1" si="126"/>
        <v>130396.96041998417</v>
      </c>
      <c r="AW102" s="322">
        <f t="shared" ca="1" si="126"/>
        <v>136435.53331864765</v>
      </c>
    </row>
    <row r="103" spans="2:49" x14ac:dyDescent="0.25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2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M103" s="8"/>
    </row>
    <row r="104" spans="2:49" x14ac:dyDescent="0.25">
      <c r="B104" t="s">
        <v>231</v>
      </c>
      <c r="C104" s="30" t="s">
        <v>229</v>
      </c>
      <c r="D104" s="225"/>
      <c r="E104" s="45" t="str">
        <f t="shared" ref="E104:AH104" si="127">E$9</f>
        <v>Jul-20A</v>
      </c>
      <c r="F104" s="45" t="str">
        <f t="shared" si="127"/>
        <v>Aug-20A</v>
      </c>
      <c r="G104" s="45" t="str">
        <f t="shared" si="127"/>
        <v>Sep-20A</v>
      </c>
      <c r="H104" s="45" t="str">
        <f t="shared" si="127"/>
        <v>Oct-20A</v>
      </c>
      <c r="I104" s="45" t="str">
        <f t="shared" si="127"/>
        <v>Nov-20A</v>
      </c>
      <c r="J104" s="45" t="str">
        <f t="shared" si="127"/>
        <v>Dec-20A</v>
      </c>
      <c r="K104" s="45" t="str">
        <f t="shared" si="127"/>
        <v>Jan-21A</v>
      </c>
      <c r="L104" s="45" t="str">
        <f t="shared" si="127"/>
        <v>Feb-21A</v>
      </c>
      <c r="M104" s="45" t="str">
        <f t="shared" si="127"/>
        <v>Mar-21A</v>
      </c>
      <c r="N104" s="45" t="str">
        <f t="shared" si="127"/>
        <v>Apr-21A</v>
      </c>
      <c r="O104" s="45" t="str">
        <f t="shared" si="127"/>
        <v>May-21A</v>
      </c>
      <c r="P104" s="46" t="str">
        <f t="shared" si="127"/>
        <v>Jun-21A</v>
      </c>
      <c r="Q104" s="45" t="str">
        <f t="shared" si="127"/>
        <v>Jul-21F</v>
      </c>
      <c r="R104" s="45" t="str">
        <f t="shared" si="127"/>
        <v>Aug-21F</v>
      </c>
      <c r="S104" s="45" t="str">
        <f t="shared" si="127"/>
        <v>Sep-21F</v>
      </c>
      <c r="T104" s="45" t="str">
        <f t="shared" si="127"/>
        <v>Oct-21F</v>
      </c>
      <c r="U104" s="45" t="str">
        <f t="shared" si="127"/>
        <v>Nov-21F</v>
      </c>
      <c r="V104" s="45" t="str">
        <f t="shared" si="127"/>
        <v>Dec-21F</v>
      </c>
      <c r="W104" s="45" t="str">
        <f t="shared" si="127"/>
        <v>Jan-22F</v>
      </c>
      <c r="X104" s="45" t="str">
        <f t="shared" si="127"/>
        <v>Feb-22F</v>
      </c>
      <c r="Y104" s="45" t="str">
        <f t="shared" si="127"/>
        <v>Mar-22F</v>
      </c>
      <c r="Z104" s="45" t="str">
        <f t="shared" si="127"/>
        <v>Apr-22F</v>
      </c>
      <c r="AA104" s="45" t="str">
        <f t="shared" si="127"/>
        <v>May-22F</v>
      </c>
      <c r="AB104" s="45" t="str">
        <f t="shared" si="127"/>
        <v>Jun-22F</v>
      </c>
      <c r="AC104" s="45" t="str">
        <f t="shared" si="127"/>
        <v>Jul-22F</v>
      </c>
      <c r="AD104" s="45" t="str">
        <f t="shared" si="127"/>
        <v>Aug-22F</v>
      </c>
      <c r="AE104" s="45" t="str">
        <f t="shared" si="127"/>
        <v>Sep-22F</v>
      </c>
      <c r="AF104" s="45" t="str">
        <f t="shared" si="127"/>
        <v>Oct-22F</v>
      </c>
      <c r="AG104" s="45" t="str">
        <f t="shared" si="127"/>
        <v>Nov-22F</v>
      </c>
      <c r="AH104" s="45" t="str">
        <f t="shared" si="127"/>
        <v>Dec-22F</v>
      </c>
      <c r="AJ104" s="45" t="str">
        <f ca="1">AJ$10</f>
        <v>Q3'20A</v>
      </c>
      <c r="AK104" s="45" t="str">
        <f t="shared" ref="AK104:AW104" ca="1" si="128">AK$10</f>
        <v>Q4'20A</v>
      </c>
      <c r="AL104" s="45" t="str">
        <f t="shared" ca="1" si="128"/>
        <v>Q1'21A</v>
      </c>
      <c r="AM104" s="46" t="str">
        <f t="shared" ca="1" si="128"/>
        <v>Q2'21A</v>
      </c>
      <c r="AN104" s="45" t="str">
        <f t="shared" ca="1" si="128"/>
        <v>Q3'21F</v>
      </c>
      <c r="AO104" s="45" t="str">
        <f t="shared" ca="1" si="128"/>
        <v>Q4'21F</v>
      </c>
      <c r="AP104" s="45" t="str">
        <f t="shared" ca="1" si="128"/>
        <v>Q1'22F</v>
      </c>
      <c r="AQ104" s="45" t="str">
        <f t="shared" ca="1" si="128"/>
        <v>Q2'22F</v>
      </c>
      <c r="AR104" s="45" t="str">
        <f t="shared" ca="1" si="128"/>
        <v>Q3'22F</v>
      </c>
      <c r="AS104" s="45" t="str">
        <f t="shared" ca="1" si="128"/>
        <v>Q4'22F</v>
      </c>
      <c r="AU104" s="45" t="str">
        <f t="shared" ca="1" si="128"/>
        <v>FY20</v>
      </c>
      <c r="AV104" s="45" t="str">
        <f t="shared" ca="1" si="128"/>
        <v>FY21</v>
      </c>
      <c r="AW104" s="45" t="str">
        <f t="shared" ca="1" si="128"/>
        <v>FY22</v>
      </c>
    </row>
    <row r="105" spans="2:49" outlineLevel="1" x14ac:dyDescent="0.25">
      <c r="B105" s="58"/>
      <c r="C105" s="1" t="s">
        <v>1</v>
      </c>
      <c r="E105" s="58">
        <f t="shared" ref="E105:P108" si="129">E111/E98</f>
        <v>2.5896690717867613E-2</v>
      </c>
      <c r="F105" s="58">
        <f t="shared" si="129"/>
        <v>2.5534868142605294E-2</v>
      </c>
      <c r="G105" s="58">
        <f t="shared" si="129"/>
        <v>2.5074535301576079E-2</v>
      </c>
      <c r="H105" s="58">
        <f t="shared" si="129"/>
        <v>2.5305289828180449E-2</v>
      </c>
      <c r="I105" s="58">
        <f t="shared" si="129"/>
        <v>2.5560219270250237E-2</v>
      </c>
      <c r="J105" s="59">
        <f t="shared" si="129"/>
        <v>2.5764948587842059E-2</v>
      </c>
      <c r="K105" s="58">
        <f t="shared" si="129"/>
        <v>2.5171901206688253E-2</v>
      </c>
      <c r="L105" s="58">
        <f t="shared" si="129"/>
        <v>2.5715091144979874E-2</v>
      </c>
      <c r="M105" s="58">
        <f t="shared" si="129"/>
        <v>2.5939366962259267E-2</v>
      </c>
      <c r="N105" s="58">
        <f t="shared" si="129"/>
        <v>2.5700601786791535E-2</v>
      </c>
      <c r="O105" s="58">
        <f t="shared" si="129"/>
        <v>2.5948526834798678E-2</v>
      </c>
      <c r="P105" s="60">
        <f t="shared" si="129"/>
        <v>2.5731747673388532E-2</v>
      </c>
      <c r="Q105" s="57">
        <f>SUM(K111:P111)/SUM(K98:P98)</f>
        <v>2.5672546140889856E-2</v>
      </c>
      <c r="R105" s="57">
        <f>Q105</f>
        <v>2.5672546140889856E-2</v>
      </c>
      <c r="S105" s="57">
        <f t="shared" ref="S105:AH105" si="130">R105</f>
        <v>2.5672546140889856E-2</v>
      </c>
      <c r="T105" s="57">
        <f t="shared" si="130"/>
        <v>2.5672546140889856E-2</v>
      </c>
      <c r="U105" s="57">
        <f t="shared" si="130"/>
        <v>2.5672546140889856E-2</v>
      </c>
      <c r="V105" s="57">
        <f t="shared" si="130"/>
        <v>2.5672546140889856E-2</v>
      </c>
      <c r="W105" s="57">
        <f t="shared" si="130"/>
        <v>2.5672546140889856E-2</v>
      </c>
      <c r="X105" s="57">
        <f t="shared" si="130"/>
        <v>2.5672546140889856E-2</v>
      </c>
      <c r="Y105" s="57">
        <f t="shared" si="130"/>
        <v>2.5672546140889856E-2</v>
      </c>
      <c r="Z105" s="57">
        <f t="shared" si="130"/>
        <v>2.5672546140889856E-2</v>
      </c>
      <c r="AA105" s="57">
        <f t="shared" si="130"/>
        <v>2.5672546140889856E-2</v>
      </c>
      <c r="AB105" s="57">
        <f t="shared" si="130"/>
        <v>2.5672546140889856E-2</v>
      </c>
      <c r="AC105" s="57">
        <f t="shared" si="130"/>
        <v>2.5672546140889856E-2</v>
      </c>
      <c r="AD105" s="57">
        <f t="shared" si="130"/>
        <v>2.5672546140889856E-2</v>
      </c>
      <c r="AE105" s="57">
        <f t="shared" si="130"/>
        <v>2.5672546140889856E-2</v>
      </c>
      <c r="AF105" s="57">
        <f t="shared" si="130"/>
        <v>2.5672546140889856E-2</v>
      </c>
      <c r="AG105" s="57">
        <f t="shared" si="130"/>
        <v>2.5672546140889856E-2</v>
      </c>
      <c r="AH105" s="57">
        <f t="shared" si="130"/>
        <v>2.5672546140889856E-2</v>
      </c>
      <c r="AJ105" s="58">
        <f t="shared" ref="AJ105:AW108" ca="1" si="131">AJ111/AJ98</f>
        <v>2.5530986997470306E-2</v>
      </c>
      <c r="AK105" s="323">
        <f t="shared" ca="1" si="131"/>
        <v>2.5525293382937474E-2</v>
      </c>
      <c r="AL105" s="323">
        <f t="shared" ca="1" si="131"/>
        <v>2.557640217183281E-2</v>
      </c>
      <c r="AM105" s="330">
        <f t="shared" ca="1" si="131"/>
        <v>2.5787769957683677E-2</v>
      </c>
      <c r="AN105" s="323">
        <f t="shared" ca="1" si="131"/>
        <v>2.567254614088986E-2</v>
      </c>
      <c r="AO105" s="323">
        <f t="shared" ca="1" si="131"/>
        <v>2.5672546140889849E-2</v>
      </c>
      <c r="AP105" s="323">
        <f t="shared" ca="1" si="131"/>
        <v>2.5672546140889856E-2</v>
      </c>
      <c r="AQ105" s="323">
        <f t="shared" ca="1" si="131"/>
        <v>2.5672546140889856E-2</v>
      </c>
      <c r="AR105" s="323">
        <f t="shared" ca="1" si="131"/>
        <v>2.5672546140889853E-2</v>
      </c>
      <c r="AS105" s="323">
        <f t="shared" ca="1" si="131"/>
        <v>2.5672546140889856E-2</v>
      </c>
      <c r="AT105" s="323"/>
      <c r="AU105" s="323">
        <f t="shared" ca="1" si="131"/>
        <v>2.5528656558643045E-2</v>
      </c>
      <c r="AV105" s="323">
        <f t="shared" ca="1" si="131"/>
        <v>2.5672546140889863E-2</v>
      </c>
      <c r="AW105" s="323">
        <f t="shared" ca="1" si="131"/>
        <v>2.5672546140889849E-2</v>
      </c>
    </row>
    <row r="106" spans="2:49" x14ac:dyDescent="0.25">
      <c r="B106" s="58"/>
      <c r="C106" s="1" t="s">
        <v>2</v>
      </c>
      <c r="E106" s="58">
        <f t="shared" si="129"/>
        <v>0.10133498272278357</v>
      </c>
      <c r="F106" s="58">
        <f t="shared" si="129"/>
        <v>0.10005456162276112</v>
      </c>
      <c r="G106" s="58">
        <f t="shared" si="129"/>
        <v>0.10437958291605416</v>
      </c>
      <c r="H106" s="58">
        <f t="shared" si="129"/>
        <v>0.10494187151589258</v>
      </c>
      <c r="I106" s="58">
        <f t="shared" si="129"/>
        <v>0.10439032582909584</v>
      </c>
      <c r="J106" s="59">
        <f t="shared" si="129"/>
        <v>0.1077963260586022</v>
      </c>
      <c r="K106" s="58">
        <f t="shared" si="129"/>
        <v>0.10393284617097001</v>
      </c>
      <c r="L106" s="58">
        <f t="shared" si="129"/>
        <v>0.10296377009063279</v>
      </c>
      <c r="M106" s="58">
        <f t="shared" si="129"/>
        <v>0.10413244909085567</v>
      </c>
      <c r="N106" s="58">
        <f t="shared" si="129"/>
        <v>0.10042032508882587</v>
      </c>
      <c r="O106" s="58">
        <f t="shared" si="129"/>
        <v>0.10828400689109154</v>
      </c>
      <c r="P106" s="60">
        <f t="shared" si="129"/>
        <v>0.10273412228879587</v>
      </c>
      <c r="Q106" s="57">
        <f t="shared" ref="Q106:Q108" si="132">SUM(K112:P112)/SUM(K99:P99)</f>
        <v>0.10370449208029915</v>
      </c>
      <c r="R106" s="57">
        <f>Q106</f>
        <v>0.10370449208029915</v>
      </c>
      <c r="S106" s="57">
        <f t="shared" ref="S106:AH106" si="133">R106</f>
        <v>0.10370449208029915</v>
      </c>
      <c r="T106" s="57">
        <f t="shared" si="133"/>
        <v>0.10370449208029915</v>
      </c>
      <c r="U106" s="57">
        <f t="shared" si="133"/>
        <v>0.10370449208029915</v>
      </c>
      <c r="V106" s="57">
        <f t="shared" si="133"/>
        <v>0.10370449208029915</v>
      </c>
      <c r="W106" s="57">
        <f t="shared" si="133"/>
        <v>0.10370449208029915</v>
      </c>
      <c r="X106" s="57">
        <f t="shared" si="133"/>
        <v>0.10370449208029915</v>
      </c>
      <c r="Y106" s="57">
        <f t="shared" si="133"/>
        <v>0.10370449208029915</v>
      </c>
      <c r="Z106" s="57">
        <f t="shared" si="133"/>
        <v>0.10370449208029915</v>
      </c>
      <c r="AA106" s="57">
        <f t="shared" si="133"/>
        <v>0.10370449208029915</v>
      </c>
      <c r="AB106" s="57">
        <f t="shared" si="133"/>
        <v>0.10370449208029915</v>
      </c>
      <c r="AC106" s="57">
        <f t="shared" si="133"/>
        <v>0.10370449208029915</v>
      </c>
      <c r="AD106" s="57">
        <f t="shared" si="133"/>
        <v>0.10370449208029915</v>
      </c>
      <c r="AE106" s="57">
        <f t="shared" si="133"/>
        <v>0.10370449208029915</v>
      </c>
      <c r="AF106" s="57">
        <f t="shared" si="133"/>
        <v>0.10370449208029915</v>
      </c>
      <c r="AG106" s="57">
        <f t="shared" si="133"/>
        <v>0.10370449208029915</v>
      </c>
      <c r="AH106" s="57">
        <f t="shared" si="133"/>
        <v>0.10370449208029915</v>
      </c>
      <c r="AJ106" s="58">
        <f t="shared" ca="1" si="131"/>
        <v>0.10184888798587617</v>
      </c>
      <c r="AK106" s="323">
        <f t="shared" ca="1" si="131"/>
        <v>0.10603789014451528</v>
      </c>
      <c r="AL106" s="323">
        <f t="shared" ca="1" si="131"/>
        <v>0.10369575444064526</v>
      </c>
      <c r="AM106" s="330">
        <f t="shared" ca="1" si="131"/>
        <v>0.10371025338629281</v>
      </c>
      <c r="AN106" s="323">
        <f t="shared" ca="1" si="131"/>
        <v>0.10370449208029917</v>
      </c>
      <c r="AO106" s="323">
        <f t="shared" ca="1" si="131"/>
        <v>0.10370449208029915</v>
      </c>
      <c r="AP106" s="323">
        <f t="shared" ca="1" si="131"/>
        <v>0.10370449208029914</v>
      </c>
      <c r="AQ106" s="323">
        <f t="shared" ca="1" si="131"/>
        <v>0.10370449208029915</v>
      </c>
      <c r="AR106" s="323">
        <f t="shared" ca="1" si="131"/>
        <v>0.10370449208029917</v>
      </c>
      <c r="AS106" s="323">
        <f t="shared" ca="1" si="131"/>
        <v>0.10370449208029918</v>
      </c>
      <c r="AT106" s="323"/>
      <c r="AU106" s="323">
        <f t="shared" ca="1" si="131"/>
        <v>0.10404438448035036</v>
      </c>
      <c r="AV106" s="323">
        <f t="shared" ca="1" si="131"/>
        <v>0.10370449208029917</v>
      </c>
      <c r="AW106" s="323">
        <f t="shared" ca="1" si="131"/>
        <v>0.10370449208029915</v>
      </c>
    </row>
    <row r="107" spans="2:49" outlineLevel="1" x14ac:dyDescent="0.25">
      <c r="B107" s="58"/>
      <c r="C107" s="1" t="s">
        <v>3</v>
      </c>
      <c r="E107" s="58">
        <f t="shared" si="129"/>
        <v>0.19701809811995405</v>
      </c>
      <c r="F107" s="58">
        <f t="shared" si="129"/>
        <v>0.19076005373308569</v>
      </c>
      <c r="G107" s="58">
        <f t="shared" si="129"/>
        <v>0.19990428011289421</v>
      </c>
      <c r="H107" s="58">
        <f t="shared" si="129"/>
        <v>0.20217491412233127</v>
      </c>
      <c r="I107" s="58">
        <f t="shared" si="129"/>
        <v>0.19078353961654551</v>
      </c>
      <c r="J107" s="59">
        <f t="shared" si="129"/>
        <v>0.20982707962116198</v>
      </c>
      <c r="K107" s="58">
        <f t="shared" si="129"/>
        <v>0.19492729609869133</v>
      </c>
      <c r="L107" s="58">
        <f t="shared" si="129"/>
        <v>0.19978920081741722</v>
      </c>
      <c r="M107" s="58">
        <f t="shared" si="129"/>
        <v>0.20864096676399715</v>
      </c>
      <c r="N107" s="58">
        <f t="shared" si="129"/>
        <v>0.1998616376228462</v>
      </c>
      <c r="O107" s="58">
        <f t="shared" si="129"/>
        <v>0.19562834782878824</v>
      </c>
      <c r="P107" s="60">
        <f t="shared" si="129"/>
        <v>0.20121146334050641</v>
      </c>
      <c r="Q107" s="57">
        <f t="shared" si="132"/>
        <v>0.19976285241869068</v>
      </c>
      <c r="R107" s="57">
        <f>Q107</f>
        <v>0.19976285241869068</v>
      </c>
      <c r="S107" s="57">
        <f t="shared" ref="S107:AH107" si="134">R107</f>
        <v>0.19976285241869068</v>
      </c>
      <c r="T107" s="57">
        <f t="shared" si="134"/>
        <v>0.19976285241869068</v>
      </c>
      <c r="U107" s="57">
        <f t="shared" si="134"/>
        <v>0.19976285241869068</v>
      </c>
      <c r="V107" s="57">
        <f t="shared" si="134"/>
        <v>0.19976285241869068</v>
      </c>
      <c r="W107" s="57">
        <f t="shared" si="134"/>
        <v>0.19976285241869068</v>
      </c>
      <c r="X107" s="57">
        <f t="shared" si="134"/>
        <v>0.19976285241869068</v>
      </c>
      <c r="Y107" s="57">
        <f t="shared" si="134"/>
        <v>0.19976285241869068</v>
      </c>
      <c r="Z107" s="57">
        <f t="shared" si="134"/>
        <v>0.19976285241869068</v>
      </c>
      <c r="AA107" s="57">
        <f t="shared" si="134"/>
        <v>0.19976285241869068</v>
      </c>
      <c r="AB107" s="57">
        <f t="shared" si="134"/>
        <v>0.19976285241869068</v>
      </c>
      <c r="AC107" s="57">
        <f t="shared" si="134"/>
        <v>0.19976285241869068</v>
      </c>
      <c r="AD107" s="57">
        <f t="shared" si="134"/>
        <v>0.19976285241869068</v>
      </c>
      <c r="AE107" s="57">
        <f t="shared" si="134"/>
        <v>0.19976285241869068</v>
      </c>
      <c r="AF107" s="57">
        <f t="shared" si="134"/>
        <v>0.19976285241869068</v>
      </c>
      <c r="AG107" s="57">
        <f t="shared" si="134"/>
        <v>0.19976285241869068</v>
      </c>
      <c r="AH107" s="57">
        <f t="shared" si="134"/>
        <v>0.19976285241869068</v>
      </c>
      <c r="AJ107" s="58">
        <f t="shared" ca="1" si="131"/>
        <v>0.19584988137414638</v>
      </c>
      <c r="AK107" s="323">
        <f t="shared" ca="1" si="131"/>
        <v>0.20114207960099398</v>
      </c>
      <c r="AL107" s="323">
        <f t="shared" ca="1" si="131"/>
        <v>0.20085367803814433</v>
      </c>
      <c r="AM107" s="330">
        <f t="shared" ca="1" si="131"/>
        <v>0.19892979657693516</v>
      </c>
      <c r="AN107" s="323">
        <f t="shared" ca="1" si="131"/>
        <v>0.19976285241869068</v>
      </c>
      <c r="AO107" s="323">
        <f t="shared" ca="1" si="131"/>
        <v>0.19976285241869068</v>
      </c>
      <c r="AP107" s="323">
        <f t="shared" ca="1" si="131"/>
        <v>0.19976285241869068</v>
      </c>
      <c r="AQ107" s="323">
        <f t="shared" ca="1" si="131"/>
        <v>0.19976285241869068</v>
      </c>
      <c r="AR107" s="323">
        <f t="shared" ca="1" si="131"/>
        <v>0.19976285241869066</v>
      </c>
      <c r="AS107" s="323">
        <f t="shared" ca="1" si="131"/>
        <v>0.19976285241869068</v>
      </c>
      <c r="AT107" s="323"/>
      <c r="AU107" s="323">
        <f t="shared" ca="1" si="131"/>
        <v>0.19860492355464501</v>
      </c>
      <c r="AV107" s="323">
        <f t="shared" ca="1" si="131"/>
        <v>0.19976285241869066</v>
      </c>
      <c r="AW107" s="323">
        <f t="shared" ca="1" si="131"/>
        <v>0.19976285241869068</v>
      </c>
    </row>
    <row r="108" spans="2:49" outlineLevel="1" x14ac:dyDescent="0.25">
      <c r="B108" s="58"/>
      <c r="C108" s="1" t="s">
        <v>4</v>
      </c>
      <c r="E108" s="58">
        <f t="shared" si="129"/>
        <v>0.2746877545776204</v>
      </c>
      <c r="F108" s="58">
        <f t="shared" si="129"/>
        <v>0.25297126317754548</v>
      </c>
      <c r="G108" s="58">
        <f t="shared" si="129"/>
        <v>0.23639439462495759</v>
      </c>
      <c r="H108" s="58">
        <f t="shared" si="129"/>
        <v>0.22951126434626001</v>
      </c>
      <c r="I108" s="58">
        <f t="shared" si="129"/>
        <v>0.2454492924873618</v>
      </c>
      <c r="J108" s="59">
        <f t="shared" si="129"/>
        <v>0.2710847775326386</v>
      </c>
      <c r="K108" s="58">
        <f t="shared" si="129"/>
        <v>0.23258442134368518</v>
      </c>
      <c r="L108" s="58">
        <f t="shared" si="129"/>
        <v>0.26589002579617466</v>
      </c>
      <c r="M108" s="58">
        <f t="shared" si="129"/>
        <v>0.26452377904133839</v>
      </c>
      <c r="N108" s="58">
        <f t="shared" si="129"/>
        <v>0.22895065994759967</v>
      </c>
      <c r="O108" s="58">
        <f t="shared" si="129"/>
        <v>0.26990401272511411</v>
      </c>
      <c r="P108" s="60">
        <f t="shared" si="129"/>
        <v>0.23126497841878463</v>
      </c>
      <c r="Q108" s="57">
        <f t="shared" si="132"/>
        <v>0.24599100488161782</v>
      </c>
      <c r="R108" s="57">
        <f>Q108</f>
        <v>0.24599100488161782</v>
      </c>
      <c r="S108" s="57">
        <f t="shared" ref="S108:AH108" si="135">R108</f>
        <v>0.24599100488161782</v>
      </c>
      <c r="T108" s="57">
        <f t="shared" si="135"/>
        <v>0.24599100488161782</v>
      </c>
      <c r="U108" s="57">
        <f t="shared" si="135"/>
        <v>0.24599100488161782</v>
      </c>
      <c r="V108" s="57">
        <f t="shared" si="135"/>
        <v>0.24599100488161782</v>
      </c>
      <c r="W108" s="57">
        <f t="shared" si="135"/>
        <v>0.24599100488161782</v>
      </c>
      <c r="X108" s="57">
        <f t="shared" si="135"/>
        <v>0.24599100488161782</v>
      </c>
      <c r="Y108" s="57">
        <f t="shared" si="135"/>
        <v>0.24599100488161782</v>
      </c>
      <c r="Z108" s="57">
        <f t="shared" si="135"/>
        <v>0.24599100488161782</v>
      </c>
      <c r="AA108" s="57">
        <f t="shared" si="135"/>
        <v>0.24599100488161782</v>
      </c>
      <c r="AB108" s="57">
        <f t="shared" si="135"/>
        <v>0.24599100488161782</v>
      </c>
      <c r="AC108" s="57">
        <f t="shared" si="135"/>
        <v>0.24599100488161782</v>
      </c>
      <c r="AD108" s="57">
        <f t="shared" si="135"/>
        <v>0.24599100488161782</v>
      </c>
      <c r="AE108" s="57">
        <f t="shared" si="135"/>
        <v>0.24599100488161782</v>
      </c>
      <c r="AF108" s="57">
        <f t="shared" si="135"/>
        <v>0.24599100488161782</v>
      </c>
      <c r="AG108" s="57">
        <f t="shared" si="135"/>
        <v>0.24599100488161782</v>
      </c>
      <c r="AH108" s="57">
        <f t="shared" si="135"/>
        <v>0.24599100488161782</v>
      </c>
      <c r="AJ108" s="58">
        <f t="shared" ca="1" si="131"/>
        <v>0.25174609817124149</v>
      </c>
      <c r="AK108" s="323">
        <f t="shared" ca="1" si="131"/>
        <v>0.24858910791760258</v>
      </c>
      <c r="AL108" s="323">
        <f t="shared" ca="1" si="131"/>
        <v>0.25230767394175962</v>
      </c>
      <c r="AM108" s="330">
        <f t="shared" ca="1" si="131"/>
        <v>0.24106906494973626</v>
      </c>
      <c r="AN108" s="323">
        <f t="shared" ca="1" si="131"/>
        <v>0.24599100488161782</v>
      </c>
      <c r="AO108" s="323">
        <f t="shared" ca="1" si="131"/>
        <v>0.24599100488161779</v>
      </c>
      <c r="AP108" s="323">
        <f t="shared" ca="1" si="131"/>
        <v>0.24599100488161779</v>
      </c>
      <c r="AQ108" s="323">
        <f t="shared" ca="1" si="131"/>
        <v>0.24599100488161782</v>
      </c>
      <c r="AR108" s="323">
        <f t="shared" ca="1" si="131"/>
        <v>0.24599100488161785</v>
      </c>
      <c r="AS108" s="323">
        <f t="shared" ca="1" si="131"/>
        <v>0.24599100488161779</v>
      </c>
      <c r="AT108" s="323"/>
      <c r="AU108" s="323">
        <f t="shared" ca="1" si="131"/>
        <v>0.25026732554895764</v>
      </c>
      <c r="AV108" s="323">
        <f t="shared" ca="1" si="131"/>
        <v>0.24599100488161782</v>
      </c>
      <c r="AW108" s="323">
        <f t="shared" ca="1" si="131"/>
        <v>0.24599100488161776</v>
      </c>
    </row>
    <row r="109" spans="2:49" x14ac:dyDescent="0.25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2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M109" s="8"/>
    </row>
    <row r="110" spans="2:49" x14ac:dyDescent="0.25">
      <c r="C110" s="30" t="s">
        <v>273</v>
      </c>
      <c r="D110" s="225"/>
      <c r="E110" s="45" t="str">
        <f t="shared" ref="E110:AH110" si="136">E$9</f>
        <v>Jul-20A</v>
      </c>
      <c r="F110" s="45" t="str">
        <f t="shared" si="136"/>
        <v>Aug-20A</v>
      </c>
      <c r="G110" s="45" t="str">
        <f t="shared" si="136"/>
        <v>Sep-20A</v>
      </c>
      <c r="H110" s="45" t="str">
        <f t="shared" si="136"/>
        <v>Oct-20A</v>
      </c>
      <c r="I110" s="45" t="str">
        <f t="shared" si="136"/>
        <v>Nov-20A</v>
      </c>
      <c r="J110" s="45" t="str">
        <f t="shared" si="136"/>
        <v>Dec-20A</v>
      </c>
      <c r="K110" s="45" t="str">
        <f t="shared" si="136"/>
        <v>Jan-21A</v>
      </c>
      <c r="L110" s="45" t="str">
        <f t="shared" si="136"/>
        <v>Feb-21A</v>
      </c>
      <c r="M110" s="45" t="str">
        <f t="shared" si="136"/>
        <v>Mar-21A</v>
      </c>
      <c r="N110" s="45" t="str">
        <f t="shared" si="136"/>
        <v>Apr-21A</v>
      </c>
      <c r="O110" s="45" t="str">
        <f t="shared" si="136"/>
        <v>May-21A</v>
      </c>
      <c r="P110" s="46" t="str">
        <f t="shared" si="136"/>
        <v>Jun-21A</v>
      </c>
      <c r="Q110" s="45" t="str">
        <f t="shared" si="136"/>
        <v>Jul-21F</v>
      </c>
      <c r="R110" s="45" t="str">
        <f t="shared" si="136"/>
        <v>Aug-21F</v>
      </c>
      <c r="S110" s="45" t="str">
        <f t="shared" si="136"/>
        <v>Sep-21F</v>
      </c>
      <c r="T110" s="45" t="str">
        <f t="shared" si="136"/>
        <v>Oct-21F</v>
      </c>
      <c r="U110" s="45" t="str">
        <f t="shared" si="136"/>
        <v>Nov-21F</v>
      </c>
      <c r="V110" s="45" t="str">
        <f t="shared" si="136"/>
        <v>Dec-21F</v>
      </c>
      <c r="W110" s="45" t="str">
        <f t="shared" si="136"/>
        <v>Jan-22F</v>
      </c>
      <c r="X110" s="45" t="str">
        <f t="shared" si="136"/>
        <v>Feb-22F</v>
      </c>
      <c r="Y110" s="45" t="str">
        <f t="shared" si="136"/>
        <v>Mar-22F</v>
      </c>
      <c r="Z110" s="45" t="str">
        <f t="shared" si="136"/>
        <v>Apr-22F</v>
      </c>
      <c r="AA110" s="45" t="str">
        <f t="shared" si="136"/>
        <v>May-22F</v>
      </c>
      <c r="AB110" s="45" t="str">
        <f t="shared" si="136"/>
        <v>Jun-22F</v>
      </c>
      <c r="AC110" s="45" t="str">
        <f t="shared" si="136"/>
        <v>Jul-22F</v>
      </c>
      <c r="AD110" s="45" t="str">
        <f t="shared" si="136"/>
        <v>Aug-22F</v>
      </c>
      <c r="AE110" s="45" t="str">
        <f t="shared" si="136"/>
        <v>Sep-22F</v>
      </c>
      <c r="AF110" s="45" t="str">
        <f t="shared" si="136"/>
        <v>Oct-22F</v>
      </c>
      <c r="AG110" s="45" t="str">
        <f t="shared" si="136"/>
        <v>Nov-22F</v>
      </c>
      <c r="AH110" s="45" t="str">
        <f t="shared" si="136"/>
        <v>Dec-22F</v>
      </c>
      <c r="AJ110" s="45" t="str">
        <f ca="1">AJ$10</f>
        <v>Q3'20A</v>
      </c>
      <c r="AK110" s="45" t="str">
        <f t="shared" ref="AK110:AW110" ca="1" si="137">AK$10</f>
        <v>Q4'20A</v>
      </c>
      <c r="AL110" s="45" t="str">
        <f t="shared" ca="1" si="137"/>
        <v>Q1'21A</v>
      </c>
      <c r="AM110" s="46" t="str">
        <f t="shared" ca="1" si="137"/>
        <v>Q2'21A</v>
      </c>
      <c r="AN110" s="45" t="str">
        <f t="shared" ca="1" si="137"/>
        <v>Q3'21F</v>
      </c>
      <c r="AO110" s="45" t="str">
        <f t="shared" ca="1" si="137"/>
        <v>Q4'21F</v>
      </c>
      <c r="AP110" s="45" t="str">
        <f t="shared" ca="1" si="137"/>
        <v>Q1'22F</v>
      </c>
      <c r="AQ110" s="45" t="str">
        <f t="shared" ca="1" si="137"/>
        <v>Q2'22F</v>
      </c>
      <c r="AR110" s="45" t="str">
        <f t="shared" ca="1" si="137"/>
        <v>Q3'22F</v>
      </c>
      <c r="AS110" s="45" t="str">
        <f t="shared" ca="1" si="137"/>
        <v>Q4'22F</v>
      </c>
      <c r="AU110" s="45" t="str">
        <f t="shared" ca="1" si="137"/>
        <v>FY20</v>
      </c>
      <c r="AV110" s="45" t="str">
        <f t="shared" ca="1" si="137"/>
        <v>FY21</v>
      </c>
      <c r="AW110" s="45" t="str">
        <f t="shared" ca="1" si="137"/>
        <v>FY22</v>
      </c>
    </row>
    <row r="111" spans="2:49" outlineLevel="1" x14ac:dyDescent="0.25">
      <c r="C111" s="1" t="s">
        <v>1</v>
      </c>
      <c r="E111" s="65">
        <v>126.49694374548794</v>
      </c>
      <c r="F111" s="65">
        <v>126.24186671451648</v>
      </c>
      <c r="G111" s="65">
        <v>99.184384559310431</v>
      </c>
      <c r="H111" s="65">
        <v>93.614415516835408</v>
      </c>
      <c r="I111" s="65">
        <v>73.484537385297614</v>
      </c>
      <c r="J111" s="91">
        <v>76.704122790040472</v>
      </c>
      <c r="K111" s="65">
        <v>145.72832049513997</v>
      </c>
      <c r="L111" s="65">
        <v>133.00946954302947</v>
      </c>
      <c r="M111" s="65">
        <v>116.0901999762811</v>
      </c>
      <c r="N111" s="65">
        <v>122.17325759457495</v>
      </c>
      <c r="O111" s="65">
        <v>104.10087461813215</v>
      </c>
      <c r="P111" s="67">
        <v>105.89713077189775</v>
      </c>
      <c r="Q111" s="83">
        <f>Q98*Q105</f>
        <v>131.16592604770841</v>
      </c>
      <c r="R111" s="83">
        <f t="shared" ref="R111:AH111" si="138">R98*R105</f>
        <v>132.78522489278171</v>
      </c>
      <c r="S111" s="83">
        <f t="shared" si="138"/>
        <v>106.24635764813253</v>
      </c>
      <c r="T111" s="83">
        <f t="shared" si="138"/>
        <v>99.381190637998728</v>
      </c>
      <c r="U111" s="83">
        <f t="shared" si="138"/>
        <v>77.237364789311584</v>
      </c>
      <c r="V111" s="83">
        <f t="shared" si="138"/>
        <v>79.969053049806718</v>
      </c>
      <c r="W111" s="83">
        <f t="shared" si="138"/>
        <v>155.50196821526066</v>
      </c>
      <c r="X111" s="83">
        <f t="shared" si="138"/>
        <v>138.92485509502552</v>
      </c>
      <c r="Y111" s="83">
        <f t="shared" si="138"/>
        <v>120.2006070705694</v>
      </c>
      <c r="Z111" s="83">
        <f t="shared" si="138"/>
        <v>127.68953533137095</v>
      </c>
      <c r="AA111" s="83">
        <f t="shared" si="138"/>
        <v>107.74207002636595</v>
      </c>
      <c r="AB111" s="83">
        <f t="shared" si="138"/>
        <v>110.53740355793188</v>
      </c>
      <c r="AC111" s="83">
        <f t="shared" si="138"/>
        <v>137.21593173115176</v>
      </c>
      <c r="AD111" s="83">
        <f t="shared" si="138"/>
        <v>138.94050378997429</v>
      </c>
      <c r="AE111" s="83">
        <f t="shared" si="138"/>
        <v>111.17781239204669</v>
      </c>
      <c r="AF111" s="83">
        <f t="shared" si="138"/>
        <v>104.01018187115719</v>
      </c>
      <c r="AG111" s="83">
        <f t="shared" si="138"/>
        <v>80.839305631563306</v>
      </c>
      <c r="AH111" s="83">
        <f t="shared" si="138"/>
        <v>83.686225193324276</v>
      </c>
      <c r="AJ111" s="83" cm="1">
        <f t="array" aca="1" ref="AJ111" ca="1">SUMPRODUCT(($E111:$AH111)*(AJ$3&amp;AJ$4&amp;AJ$5&amp;AJ$6=$E$3:$AH$3&amp;$E$4:$AH$4&amp;$E$5:$AH$5&amp;$E$6:$AH$6))</f>
        <v>351.92319501931485</v>
      </c>
      <c r="AK111" s="83" cm="1">
        <f t="array" aca="1" ref="AK111" ca="1">SUMPRODUCT(($E111:$AH111)*(AK$3=$E$3:$AH$3)*(AK$4=$E$4:$AH$4)*(AK$5=$E$5:$AH$5)*(AK$6=$E$6:$AH$6))</f>
        <v>243.80307569217348</v>
      </c>
      <c r="AL111" s="83" cm="1">
        <f t="array" aca="1" ref="AL111" ca="1">SUMPRODUCT(($E111:$AH111)*(AL$3=$E$3:$AH$3)*(AL$4=$E$4:$AH$4)*(AL$5=$E$5:$AH$5)*(AL$6=$E$6:$AH$6))</f>
        <v>394.82799001445056</v>
      </c>
      <c r="AM111" s="158" cm="1">
        <f t="array" aca="1" ref="AM111" ca="1">SUMPRODUCT(($E111:$AH111)*(AM$3=$E$3:$AH$3)*(AM$4=$E$4:$AH$4)*(AM$5=$E$5:$AH$5)*(AM$6=$E$6:$AH$6))</f>
        <v>332.17126298460488</v>
      </c>
      <c r="AN111" s="83" cm="1">
        <f t="array" aca="1" ref="AN111" ca="1">SUMPRODUCT(($E111:$AH111)*(AN$3=$E$3:$AH$3)*(AN$4=$E$4:$AH$4)*(AN$5=$E$5:$AH$5)*(AN$6=$E$6:$AH$6))</f>
        <v>370.19750858862267</v>
      </c>
      <c r="AO111" s="83" cm="1">
        <f t="array" aca="1" ref="AO111" ca="1">SUMPRODUCT(($E111:$AH111)*(AO$3=$E$3:$AH$3)*(AO$4=$E$4:$AH$4)*(AO$5=$E$5:$AH$5)*(AO$6=$E$6:$AH$6))</f>
        <v>256.58760847711699</v>
      </c>
      <c r="AP111" s="83" cm="1">
        <f t="array" aca="1" ref="AP111" ca="1">SUMPRODUCT(($E111:$AH111)*(AP$3=$E$3:$AH$3)*(AP$4=$E$4:$AH$4)*(AP$5=$E$5:$AH$5)*(AP$6=$E$6:$AH$6))</f>
        <v>414.62743038085557</v>
      </c>
      <c r="AQ111" s="83" cm="1">
        <f t="array" aca="1" ref="AQ111" ca="1">SUMPRODUCT(($E111:$AH111)*(AQ$3=$E$3:$AH$3)*(AQ$4=$E$4:$AH$4)*(AQ$5=$E$5:$AH$5)*(AQ$6=$E$6:$AH$6))</f>
        <v>345.96900891566878</v>
      </c>
      <c r="AR111" s="83" cm="1">
        <f t="array" aca="1" ref="AR111" ca="1">SUMPRODUCT(($E111:$AH111)*(AR$3=$E$3:$AH$3)*(AR$4=$E$4:$AH$4)*(AR$5=$E$5:$AH$5)*(AR$6=$E$6:$AH$6))</f>
        <v>387.3342479131727</v>
      </c>
      <c r="AS111" s="83" cm="1">
        <f t="array" aca="1" ref="AS111" ca="1">SUMPRODUCT(($E111:$AH111)*(AS$3=$E$3:$AH$3)*(AS$4=$E$4:$AH$4)*(AS$5=$E$5:$AH$5)*(AS$6=$E$6:$AH$6))</f>
        <v>268.53571269604475</v>
      </c>
      <c r="AT111" s="83"/>
      <c r="AU111" s="83" cm="1">
        <f t="array" aca="1" ref="AU111" ca="1">SUMPRODUCT(($E111:$AH111)*(AU$5=$E$5:$AH$5))</f>
        <v>595.72627071148838</v>
      </c>
      <c r="AV111" s="83" cm="1">
        <f t="array" aca="1" ref="AV111" ca="1">SUMPRODUCT(($E111:$AH111)*(AV$5=$E$5:$AH$5))</f>
        <v>1353.7843700647952</v>
      </c>
      <c r="AW111" s="83" cm="1">
        <f t="array" aca="1" ref="AW111" ca="1">SUMPRODUCT(($E111:$AH111)*(AW$5=$E$5:$AH$5))</f>
        <v>1416.4663999057416</v>
      </c>
    </row>
    <row r="112" spans="2:49" x14ac:dyDescent="0.25">
      <c r="C112" s="1" t="s">
        <v>2</v>
      </c>
      <c r="E112" s="65">
        <v>527.50890422961891</v>
      </c>
      <c r="F112" s="65">
        <v>379.30105315649905</v>
      </c>
      <c r="G112" s="65">
        <v>390.89814306965133</v>
      </c>
      <c r="H112" s="65">
        <v>410.91385254641801</v>
      </c>
      <c r="I112" s="65">
        <v>413.70899176726823</v>
      </c>
      <c r="J112" s="91">
        <v>663.35709408499349</v>
      </c>
      <c r="K112" s="65">
        <v>437.32852660626969</v>
      </c>
      <c r="L112" s="65">
        <v>373.17233891405198</v>
      </c>
      <c r="M112" s="65">
        <v>394.71661686681392</v>
      </c>
      <c r="N112" s="65">
        <v>595.98625770862611</v>
      </c>
      <c r="O112" s="65">
        <v>603.64078888479889</v>
      </c>
      <c r="P112" s="67">
        <v>628.47035153436047</v>
      </c>
      <c r="Q112" s="83">
        <f t="shared" ref="Q112:AH112" si="139">Q99*Q106</f>
        <v>564.65644530317206</v>
      </c>
      <c r="R112" s="83">
        <f t="shared" si="139"/>
        <v>411.29719344727386</v>
      </c>
      <c r="S112" s="83">
        <f t="shared" si="139"/>
        <v>406.33133643707646</v>
      </c>
      <c r="T112" s="83">
        <f t="shared" si="139"/>
        <v>424.91629301857392</v>
      </c>
      <c r="U112" s="83">
        <f t="shared" si="139"/>
        <v>430.09004599072688</v>
      </c>
      <c r="V112" s="83">
        <f t="shared" si="139"/>
        <v>667.73566023969579</v>
      </c>
      <c r="W112" s="83">
        <f t="shared" si="139"/>
        <v>456.55337897607859</v>
      </c>
      <c r="X112" s="83">
        <f t="shared" si="139"/>
        <v>393.22316373853022</v>
      </c>
      <c r="Y112" s="83">
        <f t="shared" si="139"/>
        <v>411.24291387381072</v>
      </c>
      <c r="Z112" s="83">
        <f t="shared" si="139"/>
        <v>643.97008597424031</v>
      </c>
      <c r="AA112" s="83">
        <f t="shared" si="139"/>
        <v>604.76483390884709</v>
      </c>
      <c r="AB112" s="83">
        <f t="shared" si="139"/>
        <v>663.73245638528749</v>
      </c>
      <c r="AC112" s="83">
        <f t="shared" si="139"/>
        <v>590.70112631304471</v>
      </c>
      <c r="AD112" s="83">
        <f t="shared" si="139"/>
        <v>430.36293617086932</v>
      </c>
      <c r="AE112" s="83">
        <f t="shared" si="139"/>
        <v>425.19132035586466</v>
      </c>
      <c r="AF112" s="83">
        <f t="shared" si="139"/>
        <v>444.7081045533526</v>
      </c>
      <c r="AG112" s="83">
        <f t="shared" si="139"/>
        <v>450.14716351054057</v>
      </c>
      <c r="AH112" s="83">
        <f t="shared" si="139"/>
        <v>698.77377186933325</v>
      </c>
      <c r="AJ112" s="83" cm="1">
        <f t="array" aca="1" ref="AJ112" ca="1">SUMPRODUCT(($E112:$AH112)*(AJ$3&amp;AJ$4&amp;AJ$5&amp;AJ$6=$E$3:$AH$3&amp;$E$4:$AH$4&amp;$E$5:$AH$5&amp;$E$6:$AH$6))</f>
        <v>1297.7081004557692</v>
      </c>
      <c r="AK112" s="83" cm="1">
        <f t="array" aca="1" ref="AK112" ca="1">SUMPRODUCT(($E112:$AH112)*(AK$3=$E$3:$AH$3)*(AK$4=$E$4:$AH$4)*(AK$5=$E$5:$AH$5)*(AK$6=$E$6:$AH$6))</f>
        <v>1487.9799383986797</v>
      </c>
      <c r="AL112" s="83" cm="1">
        <f t="array" aca="1" ref="AL112" ca="1">SUMPRODUCT(($E112:$AH112)*(AL$3=$E$3:$AH$3)*(AL$4=$E$4:$AH$4)*(AL$5=$E$5:$AH$5)*(AL$6=$E$6:$AH$6))</f>
        <v>1205.2174823871355</v>
      </c>
      <c r="AM112" s="158" cm="1">
        <f t="array" aca="1" ref="AM112" ca="1">SUMPRODUCT(($E112:$AH112)*(AM$3=$E$3:$AH$3)*(AM$4=$E$4:$AH$4)*(AM$5=$E$5:$AH$5)*(AM$6=$E$6:$AH$6))</f>
        <v>1828.0973981277853</v>
      </c>
      <c r="AN112" s="83" cm="1">
        <f t="array" aca="1" ref="AN112" ca="1">SUMPRODUCT(($E112:$AH112)*(AN$3=$E$3:$AH$3)*(AN$4=$E$4:$AH$4)*(AN$5=$E$5:$AH$5)*(AN$6=$E$6:$AH$6))</f>
        <v>1382.2849751875224</v>
      </c>
      <c r="AO112" s="83" cm="1">
        <f t="array" aca="1" ref="AO112" ca="1">SUMPRODUCT(($E112:$AH112)*(AO$3=$E$3:$AH$3)*(AO$4=$E$4:$AH$4)*(AO$5=$E$5:$AH$5)*(AO$6=$E$6:$AH$6))</f>
        <v>1522.7419992489965</v>
      </c>
      <c r="AP112" s="83" cm="1">
        <f t="array" aca="1" ref="AP112" ca="1">SUMPRODUCT(($E112:$AH112)*(AP$3=$E$3:$AH$3)*(AP$4=$E$4:$AH$4)*(AP$5=$E$5:$AH$5)*(AP$6=$E$6:$AH$6))</f>
        <v>1261.0194565884194</v>
      </c>
      <c r="AQ112" s="83" cm="1">
        <f t="array" aca="1" ref="AQ112" ca="1">SUMPRODUCT(($E112:$AH112)*(AQ$3=$E$3:$AH$3)*(AQ$4=$E$4:$AH$4)*(AQ$5=$E$5:$AH$5)*(AQ$6=$E$6:$AH$6))</f>
        <v>1912.4673762683751</v>
      </c>
      <c r="AR112" s="83" cm="1">
        <f t="array" aca="1" ref="AR112" ca="1">SUMPRODUCT(($E112:$AH112)*(AR$3=$E$3:$AH$3)*(AR$4=$E$4:$AH$4)*(AR$5=$E$5:$AH$5)*(AR$6=$E$6:$AH$6))</f>
        <v>1446.2553828397788</v>
      </c>
      <c r="AS112" s="83" cm="1">
        <f t="array" aca="1" ref="AS112" ca="1">SUMPRODUCT(($E112:$AH112)*(AS$3=$E$3:$AH$3)*(AS$4=$E$4:$AH$4)*(AS$5=$E$5:$AH$5)*(AS$6=$E$6:$AH$6))</f>
        <v>1593.6290399332265</v>
      </c>
      <c r="AT112" s="83"/>
      <c r="AU112" s="83" cm="1">
        <f t="array" aca="1" ref="AU112" ca="1">SUMPRODUCT(($E112:$AH112)*(AU$5=$E$5:$AH$5))</f>
        <v>2785.6880388544491</v>
      </c>
      <c r="AV112" s="83" cm="1">
        <f t="array" aca="1" ref="AV112" ca="1">SUMPRODUCT(($E112:$AH112)*(AV$5=$E$5:$AH$5))</f>
        <v>5938.3418549514399</v>
      </c>
      <c r="AW112" s="83" cm="1">
        <f t="array" aca="1" ref="AW112" ca="1">SUMPRODUCT(($E112:$AH112)*(AW$5=$E$5:$AH$5))</f>
        <v>6213.3712556297987</v>
      </c>
    </row>
    <row r="113" spans="1:49" outlineLevel="1" x14ac:dyDescent="0.25">
      <c r="C113" s="1" t="s">
        <v>3</v>
      </c>
      <c r="E113" s="65">
        <v>294.36954445743783</v>
      </c>
      <c r="F113" s="65">
        <v>227.2343908897204</v>
      </c>
      <c r="G113" s="65">
        <v>212.88001164241982</v>
      </c>
      <c r="H113" s="65">
        <v>236.12171792905923</v>
      </c>
      <c r="I113" s="65">
        <v>264.79243388910254</v>
      </c>
      <c r="J113" s="91">
        <v>318.19731307875105</v>
      </c>
      <c r="K113" s="65">
        <v>266.11520358221486</v>
      </c>
      <c r="L113" s="65">
        <v>230.11683996994111</v>
      </c>
      <c r="M113" s="65">
        <v>249.61969453859246</v>
      </c>
      <c r="N113" s="65">
        <v>313.00518692325039</v>
      </c>
      <c r="O113" s="65">
        <v>314.66972015002392</v>
      </c>
      <c r="P113" s="67">
        <v>339.60857344205402</v>
      </c>
      <c r="Q113" s="83">
        <f t="shared" ref="Q113:AH113" si="140">Q100*Q107</f>
        <v>312.18915202199798</v>
      </c>
      <c r="R113" s="83">
        <f t="shared" si="140"/>
        <v>248.95014141908544</v>
      </c>
      <c r="S113" s="83">
        <f t="shared" si="140"/>
        <v>222.56774250056887</v>
      </c>
      <c r="T113" s="83">
        <f t="shared" si="140"/>
        <v>244.13342038752592</v>
      </c>
      <c r="U113" s="83">
        <f t="shared" si="140"/>
        <v>290.13927115348713</v>
      </c>
      <c r="V113" s="83">
        <f t="shared" si="140"/>
        <v>316.96644246822842</v>
      </c>
      <c r="W113" s="83">
        <f t="shared" si="140"/>
        <v>285.33218715508337</v>
      </c>
      <c r="X113" s="83">
        <f t="shared" si="140"/>
        <v>240.71748567434619</v>
      </c>
      <c r="Y113" s="83">
        <f t="shared" si="140"/>
        <v>250.03195893849954</v>
      </c>
      <c r="Z113" s="83">
        <f t="shared" si="140"/>
        <v>327.33340311283666</v>
      </c>
      <c r="AA113" s="83">
        <f t="shared" si="140"/>
        <v>336.13411964646139</v>
      </c>
      <c r="AB113" s="83">
        <f t="shared" si="140"/>
        <v>352.74922107235341</v>
      </c>
      <c r="AC113" s="83">
        <f t="shared" si="140"/>
        <v>326.58882273644451</v>
      </c>
      <c r="AD113" s="83">
        <f t="shared" si="140"/>
        <v>260.49026234117832</v>
      </c>
      <c r="AE113" s="83">
        <f t="shared" si="140"/>
        <v>232.89828722598594</v>
      </c>
      <c r="AF113" s="83">
        <f t="shared" si="140"/>
        <v>255.50470156699237</v>
      </c>
      <c r="AG113" s="83">
        <f t="shared" si="140"/>
        <v>303.66982716817813</v>
      </c>
      <c r="AH113" s="83">
        <f t="shared" si="140"/>
        <v>331.69987728380556</v>
      </c>
      <c r="AJ113" s="83" cm="1">
        <f t="array" aca="1" ref="AJ113" ca="1">SUMPRODUCT(($E113:$AH113)*(AJ$3&amp;AJ$4&amp;AJ$5&amp;AJ$6=$E$3:$AH$3&amp;$E$4:$AH$4&amp;$E$5:$AH$5&amp;$E$6:$AH$6))</f>
        <v>734.48394698957804</v>
      </c>
      <c r="AK113" s="83" cm="1">
        <f t="array" aca="1" ref="AK113" ca="1">SUMPRODUCT(($E113:$AH113)*(AK$3=$E$3:$AH$3)*(AK$4=$E$4:$AH$4)*(AK$5=$E$5:$AH$5)*(AK$6=$E$6:$AH$6))</f>
        <v>819.11146489691282</v>
      </c>
      <c r="AL113" s="83" cm="1">
        <f t="array" aca="1" ref="AL113" ca="1">SUMPRODUCT(($E113:$AH113)*(AL$3=$E$3:$AH$3)*(AL$4=$E$4:$AH$4)*(AL$5=$E$5:$AH$5)*(AL$6=$E$6:$AH$6))</f>
        <v>745.85173809074843</v>
      </c>
      <c r="AM113" s="158" cm="1">
        <f t="array" aca="1" ref="AM113" ca="1">SUMPRODUCT(($E113:$AH113)*(AM$3=$E$3:$AH$3)*(AM$4=$E$4:$AH$4)*(AM$5=$E$5:$AH$5)*(AM$6=$E$6:$AH$6))</f>
        <v>967.28348051532839</v>
      </c>
      <c r="AN113" s="83" cm="1">
        <f t="array" aca="1" ref="AN113" ca="1">SUMPRODUCT(($E113:$AH113)*(AN$3=$E$3:$AH$3)*(AN$4=$E$4:$AH$4)*(AN$5=$E$5:$AH$5)*(AN$6=$E$6:$AH$6))</f>
        <v>783.70703594165229</v>
      </c>
      <c r="AO113" s="83" cm="1">
        <f t="array" aca="1" ref="AO113" ca="1">SUMPRODUCT(($E113:$AH113)*(AO$3=$E$3:$AH$3)*(AO$4=$E$4:$AH$4)*(AO$5=$E$5:$AH$5)*(AO$6=$E$6:$AH$6))</f>
        <v>851.23913400924152</v>
      </c>
      <c r="AP113" s="83" cm="1">
        <f t="array" aca="1" ref="AP113" ca="1">SUMPRODUCT(($E113:$AH113)*(AP$3=$E$3:$AH$3)*(AP$4=$E$4:$AH$4)*(AP$5=$E$5:$AH$5)*(AP$6=$E$6:$AH$6))</f>
        <v>776.08163176792914</v>
      </c>
      <c r="AQ113" s="83" cm="1">
        <f t="array" aca="1" ref="AQ113" ca="1">SUMPRODUCT(($E113:$AH113)*(AQ$3=$E$3:$AH$3)*(AQ$4=$E$4:$AH$4)*(AQ$5=$E$5:$AH$5)*(AQ$6=$E$6:$AH$6))</f>
        <v>1016.2167438316515</v>
      </c>
      <c r="AR113" s="83" cm="1">
        <f t="array" aca="1" ref="AR113" ca="1">SUMPRODUCT(($E113:$AH113)*(AR$3=$E$3:$AH$3)*(AR$4=$E$4:$AH$4)*(AR$5=$E$5:$AH$5)*(AR$6=$E$6:$AH$6))</f>
        <v>819.97737230360872</v>
      </c>
      <c r="AS113" s="83" cm="1">
        <f t="array" aca="1" ref="AS113" ca="1">SUMPRODUCT(($E113:$AH113)*(AS$3=$E$3:$AH$3)*(AS$4=$E$4:$AH$4)*(AS$5=$E$5:$AH$5)*(AS$6=$E$6:$AH$6))</f>
        <v>890.87440601897606</v>
      </c>
      <c r="AT113" s="83"/>
      <c r="AU113" s="83" cm="1">
        <f t="array" aca="1" ref="AU113" ca="1">SUMPRODUCT(($E113:$AH113)*(AU$5=$E$5:$AH$5))</f>
        <v>1553.5954118864909</v>
      </c>
      <c r="AV113" s="83" cm="1">
        <f t="array" aca="1" ref="AV113" ca="1">SUMPRODUCT(($E113:$AH113)*(AV$5=$E$5:$AH$5))</f>
        <v>3348.0813885569701</v>
      </c>
      <c r="AW113" s="83" cm="1">
        <f t="array" aca="1" ref="AW113" ca="1">SUMPRODUCT(($E113:$AH113)*(AW$5=$E$5:$AH$5))</f>
        <v>3503.1501539221649</v>
      </c>
    </row>
    <row r="114" spans="1:49" outlineLevel="1" x14ac:dyDescent="0.25">
      <c r="C114" s="23" t="s">
        <v>4</v>
      </c>
      <c r="D114" s="27"/>
      <c r="E114" s="68">
        <v>59.460392518849993</v>
      </c>
      <c r="F114" s="68">
        <v>66.802574429821618</v>
      </c>
      <c r="G114" s="68">
        <v>81.45240976778463</v>
      </c>
      <c r="H114" s="68">
        <v>59.957736804239026</v>
      </c>
      <c r="I114" s="68">
        <v>52.608312372633691</v>
      </c>
      <c r="J114" s="68">
        <v>68.168473883173377</v>
      </c>
      <c r="K114" s="68">
        <v>81.564772871577333</v>
      </c>
      <c r="L114" s="68">
        <v>78.899595791337902</v>
      </c>
      <c r="M114" s="68">
        <v>62.499694378206499</v>
      </c>
      <c r="N114" s="68">
        <v>95.41855749264586</v>
      </c>
      <c r="O114" s="68">
        <v>84.406246624552253</v>
      </c>
      <c r="P114" s="69">
        <v>93.574691092192339</v>
      </c>
      <c r="Q114" s="125">
        <f t="shared" ref="Q114:AH114" si="141">Q101*Q108</f>
        <v>55.696002206426911</v>
      </c>
      <c r="R114" s="125">
        <f t="shared" si="141"/>
        <v>67.959826126290835</v>
      </c>
      <c r="S114" s="125">
        <f t="shared" si="141"/>
        <v>88.678979621988802</v>
      </c>
      <c r="T114" s="125">
        <f t="shared" si="141"/>
        <v>67.24566467340162</v>
      </c>
      <c r="U114" s="125">
        <f t="shared" si="141"/>
        <v>55.174566267553367</v>
      </c>
      <c r="V114" s="125">
        <f t="shared" si="141"/>
        <v>64.723389077560256</v>
      </c>
      <c r="W114" s="125">
        <f t="shared" si="141"/>
        <v>90.256864434212986</v>
      </c>
      <c r="X114" s="125">
        <f t="shared" si="141"/>
        <v>76.367482605815141</v>
      </c>
      <c r="Y114" s="125">
        <f t="shared" si="141"/>
        <v>60.804249665677403</v>
      </c>
      <c r="Z114" s="125">
        <f t="shared" si="141"/>
        <v>107.26639268095136</v>
      </c>
      <c r="AA114" s="125">
        <f t="shared" si="141"/>
        <v>80.474664450670119</v>
      </c>
      <c r="AB114" s="125">
        <f t="shared" si="141"/>
        <v>104.13414727600639</v>
      </c>
      <c r="AC114" s="125">
        <f t="shared" si="141"/>
        <v>58.264970688160474</v>
      </c>
      <c r="AD114" s="125">
        <f t="shared" si="141"/>
        <v>71.110113998678784</v>
      </c>
      <c r="AE114" s="125">
        <f t="shared" si="141"/>
        <v>92.795039545573488</v>
      </c>
      <c r="AF114" s="125">
        <f t="shared" si="141"/>
        <v>70.37784280733986</v>
      </c>
      <c r="AG114" s="125">
        <f t="shared" si="141"/>
        <v>57.747615260547072</v>
      </c>
      <c r="AH114" s="125">
        <f t="shared" si="141"/>
        <v>67.73190261795834</v>
      </c>
      <c r="AJ114" s="83" cm="1">
        <f t="array" aca="1" ref="AJ114" ca="1">SUMPRODUCT(($E114:$AH114)*(AJ$3&amp;AJ$4&amp;AJ$5&amp;AJ$6=$E$3:$AH$3&amp;$E$4:$AH$4&amp;$E$5:$AH$5&amp;$E$6:$AH$6))</f>
        <v>207.71537671645626</v>
      </c>
      <c r="AK114" s="83" cm="1">
        <f t="array" aca="1" ref="AK114" ca="1">SUMPRODUCT(($E114:$AH114)*(AK$3=$E$3:$AH$3)*(AK$4=$E$4:$AH$4)*(AK$5=$E$5:$AH$5)*(AK$6=$E$6:$AH$6))</f>
        <v>180.73452306004612</v>
      </c>
      <c r="AL114" s="83" cm="1">
        <f t="array" aca="1" ref="AL114" ca="1">SUMPRODUCT(($E114:$AH114)*(AL$3=$E$3:$AH$3)*(AL$4=$E$4:$AH$4)*(AL$5=$E$5:$AH$5)*(AL$6=$E$6:$AH$6))</f>
        <v>222.96406304112173</v>
      </c>
      <c r="AM114" s="158" cm="1">
        <f t="array" aca="1" ref="AM114" ca="1">SUMPRODUCT(($E114:$AH114)*(AM$3=$E$3:$AH$3)*(AM$4=$E$4:$AH$4)*(AM$5=$E$5:$AH$5)*(AM$6=$E$6:$AH$6))</f>
        <v>273.39949520939047</v>
      </c>
      <c r="AN114" s="83" cm="1">
        <f t="array" aca="1" ref="AN114" ca="1">SUMPRODUCT(($E114:$AH114)*(AN$3=$E$3:$AH$3)*(AN$4=$E$4:$AH$4)*(AN$5=$E$5:$AH$5)*(AN$6=$E$6:$AH$6))</f>
        <v>212.33480795470655</v>
      </c>
      <c r="AO114" s="83" cm="1">
        <f t="array" aca="1" ref="AO114" ca="1">SUMPRODUCT(($E114:$AH114)*(AO$3=$E$3:$AH$3)*(AO$4=$E$4:$AH$4)*(AO$5=$E$5:$AH$5)*(AO$6=$E$6:$AH$6))</f>
        <v>187.14362001851524</v>
      </c>
      <c r="AP114" s="83" cm="1">
        <f t="array" aca="1" ref="AP114" ca="1">SUMPRODUCT(($E114:$AH114)*(AP$3=$E$3:$AH$3)*(AP$4=$E$4:$AH$4)*(AP$5=$E$5:$AH$5)*(AP$6=$E$6:$AH$6))</f>
        <v>227.4285967057055</v>
      </c>
      <c r="AQ114" s="83" cm="1">
        <f t="array" aca="1" ref="AQ114" ca="1">SUMPRODUCT(($E114:$AH114)*(AQ$3=$E$3:$AH$3)*(AQ$4=$E$4:$AH$4)*(AQ$5=$E$5:$AH$5)*(AQ$6=$E$6:$AH$6))</f>
        <v>291.87520440762785</v>
      </c>
      <c r="AR114" s="83" cm="1">
        <f t="array" aca="1" ref="AR114" ca="1">SUMPRODUCT(($E114:$AH114)*(AR$3=$E$3:$AH$3)*(AR$4=$E$4:$AH$4)*(AR$5=$E$5:$AH$5)*(AR$6=$E$6:$AH$6))</f>
        <v>222.17012423241277</v>
      </c>
      <c r="AS114" s="83" cm="1">
        <f t="array" aca="1" ref="AS114" ca="1">SUMPRODUCT(($E114:$AH114)*(AS$3=$E$3:$AH$3)*(AS$4=$E$4:$AH$4)*(AS$5=$E$5:$AH$5)*(AS$6=$E$6:$AH$6))</f>
        <v>195.85736068584526</v>
      </c>
      <c r="AT114" s="83"/>
      <c r="AU114" s="83" cm="1">
        <f t="array" aca="1" ref="AU114" ca="1">SUMPRODUCT(($E114:$AH114)*(AU$5=$E$5:$AH$5))</f>
        <v>388.44989977650232</v>
      </c>
      <c r="AV114" s="83" cm="1">
        <f t="array" aca="1" ref="AV114" ca="1">SUMPRODUCT(($E114:$AH114)*(AV$5=$E$5:$AH$5))</f>
        <v>895.8419862237339</v>
      </c>
      <c r="AW114" s="83" cm="1">
        <f t="array" aca="1" ref="AW114" ca="1">SUMPRODUCT(($E114:$AH114)*(AW$5=$E$5:$AH$5))</f>
        <v>937.33128603159128</v>
      </c>
    </row>
    <row r="115" spans="1:49" outlineLevel="1" x14ac:dyDescent="0.25">
      <c r="B115" t="s">
        <v>231</v>
      </c>
      <c r="C115" s="25" t="s">
        <v>230</v>
      </c>
      <c r="E115" s="123">
        <f t="shared" ref="E115:AH115" si="142">SUM(E111:E114)</f>
        <v>1007.8357849513947</v>
      </c>
      <c r="F115" s="123">
        <f t="shared" si="142"/>
        <v>799.57988519055766</v>
      </c>
      <c r="G115" s="123">
        <f t="shared" si="142"/>
        <v>784.41494903916623</v>
      </c>
      <c r="H115" s="123">
        <f t="shared" si="142"/>
        <v>800.60772279655168</v>
      </c>
      <c r="I115" s="123">
        <f t="shared" si="142"/>
        <v>804.59427541430205</v>
      </c>
      <c r="J115" s="123">
        <f t="shared" si="142"/>
        <v>1126.4270038369584</v>
      </c>
      <c r="K115" s="123">
        <f t="shared" si="142"/>
        <v>930.73682355520191</v>
      </c>
      <c r="L115" s="123">
        <f t="shared" si="142"/>
        <v>815.1982442183604</v>
      </c>
      <c r="M115" s="123">
        <f t="shared" si="142"/>
        <v>822.92620575989406</v>
      </c>
      <c r="N115" s="123">
        <f t="shared" si="142"/>
        <v>1126.5832597190974</v>
      </c>
      <c r="O115" s="123">
        <f t="shared" si="142"/>
        <v>1106.8176302775073</v>
      </c>
      <c r="P115" s="124">
        <f t="shared" si="142"/>
        <v>1167.5507468405046</v>
      </c>
      <c r="Q115" s="123">
        <f t="shared" si="142"/>
        <v>1063.7075255793054</v>
      </c>
      <c r="R115" s="123">
        <f t="shared" si="142"/>
        <v>860.99238588543187</v>
      </c>
      <c r="S115" s="123">
        <f t="shared" si="142"/>
        <v>823.82441620776672</v>
      </c>
      <c r="T115" s="123">
        <f t="shared" si="142"/>
        <v>835.67656871750023</v>
      </c>
      <c r="U115" s="123">
        <f t="shared" si="142"/>
        <v>852.64124820107895</v>
      </c>
      <c r="V115" s="123">
        <f t="shared" si="142"/>
        <v>1129.3945448352913</v>
      </c>
      <c r="W115" s="123">
        <f t="shared" si="142"/>
        <v>987.64439878063558</v>
      </c>
      <c r="X115" s="123">
        <f t="shared" si="142"/>
        <v>849.23298711371706</v>
      </c>
      <c r="Y115" s="123">
        <f t="shared" si="142"/>
        <v>842.27972954855704</v>
      </c>
      <c r="Z115" s="123">
        <f t="shared" si="142"/>
        <v>1206.2594170993993</v>
      </c>
      <c r="AA115" s="123">
        <f t="shared" si="142"/>
        <v>1129.1156880323445</v>
      </c>
      <c r="AB115" s="123">
        <f t="shared" si="142"/>
        <v>1231.1532282915791</v>
      </c>
      <c r="AC115" s="123">
        <f t="shared" si="142"/>
        <v>1112.7708514688013</v>
      </c>
      <c r="AD115" s="123">
        <f t="shared" si="142"/>
        <v>900.90381630070078</v>
      </c>
      <c r="AE115" s="123">
        <f t="shared" si="142"/>
        <v>862.06245951947085</v>
      </c>
      <c r="AF115" s="123">
        <f t="shared" si="142"/>
        <v>874.60083079884203</v>
      </c>
      <c r="AG115" s="123">
        <f t="shared" si="142"/>
        <v>892.403911570829</v>
      </c>
      <c r="AH115" s="123">
        <f t="shared" si="142"/>
        <v>1181.8917769644215</v>
      </c>
      <c r="AJ115" s="322">
        <f ca="1">SUM(AJ111:AJ114)</f>
        <v>2591.8306191811184</v>
      </c>
      <c r="AK115" s="322">
        <f t="shared" ref="AK115:AS115" ca="1" si="143">SUM(AK111:AK114)</f>
        <v>2731.6290020478123</v>
      </c>
      <c r="AL115" s="322">
        <f t="shared" ca="1" si="143"/>
        <v>2568.8612735334564</v>
      </c>
      <c r="AM115" s="329">
        <f t="shared" ca="1" si="143"/>
        <v>3400.9516368371087</v>
      </c>
      <c r="AN115" s="322">
        <f t="shared" ca="1" si="143"/>
        <v>2748.5243276725041</v>
      </c>
      <c r="AO115" s="322">
        <f t="shared" ca="1" si="143"/>
        <v>2817.71236175387</v>
      </c>
      <c r="AP115" s="322">
        <f t="shared" ca="1" si="143"/>
        <v>2679.1571154429093</v>
      </c>
      <c r="AQ115" s="322">
        <f t="shared" ca="1" si="143"/>
        <v>3566.5283334233231</v>
      </c>
      <c r="AR115" s="322">
        <f t="shared" ca="1" si="143"/>
        <v>2875.7371272889732</v>
      </c>
      <c r="AS115" s="322">
        <f t="shared" ca="1" si="143"/>
        <v>2948.8965193340928</v>
      </c>
      <c r="AU115" s="322">
        <f t="shared" ref="AU115:AW115" ca="1" si="144">SUM(AU111:AU114)</f>
        <v>5323.4596212289307</v>
      </c>
      <c r="AV115" s="322">
        <f t="shared" ca="1" si="144"/>
        <v>11536.049599796939</v>
      </c>
      <c r="AW115" s="322">
        <f t="shared" ca="1" si="144"/>
        <v>12070.319095489296</v>
      </c>
    </row>
    <row r="116" spans="1:49" x14ac:dyDescent="0.25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49" ht="18.75" x14ac:dyDescent="0.3">
      <c r="A117" t="s">
        <v>231</v>
      </c>
      <c r="C117" s="182" t="s">
        <v>467</v>
      </c>
      <c r="D117" s="179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  <c r="AG117" s="180"/>
      <c r="AH117" s="180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</row>
    <row r="118" spans="1:49" x14ac:dyDescent="0.25">
      <c r="C118" s="11"/>
      <c r="D118" s="11"/>
    </row>
    <row r="119" spans="1:49" x14ac:dyDescent="0.25">
      <c r="C119" s="30" t="s">
        <v>234</v>
      </c>
      <c r="D119" s="225"/>
      <c r="E119" s="45" t="str">
        <f t="shared" ref="E119:AH119" si="145">E$9</f>
        <v>Jul-20A</v>
      </c>
      <c r="F119" s="45" t="str">
        <f t="shared" si="145"/>
        <v>Aug-20A</v>
      </c>
      <c r="G119" s="45" t="str">
        <f t="shared" si="145"/>
        <v>Sep-20A</v>
      </c>
      <c r="H119" s="45" t="str">
        <f t="shared" si="145"/>
        <v>Oct-20A</v>
      </c>
      <c r="I119" s="45" t="str">
        <f t="shared" si="145"/>
        <v>Nov-20A</v>
      </c>
      <c r="J119" s="45" t="str">
        <f t="shared" si="145"/>
        <v>Dec-20A</v>
      </c>
      <c r="K119" s="45" t="str">
        <f t="shared" si="145"/>
        <v>Jan-21A</v>
      </c>
      <c r="L119" s="45" t="str">
        <f t="shared" si="145"/>
        <v>Feb-21A</v>
      </c>
      <c r="M119" s="45" t="str">
        <f t="shared" si="145"/>
        <v>Mar-21A</v>
      </c>
      <c r="N119" s="45" t="str">
        <f t="shared" si="145"/>
        <v>Apr-21A</v>
      </c>
      <c r="O119" s="45" t="str">
        <f t="shared" si="145"/>
        <v>May-21A</v>
      </c>
      <c r="P119" s="46" t="str">
        <f t="shared" si="145"/>
        <v>Jun-21A</v>
      </c>
      <c r="Q119" s="45" t="str">
        <f t="shared" si="145"/>
        <v>Jul-21F</v>
      </c>
      <c r="R119" s="45" t="str">
        <f t="shared" si="145"/>
        <v>Aug-21F</v>
      </c>
      <c r="S119" s="45" t="str">
        <f t="shared" si="145"/>
        <v>Sep-21F</v>
      </c>
      <c r="T119" s="45" t="str">
        <f t="shared" si="145"/>
        <v>Oct-21F</v>
      </c>
      <c r="U119" s="45" t="str">
        <f t="shared" si="145"/>
        <v>Nov-21F</v>
      </c>
      <c r="V119" s="45" t="str">
        <f t="shared" si="145"/>
        <v>Dec-21F</v>
      </c>
      <c r="W119" s="45" t="str">
        <f t="shared" si="145"/>
        <v>Jan-22F</v>
      </c>
      <c r="X119" s="45" t="str">
        <f t="shared" si="145"/>
        <v>Feb-22F</v>
      </c>
      <c r="Y119" s="45" t="str">
        <f t="shared" si="145"/>
        <v>Mar-22F</v>
      </c>
      <c r="Z119" s="45" t="str">
        <f t="shared" si="145"/>
        <v>Apr-22F</v>
      </c>
      <c r="AA119" s="45" t="str">
        <f t="shared" si="145"/>
        <v>May-22F</v>
      </c>
      <c r="AB119" s="45" t="str">
        <f t="shared" si="145"/>
        <v>Jun-22F</v>
      </c>
      <c r="AC119" s="45" t="str">
        <f t="shared" si="145"/>
        <v>Jul-22F</v>
      </c>
      <c r="AD119" s="45" t="str">
        <f t="shared" si="145"/>
        <v>Aug-22F</v>
      </c>
      <c r="AE119" s="45" t="str">
        <f t="shared" si="145"/>
        <v>Sep-22F</v>
      </c>
      <c r="AF119" s="45" t="str">
        <f t="shared" si="145"/>
        <v>Oct-22F</v>
      </c>
      <c r="AG119" s="45" t="str">
        <f t="shared" si="145"/>
        <v>Nov-22F</v>
      </c>
      <c r="AH119" s="45" t="str">
        <f t="shared" si="145"/>
        <v>Dec-22F</v>
      </c>
      <c r="AJ119" s="45" t="str">
        <f ca="1">AJ$10</f>
        <v>Q3'20A</v>
      </c>
      <c r="AK119" s="45" t="str">
        <f t="shared" ref="AK119:AW119" ca="1" si="146">AK$10</f>
        <v>Q4'20A</v>
      </c>
      <c r="AL119" s="45" t="str">
        <f t="shared" ca="1" si="146"/>
        <v>Q1'21A</v>
      </c>
      <c r="AM119" s="46" t="str">
        <f t="shared" ca="1" si="146"/>
        <v>Q2'21A</v>
      </c>
      <c r="AN119" s="45" t="str">
        <f t="shared" ca="1" si="146"/>
        <v>Q3'21F</v>
      </c>
      <c r="AO119" s="45" t="str">
        <f t="shared" ca="1" si="146"/>
        <v>Q4'21F</v>
      </c>
      <c r="AP119" s="45" t="str">
        <f t="shared" ca="1" si="146"/>
        <v>Q1'22F</v>
      </c>
      <c r="AQ119" s="45" t="str">
        <f t="shared" ca="1" si="146"/>
        <v>Q2'22F</v>
      </c>
      <c r="AR119" s="45" t="str">
        <f t="shared" ca="1" si="146"/>
        <v>Q3'22F</v>
      </c>
      <c r="AS119" s="45" t="str">
        <f t="shared" ca="1" si="146"/>
        <v>Q4'22F</v>
      </c>
      <c r="AU119" s="45" t="str">
        <f t="shared" ca="1" si="146"/>
        <v>FY20</v>
      </c>
      <c r="AV119" s="45" t="str">
        <f t="shared" ca="1" si="146"/>
        <v>FY21</v>
      </c>
      <c r="AW119" s="45" t="str">
        <f t="shared" ca="1" si="146"/>
        <v>FY22</v>
      </c>
    </row>
    <row r="120" spans="1:49" x14ac:dyDescent="0.25">
      <c r="C120" s="1" t="s">
        <v>235</v>
      </c>
      <c r="D120" s="1"/>
      <c r="E120" s="81">
        <f>E74</f>
        <v>13229.986252583943</v>
      </c>
      <c r="F120" s="81">
        <f t="shared" ref="F120:AH120" si="147">F74</f>
        <v>12155.137975768968</v>
      </c>
      <c r="G120" s="81">
        <f t="shared" si="147"/>
        <v>11215.518095080715</v>
      </c>
      <c r="H120" s="81">
        <f t="shared" si="147"/>
        <v>12055.912648098603</v>
      </c>
      <c r="I120" s="81">
        <f t="shared" si="147"/>
        <v>12771.417784638597</v>
      </c>
      <c r="J120" s="81">
        <f t="shared" si="147"/>
        <v>15335.776349797216</v>
      </c>
      <c r="K120" s="81">
        <f t="shared" si="147"/>
        <v>13396.401234956731</v>
      </c>
      <c r="L120" s="81">
        <f t="shared" si="147"/>
        <v>11409.46449128588</v>
      </c>
      <c r="M120" s="81">
        <f t="shared" si="147"/>
        <v>10563.723439140471</v>
      </c>
      <c r="N120" s="81">
        <f t="shared" si="147"/>
        <v>15796.560578220005</v>
      </c>
      <c r="O120" s="81">
        <f t="shared" si="147"/>
        <v>15446.544201363984</v>
      </c>
      <c r="P120" s="82">
        <f t="shared" si="147"/>
        <v>16444.996593975909</v>
      </c>
      <c r="Q120" s="80">
        <f t="shared" si="147"/>
        <v>13838.076173010801</v>
      </c>
      <c r="R120" s="80">
        <f t="shared" si="147"/>
        <v>12716.597201007242</v>
      </c>
      <c r="S120" s="80">
        <f t="shared" si="147"/>
        <v>11734.214910814795</v>
      </c>
      <c r="T120" s="80">
        <f t="shared" si="147"/>
        <v>12615.484393973746</v>
      </c>
      <c r="U120" s="80">
        <f t="shared" si="147"/>
        <v>13364.915815452128</v>
      </c>
      <c r="V120" s="80">
        <f t="shared" si="147"/>
        <v>16046.094636523498</v>
      </c>
      <c r="W120" s="80">
        <f t="shared" si="147"/>
        <v>14016.098881134918</v>
      </c>
      <c r="X120" s="80">
        <f t="shared" si="147"/>
        <v>11936.631230159985</v>
      </c>
      <c r="Y120" s="80">
        <f t="shared" si="147"/>
        <v>11051.431968434925</v>
      </c>
      <c r="Z120" s="80">
        <f t="shared" si="147"/>
        <v>16527.837695958173</v>
      </c>
      <c r="AA120" s="80">
        <f t="shared" si="147"/>
        <v>16158.685649657577</v>
      </c>
      <c r="AB120" s="80">
        <f t="shared" si="147"/>
        <v>17205.178973890732</v>
      </c>
      <c r="AC120" s="80">
        <f t="shared" si="147"/>
        <v>14476.355046322657</v>
      </c>
      <c r="AD120" s="80">
        <f t="shared" si="147"/>
        <v>13306.076960209828</v>
      </c>
      <c r="AE120" s="80">
        <f t="shared" si="147"/>
        <v>12278.861815132113</v>
      </c>
      <c r="AF120" s="80">
        <f t="shared" si="147"/>
        <v>13203.09022045721</v>
      </c>
      <c r="AG120" s="80">
        <f t="shared" si="147"/>
        <v>13988.184569639288</v>
      </c>
      <c r="AH120" s="80">
        <f t="shared" si="147"/>
        <v>16791.959364444967</v>
      </c>
      <c r="AJ120" s="83" cm="1">
        <f t="array" aca="1" ref="AJ120" ca="1">SUMPRODUCT(($E120:$AH120)*(AJ$3&amp;AJ$4&amp;AJ$5&amp;AJ$6=$E$3:$AH$3&amp;$E$4:$AH$4&amp;$E$5:$AH$5&amp;$E$6:$AH$6))</f>
        <v>36600.642323433625</v>
      </c>
      <c r="AK120" s="83" cm="1">
        <f t="array" aca="1" ref="AK120" ca="1">SUMPRODUCT(($E120:$AH120)*(AK$3=$E$3:$AH$3)*(AK$4=$E$4:$AH$4)*(AK$5=$E$5:$AH$5)*(AK$6=$E$6:$AH$6))</f>
        <v>40163.106782534422</v>
      </c>
      <c r="AL120" s="83" cm="1">
        <f t="array" aca="1" ref="AL120" ca="1">SUMPRODUCT(($E120:$AH120)*(AL$3=$E$3:$AH$3)*(AL$4=$E$4:$AH$4)*(AL$5=$E$5:$AH$5)*(AL$6=$E$6:$AH$6))</f>
        <v>35369.589165383084</v>
      </c>
      <c r="AM120" s="158" cm="1">
        <f t="array" aca="1" ref="AM120" ca="1">SUMPRODUCT(($E120:$AH120)*(AM$3=$E$3:$AH$3)*(AM$4=$E$4:$AH$4)*(AM$5=$E$5:$AH$5)*(AM$6=$E$6:$AH$6))</f>
        <v>47688.101373559897</v>
      </c>
      <c r="AN120" s="83" cm="1">
        <f t="array" aca="1" ref="AN120" ca="1">SUMPRODUCT(($E120:$AH120)*(AN$3=$E$3:$AH$3)*(AN$4=$E$4:$AH$4)*(AN$5=$E$5:$AH$5)*(AN$6=$E$6:$AH$6))</f>
        <v>38288.888284832836</v>
      </c>
      <c r="AO120" s="83" cm="1">
        <f t="array" aca="1" ref="AO120" ca="1">SUMPRODUCT(($E120:$AH120)*(AO$3=$E$3:$AH$3)*(AO$4=$E$4:$AH$4)*(AO$5=$E$5:$AH$5)*(AO$6=$E$6:$AH$6))</f>
        <v>42026.494845949375</v>
      </c>
      <c r="AP120" s="83" cm="1">
        <f t="array" aca="1" ref="AP120" ca="1">SUMPRODUCT(($E120:$AH120)*(AP$3=$E$3:$AH$3)*(AP$4=$E$4:$AH$4)*(AP$5=$E$5:$AH$5)*(AP$6=$E$6:$AH$6))</f>
        <v>37004.162079729824</v>
      </c>
      <c r="AQ120" s="83" cm="1">
        <f t="array" aca="1" ref="AQ120" ca="1">SUMPRODUCT(($E120:$AH120)*(AQ$3=$E$3:$AH$3)*(AQ$4=$E$4:$AH$4)*(AQ$5=$E$5:$AH$5)*(AQ$6=$E$6:$AH$6))</f>
        <v>49891.702319506483</v>
      </c>
      <c r="AR120" s="83" cm="1">
        <f t="array" aca="1" ref="AR120" ca="1">SUMPRODUCT(($E120:$AH120)*(AR$3=$E$3:$AH$3)*(AR$4=$E$4:$AH$4)*(AR$5=$E$5:$AH$5)*(AR$6=$E$6:$AH$6))</f>
        <v>40061.2938216646</v>
      </c>
      <c r="AS120" s="83" cm="1">
        <f t="array" aca="1" ref="AS120" ca="1">SUMPRODUCT(($E120:$AH120)*(AS$3=$E$3:$AH$3)*(AS$4=$E$4:$AH$4)*(AS$5=$E$5:$AH$5)*(AS$6=$E$6:$AH$6))</f>
        <v>43983.234154541467</v>
      </c>
      <c r="AU120" s="83" cm="1">
        <f t="array" aca="1" ref="AU120" ca="1">SUMPRODUCT(($E120:$AH120)*(AU$5=$E$5:$AH$5))</f>
        <v>76763.749105968047</v>
      </c>
      <c r="AV120" s="83" cm="1">
        <f t="array" aca="1" ref="AV120" ca="1">SUMPRODUCT(($E120:$AH120)*(AV$5=$E$5:$AH$5))</f>
        <v>163373.07366972519</v>
      </c>
      <c r="AW120" s="83" cm="1">
        <f t="array" aca="1" ref="AW120" ca="1">SUMPRODUCT(($E120:$AH120)*(AW$5=$E$5:$AH$5))</f>
        <v>170940.3923754424</v>
      </c>
    </row>
    <row r="121" spans="1:49" x14ac:dyDescent="0.25">
      <c r="C121" s="23" t="s">
        <v>236</v>
      </c>
      <c r="D121" s="23"/>
      <c r="E121" s="47">
        <f>E124/E120</f>
        <v>0.24134567784425145</v>
      </c>
      <c r="F121" s="47">
        <f t="shared" ref="F121:P121" si="148">F124/F120</f>
        <v>0.22731128231600389</v>
      </c>
      <c r="G121" s="47">
        <f t="shared" si="148"/>
        <v>0.2149700066961239</v>
      </c>
      <c r="H121" s="47">
        <f t="shared" si="148"/>
        <v>0.21309046233054529</v>
      </c>
      <c r="I121" s="47">
        <f t="shared" si="148"/>
        <v>0.24437380818861978</v>
      </c>
      <c r="J121" s="47">
        <f t="shared" si="148"/>
        <v>0.24798222882601487</v>
      </c>
      <c r="K121" s="47">
        <f t="shared" si="148"/>
        <v>0.24133347033259731</v>
      </c>
      <c r="L121" s="47">
        <f t="shared" si="148"/>
        <v>0.22735510522699812</v>
      </c>
      <c r="M121" s="47">
        <f t="shared" si="148"/>
        <v>0.21488635262726086</v>
      </c>
      <c r="N121" s="47">
        <f t="shared" si="148"/>
        <v>0.21308435993598354</v>
      </c>
      <c r="O121" s="47">
        <f t="shared" si="148"/>
        <v>0.24439123410313707</v>
      </c>
      <c r="P121" s="92">
        <f t="shared" si="148"/>
        <v>0.24797816020794086</v>
      </c>
      <c r="Q121" s="93">
        <f>AVERAGE(K121:P121)</f>
        <v>0.23150478040565295</v>
      </c>
      <c r="R121" s="93">
        <f>Q121</f>
        <v>0.23150478040565295</v>
      </c>
      <c r="S121" s="93">
        <f t="shared" ref="S121:AH121" si="149">R121</f>
        <v>0.23150478040565295</v>
      </c>
      <c r="T121" s="93">
        <f t="shared" si="149"/>
        <v>0.23150478040565295</v>
      </c>
      <c r="U121" s="93">
        <f t="shared" si="149"/>
        <v>0.23150478040565295</v>
      </c>
      <c r="V121" s="93">
        <f t="shared" si="149"/>
        <v>0.23150478040565295</v>
      </c>
      <c r="W121" s="93">
        <f t="shared" si="149"/>
        <v>0.23150478040565295</v>
      </c>
      <c r="X121" s="93">
        <f t="shared" si="149"/>
        <v>0.23150478040565295</v>
      </c>
      <c r="Y121" s="93">
        <f t="shared" si="149"/>
        <v>0.23150478040565295</v>
      </c>
      <c r="Z121" s="93">
        <f t="shared" si="149"/>
        <v>0.23150478040565295</v>
      </c>
      <c r="AA121" s="93">
        <f t="shared" si="149"/>
        <v>0.23150478040565295</v>
      </c>
      <c r="AB121" s="93">
        <f t="shared" si="149"/>
        <v>0.23150478040565295</v>
      </c>
      <c r="AC121" s="93">
        <f t="shared" si="149"/>
        <v>0.23150478040565295</v>
      </c>
      <c r="AD121" s="93">
        <f t="shared" si="149"/>
        <v>0.23150478040565295</v>
      </c>
      <c r="AE121" s="93">
        <f t="shared" si="149"/>
        <v>0.23150478040565295</v>
      </c>
      <c r="AF121" s="93">
        <f t="shared" si="149"/>
        <v>0.23150478040565295</v>
      </c>
      <c r="AG121" s="93">
        <f t="shared" si="149"/>
        <v>0.23150478040565295</v>
      </c>
      <c r="AH121" s="93">
        <f t="shared" si="149"/>
        <v>0.23150478040565295</v>
      </c>
      <c r="AJ121" s="47">
        <f ca="1">AJ124/AJ120</f>
        <v>0.22860254544339004</v>
      </c>
      <c r="AK121" s="48">
        <f t="shared" ref="AK121:AW121" ca="1" si="150">AK124/AK120</f>
        <v>0.23636119714046089</v>
      </c>
      <c r="AL121" s="48">
        <f t="shared" ca="1" si="150"/>
        <v>0.22892547499320953</v>
      </c>
      <c r="AM121" s="49">
        <f t="shared" ca="1" si="150"/>
        <v>0.23525784581183268</v>
      </c>
      <c r="AN121" s="48">
        <f t="shared" ca="1" si="150"/>
        <v>0.23145096128347123</v>
      </c>
      <c r="AO121" s="48">
        <f t="shared" ca="1" si="150"/>
        <v>0.23147302756650454</v>
      </c>
      <c r="AP121" s="48">
        <f t="shared" ca="1" si="150"/>
        <v>0.23146044981496133</v>
      </c>
      <c r="AQ121" s="48">
        <f t="shared" ca="1" si="150"/>
        <v>0.23148137792613688</v>
      </c>
      <c r="AR121" s="48">
        <f t="shared" ca="1" si="150"/>
        <v>0.23147030750627651</v>
      </c>
      <c r="AS121" s="48">
        <f t="shared" ca="1" si="150"/>
        <v>0.23147456515424902</v>
      </c>
      <c r="AU121" s="48">
        <f t="shared" ca="1" si="150"/>
        <v>0.23266190367207407</v>
      </c>
      <c r="AV121" s="48">
        <f t="shared" ca="1" si="150"/>
        <v>0.23202109838877566</v>
      </c>
      <c r="AW121" s="48">
        <f t="shared" ca="1" si="150"/>
        <v>0.23147250015137094</v>
      </c>
    </row>
    <row r="122" spans="1:49" x14ac:dyDescent="0.25">
      <c r="C122" s="42" t="s">
        <v>591</v>
      </c>
      <c r="D122" s="1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0"/>
      <c r="Q122" s="364">
        <v>0</v>
      </c>
      <c r="R122" s="364">
        <v>0</v>
      </c>
      <c r="S122" s="364">
        <v>0</v>
      </c>
      <c r="T122" s="364">
        <v>0</v>
      </c>
      <c r="U122" s="364">
        <v>0</v>
      </c>
      <c r="V122" s="364">
        <v>0</v>
      </c>
      <c r="W122" s="364">
        <v>0</v>
      </c>
      <c r="X122" s="364">
        <v>0</v>
      </c>
      <c r="Y122" s="364">
        <v>0</v>
      </c>
      <c r="Z122" s="364">
        <v>0</v>
      </c>
      <c r="AA122" s="364">
        <v>0</v>
      </c>
      <c r="AB122" s="364">
        <v>0</v>
      </c>
      <c r="AC122" s="364">
        <v>0</v>
      </c>
      <c r="AD122" s="364">
        <v>0</v>
      </c>
      <c r="AE122" s="364">
        <v>0</v>
      </c>
      <c r="AF122" s="364">
        <v>0</v>
      </c>
      <c r="AG122" s="364">
        <v>0</v>
      </c>
      <c r="AH122" s="364">
        <v>0</v>
      </c>
      <c r="AJ122" s="59"/>
      <c r="AK122" s="323"/>
      <c r="AL122" s="323"/>
      <c r="AM122" s="330"/>
      <c r="AN122" s="323"/>
      <c r="AO122" s="323"/>
      <c r="AP122" s="323"/>
      <c r="AQ122" s="323"/>
      <c r="AR122" s="323"/>
      <c r="AS122" s="323"/>
      <c r="AU122" s="323"/>
      <c r="AV122" s="323"/>
      <c r="AW122" s="323"/>
    </row>
    <row r="123" spans="1:49" x14ac:dyDescent="0.25">
      <c r="C123" s="23" t="s">
        <v>592</v>
      </c>
      <c r="D123" s="23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92"/>
      <c r="Q123" s="47">
        <f>Q121+Q122</f>
        <v>0.23150478040565295</v>
      </c>
      <c r="R123" s="47">
        <f t="shared" ref="R123:AH123" si="151">R121+R122</f>
        <v>0.23150478040565295</v>
      </c>
      <c r="S123" s="47">
        <f t="shared" si="151"/>
        <v>0.23150478040565295</v>
      </c>
      <c r="T123" s="47">
        <f t="shared" si="151"/>
        <v>0.23150478040565295</v>
      </c>
      <c r="U123" s="47">
        <f t="shared" si="151"/>
        <v>0.23150478040565295</v>
      </c>
      <c r="V123" s="47">
        <f t="shared" si="151"/>
        <v>0.23150478040565295</v>
      </c>
      <c r="W123" s="47">
        <f t="shared" si="151"/>
        <v>0.23150478040565295</v>
      </c>
      <c r="X123" s="47">
        <f t="shared" si="151"/>
        <v>0.23150478040565295</v>
      </c>
      <c r="Y123" s="47">
        <f t="shared" si="151"/>
        <v>0.23150478040565295</v>
      </c>
      <c r="Z123" s="47">
        <f t="shared" si="151"/>
        <v>0.23150478040565295</v>
      </c>
      <c r="AA123" s="47">
        <f t="shared" si="151"/>
        <v>0.23150478040565295</v>
      </c>
      <c r="AB123" s="47">
        <f t="shared" si="151"/>
        <v>0.23150478040565295</v>
      </c>
      <c r="AC123" s="47">
        <f t="shared" si="151"/>
        <v>0.23150478040565295</v>
      </c>
      <c r="AD123" s="47">
        <f t="shared" si="151"/>
        <v>0.23150478040565295</v>
      </c>
      <c r="AE123" s="47">
        <f t="shared" si="151"/>
        <v>0.23150478040565295</v>
      </c>
      <c r="AF123" s="47">
        <f t="shared" si="151"/>
        <v>0.23150478040565295</v>
      </c>
      <c r="AG123" s="47">
        <f t="shared" si="151"/>
        <v>0.23150478040565295</v>
      </c>
      <c r="AH123" s="47">
        <f t="shared" si="151"/>
        <v>0.23150478040565295</v>
      </c>
      <c r="AJ123" s="47"/>
      <c r="AK123" s="48"/>
      <c r="AL123" s="48"/>
      <c r="AM123" s="49"/>
      <c r="AN123" s="48"/>
      <c r="AO123" s="48"/>
      <c r="AP123" s="48"/>
      <c r="AQ123" s="48"/>
      <c r="AR123" s="48"/>
      <c r="AS123" s="48"/>
      <c r="AU123" s="48"/>
      <c r="AV123" s="48"/>
      <c r="AW123" s="48"/>
    </row>
    <row r="124" spans="1:49" x14ac:dyDescent="0.25">
      <c r="B124" t="s">
        <v>231</v>
      </c>
      <c r="C124" s="1" t="s">
        <v>237</v>
      </c>
      <c r="D124" s="1"/>
      <c r="E124" s="91">
        <v>3193</v>
      </c>
      <c r="F124" s="91">
        <v>2763</v>
      </c>
      <c r="G124" s="91">
        <v>2411</v>
      </c>
      <c r="H124" s="91">
        <v>2569</v>
      </c>
      <c r="I124" s="91">
        <v>3121</v>
      </c>
      <c r="J124" s="91">
        <v>3803</v>
      </c>
      <c r="K124" s="91">
        <v>3233</v>
      </c>
      <c r="L124" s="91">
        <v>2594</v>
      </c>
      <c r="M124" s="91">
        <v>2270</v>
      </c>
      <c r="N124" s="91">
        <v>3366</v>
      </c>
      <c r="O124" s="91">
        <v>3775</v>
      </c>
      <c r="P124" s="67">
        <v>4078</v>
      </c>
      <c r="Q124" s="72">
        <f>INT(Q120*Q123)</f>
        <v>3203</v>
      </c>
      <c r="R124" s="72">
        <f t="shared" ref="R124:AH124" si="152">INT(R120*R121)</f>
        <v>2943</v>
      </c>
      <c r="S124" s="72">
        <f t="shared" si="152"/>
        <v>2716</v>
      </c>
      <c r="T124" s="72">
        <f t="shared" si="152"/>
        <v>2920</v>
      </c>
      <c r="U124" s="72">
        <f t="shared" si="152"/>
        <v>3094</v>
      </c>
      <c r="V124" s="72">
        <f t="shared" si="152"/>
        <v>3714</v>
      </c>
      <c r="W124" s="72">
        <f t="shared" si="152"/>
        <v>3244</v>
      </c>
      <c r="X124" s="72">
        <f t="shared" si="152"/>
        <v>2763</v>
      </c>
      <c r="Y124" s="72">
        <f t="shared" si="152"/>
        <v>2558</v>
      </c>
      <c r="Z124" s="72">
        <f t="shared" si="152"/>
        <v>3826</v>
      </c>
      <c r="AA124" s="72">
        <f t="shared" si="152"/>
        <v>3740</v>
      </c>
      <c r="AB124" s="72">
        <f t="shared" si="152"/>
        <v>3983</v>
      </c>
      <c r="AC124" s="72">
        <f t="shared" si="152"/>
        <v>3351</v>
      </c>
      <c r="AD124" s="72">
        <f t="shared" si="152"/>
        <v>3080</v>
      </c>
      <c r="AE124" s="72">
        <f t="shared" si="152"/>
        <v>2842</v>
      </c>
      <c r="AF124" s="72">
        <f t="shared" si="152"/>
        <v>3056</v>
      </c>
      <c r="AG124" s="72">
        <f t="shared" si="152"/>
        <v>3238</v>
      </c>
      <c r="AH124" s="72">
        <f t="shared" si="152"/>
        <v>3887</v>
      </c>
      <c r="AJ124" s="83" cm="1">
        <f t="array" aca="1" ref="AJ124" ca="1">SUMPRODUCT(($E124:$AH124)*(AJ$3&amp;AJ$4&amp;AJ$5&amp;AJ$6=$E$3:$AH$3&amp;$E$4:$AH$4&amp;$E$5:$AH$5&amp;$E$6:$AH$6))</f>
        <v>8367</v>
      </c>
      <c r="AK124" s="83" cm="1">
        <f t="array" aca="1" ref="AK124" ca="1">SUMPRODUCT(($E124:$AH124)*(AK$3=$E$3:$AH$3)*(AK$4=$E$4:$AH$4)*(AK$5=$E$5:$AH$5)*(AK$6=$E$6:$AH$6))</f>
        <v>9493</v>
      </c>
      <c r="AL124" s="83" cm="1">
        <f t="array" aca="1" ref="AL124" ca="1">SUMPRODUCT(($E124:$AH124)*(AL$3=$E$3:$AH$3)*(AL$4=$E$4:$AH$4)*(AL$5=$E$5:$AH$5)*(AL$6=$E$6:$AH$6))</f>
        <v>8097</v>
      </c>
      <c r="AM124" s="158" cm="1">
        <f t="array" aca="1" ref="AM124" ca="1">SUMPRODUCT(($E124:$AH124)*(AM$3=$E$3:$AH$3)*(AM$4=$E$4:$AH$4)*(AM$5=$E$5:$AH$5)*(AM$6=$E$6:$AH$6))</f>
        <v>11219</v>
      </c>
      <c r="AN124" s="83" cm="1">
        <f t="array" aca="1" ref="AN124" ca="1">SUMPRODUCT(($E124:$AH124)*(AN$3=$E$3:$AH$3)*(AN$4=$E$4:$AH$4)*(AN$5=$E$5:$AH$5)*(AN$6=$E$6:$AH$6))</f>
        <v>8862</v>
      </c>
      <c r="AO124" s="83" cm="1">
        <f t="array" aca="1" ref="AO124" ca="1">SUMPRODUCT(($E124:$AH124)*(AO$3=$E$3:$AH$3)*(AO$4=$E$4:$AH$4)*(AO$5=$E$5:$AH$5)*(AO$6=$E$6:$AH$6))</f>
        <v>9728</v>
      </c>
      <c r="AP124" s="83" cm="1">
        <f t="array" aca="1" ref="AP124" ca="1">SUMPRODUCT(($E124:$AH124)*(AP$3=$E$3:$AH$3)*(AP$4=$E$4:$AH$4)*(AP$5=$E$5:$AH$5)*(AP$6=$E$6:$AH$6))</f>
        <v>8565</v>
      </c>
      <c r="AQ124" s="83" cm="1">
        <f t="array" aca="1" ref="AQ124" ca="1">SUMPRODUCT(($E124:$AH124)*(AQ$3=$E$3:$AH$3)*(AQ$4=$E$4:$AH$4)*(AQ$5=$E$5:$AH$5)*(AQ$6=$E$6:$AH$6))</f>
        <v>11549</v>
      </c>
      <c r="AR124" s="83" cm="1">
        <f t="array" aca="1" ref="AR124" ca="1">SUMPRODUCT(($E124:$AH124)*(AR$3=$E$3:$AH$3)*(AR$4=$E$4:$AH$4)*(AR$5=$E$5:$AH$5)*(AR$6=$E$6:$AH$6))</f>
        <v>9273</v>
      </c>
      <c r="AS124" s="83" cm="1">
        <f t="array" aca="1" ref="AS124" ca="1">SUMPRODUCT(($E124:$AH124)*(AS$3=$E$3:$AH$3)*(AS$4=$E$4:$AH$4)*(AS$5=$E$5:$AH$5)*(AS$6=$E$6:$AH$6))</f>
        <v>10181</v>
      </c>
      <c r="AU124" s="83" cm="1">
        <f t="array" aca="1" ref="AU124" ca="1">SUMPRODUCT(($E124:$AH124)*(AU$5=$E$5:$AH$5))</f>
        <v>17860</v>
      </c>
      <c r="AV124" s="83" cm="1">
        <f t="array" aca="1" ref="AV124" ca="1">SUMPRODUCT(($E124:$AH124)*(AV$5=$E$5:$AH$5))</f>
        <v>37906</v>
      </c>
      <c r="AW124" s="83" cm="1">
        <f t="array" aca="1" ref="AW124" ca="1">SUMPRODUCT(($E124:$AH124)*(AW$5=$E$5:$AH$5))</f>
        <v>39568</v>
      </c>
    </row>
    <row r="125" spans="1:49" x14ac:dyDescent="0.25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2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M125" s="8"/>
    </row>
    <row r="126" spans="1:49" x14ac:dyDescent="0.25">
      <c r="C126" s="1" t="s">
        <v>240</v>
      </c>
      <c r="D126" s="1"/>
      <c r="E126" s="97">
        <f>E127/E124</f>
        <v>25</v>
      </c>
      <c r="F126" s="97">
        <f t="shared" ref="F126:P126" si="153">F127/F124</f>
        <v>25</v>
      </c>
      <c r="G126" s="97">
        <f t="shared" si="153"/>
        <v>25</v>
      </c>
      <c r="H126" s="97">
        <f t="shared" si="153"/>
        <v>25</v>
      </c>
      <c r="I126" s="97">
        <f t="shared" si="153"/>
        <v>25</v>
      </c>
      <c r="J126" s="97">
        <f t="shared" si="153"/>
        <v>25</v>
      </c>
      <c r="K126" s="97">
        <f t="shared" si="153"/>
        <v>25</v>
      </c>
      <c r="L126" s="97">
        <f t="shared" si="153"/>
        <v>25</v>
      </c>
      <c r="M126" s="97">
        <f t="shared" si="153"/>
        <v>25</v>
      </c>
      <c r="N126" s="97">
        <f t="shared" si="153"/>
        <v>25</v>
      </c>
      <c r="O126" s="97">
        <f t="shared" si="153"/>
        <v>25</v>
      </c>
      <c r="P126" s="126">
        <f t="shared" si="153"/>
        <v>25</v>
      </c>
      <c r="Q126" s="128">
        <v>25</v>
      </c>
      <c r="R126" s="128">
        <v>25</v>
      </c>
      <c r="S126" s="128">
        <v>25</v>
      </c>
      <c r="T126" s="128">
        <v>25</v>
      </c>
      <c r="U126" s="128">
        <v>25</v>
      </c>
      <c r="V126" s="128">
        <v>25</v>
      </c>
      <c r="W126" s="128">
        <v>25</v>
      </c>
      <c r="X126" s="128">
        <v>25</v>
      </c>
      <c r="Y126" s="128">
        <v>25</v>
      </c>
      <c r="Z126" s="128">
        <v>25</v>
      </c>
      <c r="AA126" s="128">
        <v>25</v>
      </c>
      <c r="AB126" s="128">
        <v>25</v>
      </c>
      <c r="AC126" s="128">
        <v>25</v>
      </c>
      <c r="AD126" s="128">
        <v>25</v>
      </c>
      <c r="AE126" s="128">
        <v>25</v>
      </c>
      <c r="AF126" s="128">
        <v>25</v>
      </c>
      <c r="AG126" s="128">
        <v>25</v>
      </c>
      <c r="AH126" s="128">
        <v>25</v>
      </c>
      <c r="AJ126" s="97">
        <f ca="1">AJ127/AJ124</f>
        <v>25</v>
      </c>
      <c r="AK126" s="324">
        <f t="shared" ref="AK126:AW126" ca="1" si="154">AK127/AK124</f>
        <v>25</v>
      </c>
      <c r="AL126" s="324">
        <f t="shared" ca="1" si="154"/>
        <v>25</v>
      </c>
      <c r="AM126" s="331">
        <f t="shared" ca="1" si="154"/>
        <v>25</v>
      </c>
      <c r="AN126" s="324">
        <f t="shared" ca="1" si="154"/>
        <v>25</v>
      </c>
      <c r="AO126" s="324">
        <f t="shared" ca="1" si="154"/>
        <v>25</v>
      </c>
      <c r="AP126" s="324">
        <f t="shared" ca="1" si="154"/>
        <v>25</v>
      </c>
      <c r="AQ126" s="324">
        <f t="shared" ca="1" si="154"/>
        <v>25</v>
      </c>
      <c r="AR126" s="324">
        <f t="shared" ca="1" si="154"/>
        <v>25</v>
      </c>
      <c r="AS126" s="324">
        <f t="shared" ca="1" si="154"/>
        <v>25</v>
      </c>
      <c r="AU126" s="324">
        <f t="shared" ca="1" si="154"/>
        <v>25</v>
      </c>
      <c r="AV126" s="324">
        <f t="shared" ca="1" si="154"/>
        <v>25</v>
      </c>
      <c r="AW126" s="324">
        <f t="shared" ca="1" si="154"/>
        <v>25</v>
      </c>
    </row>
    <row r="127" spans="1:49" x14ac:dyDescent="0.25">
      <c r="C127" s="1" t="s">
        <v>241</v>
      </c>
      <c r="D127" s="1"/>
      <c r="E127" s="18">
        <v>79825</v>
      </c>
      <c r="F127" s="18">
        <v>69075</v>
      </c>
      <c r="G127" s="18">
        <v>60275</v>
      </c>
      <c r="H127" s="18">
        <v>64225</v>
      </c>
      <c r="I127" s="18">
        <v>78025</v>
      </c>
      <c r="J127" s="18">
        <v>95075</v>
      </c>
      <c r="K127" s="18">
        <v>80825</v>
      </c>
      <c r="L127" s="18">
        <v>64850</v>
      </c>
      <c r="M127" s="18">
        <v>56750</v>
      </c>
      <c r="N127" s="18">
        <v>84150</v>
      </c>
      <c r="O127" s="18">
        <v>94375</v>
      </c>
      <c r="P127" s="19">
        <v>101950</v>
      </c>
      <c r="Q127" s="13">
        <f t="shared" ref="Q127:AH127" si="155">Q124*Q126</f>
        <v>80075</v>
      </c>
      <c r="R127" s="13">
        <f t="shared" si="155"/>
        <v>73575</v>
      </c>
      <c r="S127" s="13">
        <f t="shared" si="155"/>
        <v>67900</v>
      </c>
      <c r="T127" s="13">
        <f t="shared" si="155"/>
        <v>73000</v>
      </c>
      <c r="U127" s="13">
        <f t="shared" si="155"/>
        <v>77350</v>
      </c>
      <c r="V127" s="13">
        <f t="shared" si="155"/>
        <v>92850</v>
      </c>
      <c r="W127" s="13">
        <f t="shared" si="155"/>
        <v>81100</v>
      </c>
      <c r="X127" s="13">
        <f t="shared" si="155"/>
        <v>69075</v>
      </c>
      <c r="Y127" s="13">
        <f t="shared" si="155"/>
        <v>63950</v>
      </c>
      <c r="Z127" s="13">
        <f t="shared" si="155"/>
        <v>95650</v>
      </c>
      <c r="AA127" s="13">
        <f t="shared" si="155"/>
        <v>93500</v>
      </c>
      <c r="AB127" s="13">
        <f t="shared" si="155"/>
        <v>99575</v>
      </c>
      <c r="AC127" s="13">
        <f t="shared" si="155"/>
        <v>83775</v>
      </c>
      <c r="AD127" s="13">
        <f t="shared" si="155"/>
        <v>77000</v>
      </c>
      <c r="AE127" s="13">
        <f t="shared" si="155"/>
        <v>71050</v>
      </c>
      <c r="AF127" s="13">
        <f t="shared" si="155"/>
        <v>76400</v>
      </c>
      <c r="AG127" s="13">
        <f t="shared" si="155"/>
        <v>80950</v>
      </c>
      <c r="AH127" s="13">
        <f t="shared" si="155"/>
        <v>97175</v>
      </c>
      <c r="AJ127" s="83" cm="1">
        <f t="array" aca="1" ref="AJ127" ca="1">SUMPRODUCT(($E127:$AH127)*(AJ$3&amp;AJ$4&amp;AJ$5&amp;AJ$6=$E$3:$AH$3&amp;$E$4:$AH$4&amp;$E$5:$AH$5&amp;$E$6:$AH$6))</f>
        <v>209175</v>
      </c>
      <c r="AK127" s="83" cm="1">
        <f t="array" aca="1" ref="AK127" ca="1">SUMPRODUCT(($E127:$AH127)*(AK$3=$E$3:$AH$3)*(AK$4=$E$4:$AH$4)*(AK$5=$E$5:$AH$5)*(AK$6=$E$6:$AH$6))</f>
        <v>237325</v>
      </c>
      <c r="AL127" s="83" cm="1">
        <f t="array" aca="1" ref="AL127" ca="1">SUMPRODUCT(($E127:$AH127)*(AL$3=$E$3:$AH$3)*(AL$4=$E$4:$AH$4)*(AL$5=$E$5:$AH$5)*(AL$6=$E$6:$AH$6))</f>
        <v>202425</v>
      </c>
      <c r="AM127" s="158" cm="1">
        <f t="array" aca="1" ref="AM127" ca="1">SUMPRODUCT(($E127:$AH127)*(AM$3=$E$3:$AH$3)*(AM$4=$E$4:$AH$4)*(AM$5=$E$5:$AH$5)*(AM$6=$E$6:$AH$6))</f>
        <v>280475</v>
      </c>
      <c r="AN127" s="83" cm="1">
        <f t="array" aca="1" ref="AN127" ca="1">SUMPRODUCT(($E127:$AH127)*(AN$3=$E$3:$AH$3)*(AN$4=$E$4:$AH$4)*(AN$5=$E$5:$AH$5)*(AN$6=$E$6:$AH$6))</f>
        <v>221550</v>
      </c>
      <c r="AO127" s="83" cm="1">
        <f t="array" aca="1" ref="AO127" ca="1">SUMPRODUCT(($E127:$AH127)*(AO$3=$E$3:$AH$3)*(AO$4=$E$4:$AH$4)*(AO$5=$E$5:$AH$5)*(AO$6=$E$6:$AH$6))</f>
        <v>243200</v>
      </c>
      <c r="AP127" s="83" cm="1">
        <f t="array" aca="1" ref="AP127" ca="1">SUMPRODUCT(($E127:$AH127)*(AP$3=$E$3:$AH$3)*(AP$4=$E$4:$AH$4)*(AP$5=$E$5:$AH$5)*(AP$6=$E$6:$AH$6))</f>
        <v>214125</v>
      </c>
      <c r="AQ127" s="83" cm="1">
        <f t="array" aca="1" ref="AQ127" ca="1">SUMPRODUCT(($E127:$AH127)*(AQ$3=$E$3:$AH$3)*(AQ$4=$E$4:$AH$4)*(AQ$5=$E$5:$AH$5)*(AQ$6=$E$6:$AH$6))</f>
        <v>288725</v>
      </c>
      <c r="AR127" s="83" cm="1">
        <f t="array" aca="1" ref="AR127" ca="1">SUMPRODUCT(($E127:$AH127)*(AR$3=$E$3:$AH$3)*(AR$4=$E$4:$AH$4)*(AR$5=$E$5:$AH$5)*(AR$6=$E$6:$AH$6))</f>
        <v>231825</v>
      </c>
      <c r="AS127" s="83" cm="1">
        <f t="array" aca="1" ref="AS127" ca="1">SUMPRODUCT(($E127:$AH127)*(AS$3=$E$3:$AH$3)*(AS$4=$E$4:$AH$4)*(AS$5=$E$5:$AH$5)*(AS$6=$E$6:$AH$6))</f>
        <v>254525</v>
      </c>
      <c r="AU127" s="83" cm="1">
        <f t="array" aca="1" ref="AU127" ca="1">SUMPRODUCT(($E127:$AH127)*(AU$5=$E$5:$AH$5))</f>
        <v>446500</v>
      </c>
      <c r="AV127" s="83" cm="1">
        <f t="array" aca="1" ref="AV127" ca="1">SUMPRODUCT(($E127:$AH127)*(AV$5=$E$5:$AH$5))</f>
        <v>947650</v>
      </c>
      <c r="AW127" s="83" cm="1">
        <f t="array" aca="1" ref="AW127" ca="1">SUMPRODUCT(($E127:$AH127)*(AW$5=$E$5:$AH$5))</f>
        <v>989200</v>
      </c>
    </row>
    <row r="128" spans="1:49" x14ac:dyDescent="0.25">
      <c r="C128" s="23" t="s">
        <v>238</v>
      </c>
      <c r="D128" s="23"/>
      <c r="E128" s="47">
        <f>E129*1000/E127</f>
        <v>0.65</v>
      </c>
      <c r="F128" s="47">
        <f t="shared" ref="F128:P128" si="156">F129*1000/F127</f>
        <v>0.65</v>
      </c>
      <c r="G128" s="47">
        <f t="shared" si="156"/>
        <v>0.65</v>
      </c>
      <c r="H128" s="47">
        <f t="shared" si="156"/>
        <v>0.65</v>
      </c>
      <c r="I128" s="47">
        <f t="shared" si="156"/>
        <v>0.65</v>
      </c>
      <c r="J128" s="47">
        <f t="shared" si="156"/>
        <v>0.65</v>
      </c>
      <c r="K128" s="47">
        <f t="shared" si="156"/>
        <v>0.65</v>
      </c>
      <c r="L128" s="47">
        <f t="shared" si="156"/>
        <v>0.65</v>
      </c>
      <c r="M128" s="47">
        <f t="shared" si="156"/>
        <v>0.65</v>
      </c>
      <c r="N128" s="47">
        <f t="shared" si="156"/>
        <v>0.65</v>
      </c>
      <c r="O128" s="47">
        <f t="shared" si="156"/>
        <v>0.65</v>
      </c>
      <c r="P128" s="92">
        <f t="shared" si="156"/>
        <v>0.65</v>
      </c>
      <c r="Q128" s="93">
        <v>0.65</v>
      </c>
      <c r="R128" s="93">
        <v>0.65</v>
      </c>
      <c r="S128" s="93">
        <v>0.65</v>
      </c>
      <c r="T128" s="93">
        <v>0.65</v>
      </c>
      <c r="U128" s="93">
        <v>0.65</v>
      </c>
      <c r="V128" s="93">
        <v>0.65</v>
      </c>
      <c r="W128" s="93">
        <v>0.65</v>
      </c>
      <c r="X128" s="93">
        <v>0.65</v>
      </c>
      <c r="Y128" s="93">
        <v>0.65</v>
      </c>
      <c r="Z128" s="93">
        <v>0.65</v>
      </c>
      <c r="AA128" s="93">
        <v>0.65</v>
      </c>
      <c r="AB128" s="93">
        <v>0.65</v>
      </c>
      <c r="AC128" s="93">
        <v>0.65</v>
      </c>
      <c r="AD128" s="93">
        <v>0.65</v>
      </c>
      <c r="AE128" s="93">
        <v>0.65</v>
      </c>
      <c r="AF128" s="93">
        <v>0.65</v>
      </c>
      <c r="AG128" s="93">
        <v>0.65</v>
      </c>
      <c r="AH128" s="93">
        <v>0.65</v>
      </c>
      <c r="AJ128" s="47">
        <f ca="1">AJ129*1000/AJ127</f>
        <v>0.65</v>
      </c>
      <c r="AK128" s="48">
        <f t="shared" ref="AK128:AW128" ca="1" si="157">AK129*1000/AK127</f>
        <v>0.65000000000000013</v>
      </c>
      <c r="AL128" s="48">
        <f t="shared" ca="1" si="157"/>
        <v>0.65000000000000013</v>
      </c>
      <c r="AM128" s="49">
        <f t="shared" ca="1" si="157"/>
        <v>0.64999999999999991</v>
      </c>
      <c r="AN128" s="48">
        <f t="shared" ca="1" si="157"/>
        <v>0.65</v>
      </c>
      <c r="AO128" s="48">
        <f t="shared" ca="1" si="157"/>
        <v>0.65</v>
      </c>
      <c r="AP128" s="48">
        <f t="shared" ca="1" si="157"/>
        <v>0.65</v>
      </c>
      <c r="AQ128" s="48">
        <f t="shared" ca="1" si="157"/>
        <v>0.65</v>
      </c>
      <c r="AR128" s="48">
        <f t="shared" ca="1" si="157"/>
        <v>0.65</v>
      </c>
      <c r="AS128" s="48">
        <f t="shared" ca="1" si="157"/>
        <v>0.65</v>
      </c>
      <c r="AU128" s="48">
        <f t="shared" ca="1" si="157"/>
        <v>0.65</v>
      </c>
      <c r="AV128" s="48">
        <f t="shared" ca="1" si="157"/>
        <v>0.65</v>
      </c>
      <c r="AW128" s="48">
        <f t="shared" ca="1" si="157"/>
        <v>0.65</v>
      </c>
    </row>
    <row r="129" spans="1:49" x14ac:dyDescent="0.25">
      <c r="B129" t="s">
        <v>231</v>
      </c>
      <c r="C129" s="25" t="s">
        <v>239</v>
      </c>
      <c r="E129" s="133">
        <v>51.886249999999997</v>
      </c>
      <c r="F129" s="133">
        <v>44.89875</v>
      </c>
      <c r="G129" s="133">
        <v>39.178750000000001</v>
      </c>
      <c r="H129" s="133">
        <v>41.746250000000003</v>
      </c>
      <c r="I129" s="133">
        <v>50.716250000000002</v>
      </c>
      <c r="J129" s="134">
        <v>61.798749999999998</v>
      </c>
      <c r="K129" s="133">
        <v>52.536250000000003</v>
      </c>
      <c r="L129" s="133">
        <v>42.152500000000003</v>
      </c>
      <c r="M129" s="133">
        <v>36.887500000000003</v>
      </c>
      <c r="N129" s="133">
        <v>54.697499999999998</v>
      </c>
      <c r="O129" s="133">
        <v>61.34375</v>
      </c>
      <c r="P129" s="135">
        <v>66.267499999999998</v>
      </c>
      <c r="Q129" s="14">
        <f t="shared" ref="Q129" si="158">Q127*Q128/1000</f>
        <v>52.048749999999998</v>
      </c>
      <c r="R129" s="14">
        <f t="shared" ref="R129" si="159">R127*R128/1000</f>
        <v>47.823749999999997</v>
      </c>
      <c r="S129" s="14">
        <f t="shared" ref="S129" si="160">S127*S128/1000</f>
        <v>44.134999999999998</v>
      </c>
      <c r="T129" s="14">
        <f t="shared" ref="T129" si="161">T127*T128/1000</f>
        <v>47.45</v>
      </c>
      <c r="U129" s="14">
        <f t="shared" ref="U129" si="162">U127*U128/1000</f>
        <v>50.277500000000003</v>
      </c>
      <c r="V129" s="14">
        <f t="shared" ref="V129" si="163">V127*V128/1000</f>
        <v>60.352499999999999</v>
      </c>
      <c r="W129" s="14">
        <f t="shared" ref="W129" si="164">W127*W128/1000</f>
        <v>52.715000000000003</v>
      </c>
      <c r="X129" s="14">
        <f t="shared" ref="X129" si="165">X127*X128/1000</f>
        <v>44.89875</v>
      </c>
      <c r="Y129" s="14">
        <f t="shared" ref="Y129" si="166">Y127*Y128/1000</f>
        <v>41.567500000000003</v>
      </c>
      <c r="Z129" s="14">
        <f t="shared" ref="Z129" si="167">Z127*Z128/1000</f>
        <v>62.172499999999999</v>
      </c>
      <c r="AA129" s="14">
        <f t="shared" ref="AA129" si="168">AA127*AA128/1000</f>
        <v>60.774999999999999</v>
      </c>
      <c r="AB129" s="14">
        <f t="shared" ref="AB129" si="169">AB127*AB128/1000</f>
        <v>64.723749999999995</v>
      </c>
      <c r="AC129" s="14">
        <f t="shared" ref="AC129" si="170">AC127*AC128/1000</f>
        <v>54.453749999999999</v>
      </c>
      <c r="AD129" s="14">
        <f t="shared" ref="AD129" si="171">AD127*AD128/1000</f>
        <v>50.05</v>
      </c>
      <c r="AE129" s="14">
        <f t="shared" ref="AE129" si="172">AE127*AE128/1000</f>
        <v>46.182499999999997</v>
      </c>
      <c r="AF129" s="14">
        <f t="shared" ref="AF129" si="173">AF127*AF128/1000</f>
        <v>49.66</v>
      </c>
      <c r="AG129" s="14">
        <f t="shared" ref="AG129" si="174">AG127*AG128/1000</f>
        <v>52.6175</v>
      </c>
      <c r="AH129" s="14">
        <f t="shared" ref="AH129" si="175">AH127*AH128/1000</f>
        <v>63.16375</v>
      </c>
      <c r="AJ129" s="83" cm="1">
        <f t="array" aca="1" ref="AJ129" ca="1">SUMPRODUCT(($E129:$AH129)*(AJ$3&amp;AJ$4&amp;AJ$5&amp;AJ$6=$E$3:$AH$3&amp;$E$4:$AH$4&amp;$E$5:$AH$5&amp;$E$6:$AH$6))</f>
        <v>135.96375</v>
      </c>
      <c r="AK129" s="83" cm="1">
        <f t="array" aca="1" ref="AK129" ca="1">SUMPRODUCT(($E129:$AH129)*(AK$3=$E$3:$AH$3)*(AK$4=$E$4:$AH$4)*(AK$5=$E$5:$AH$5)*(AK$6=$E$6:$AH$6))</f>
        <v>154.26125000000002</v>
      </c>
      <c r="AL129" s="83" cm="1">
        <f t="array" aca="1" ref="AL129" ca="1">SUMPRODUCT(($E129:$AH129)*(AL$3=$E$3:$AH$3)*(AL$4=$E$4:$AH$4)*(AL$5=$E$5:$AH$5)*(AL$6=$E$6:$AH$6))</f>
        <v>131.57625000000002</v>
      </c>
      <c r="AM129" s="158" cm="1">
        <f t="array" aca="1" ref="AM129" ca="1">SUMPRODUCT(($E129:$AH129)*(AM$3=$E$3:$AH$3)*(AM$4=$E$4:$AH$4)*(AM$5=$E$5:$AH$5)*(AM$6=$E$6:$AH$6))</f>
        <v>182.30874999999997</v>
      </c>
      <c r="AN129" s="83" cm="1">
        <f t="array" aca="1" ref="AN129" ca="1">SUMPRODUCT(($E129:$AH129)*(AN$3=$E$3:$AH$3)*(AN$4=$E$4:$AH$4)*(AN$5=$E$5:$AH$5)*(AN$6=$E$6:$AH$6))</f>
        <v>144.00749999999999</v>
      </c>
      <c r="AO129" s="83" cm="1">
        <f t="array" aca="1" ref="AO129" ca="1">SUMPRODUCT(($E129:$AH129)*(AO$3=$E$3:$AH$3)*(AO$4=$E$4:$AH$4)*(AO$5=$E$5:$AH$5)*(AO$6=$E$6:$AH$6))</f>
        <v>158.08000000000001</v>
      </c>
      <c r="AP129" s="83" cm="1">
        <f t="array" aca="1" ref="AP129" ca="1">SUMPRODUCT(($E129:$AH129)*(AP$3=$E$3:$AH$3)*(AP$4=$E$4:$AH$4)*(AP$5=$E$5:$AH$5)*(AP$6=$E$6:$AH$6))</f>
        <v>139.18125000000001</v>
      </c>
      <c r="AQ129" s="83" cm="1">
        <f t="array" aca="1" ref="AQ129" ca="1">SUMPRODUCT(($E129:$AH129)*(AQ$3=$E$3:$AH$3)*(AQ$4=$E$4:$AH$4)*(AQ$5=$E$5:$AH$5)*(AQ$6=$E$6:$AH$6))</f>
        <v>187.67124999999999</v>
      </c>
      <c r="AR129" s="83" cm="1">
        <f t="array" aca="1" ref="AR129" ca="1">SUMPRODUCT(($E129:$AH129)*(AR$3=$E$3:$AH$3)*(AR$4=$E$4:$AH$4)*(AR$5=$E$5:$AH$5)*(AR$6=$E$6:$AH$6))</f>
        <v>150.68625</v>
      </c>
      <c r="AS129" s="83" cm="1">
        <f t="array" aca="1" ref="AS129" ca="1">SUMPRODUCT(($E129:$AH129)*(AS$3=$E$3:$AH$3)*(AS$4=$E$4:$AH$4)*(AS$5=$E$5:$AH$5)*(AS$6=$E$6:$AH$6))</f>
        <v>165.44125</v>
      </c>
      <c r="AU129" s="83" cm="1">
        <f t="array" aca="1" ref="AU129" ca="1">SUMPRODUCT(($E129:$AH129)*(AU$5=$E$5:$AH$5))</f>
        <v>290.22500000000002</v>
      </c>
      <c r="AV129" s="83" cm="1">
        <f t="array" aca="1" ref="AV129" ca="1">SUMPRODUCT(($E129:$AH129)*(AV$5=$E$5:$AH$5))</f>
        <v>615.97249999999997</v>
      </c>
      <c r="AW129" s="83" cm="1">
        <f t="array" aca="1" ref="AW129" ca="1">SUMPRODUCT(($E129:$AH129)*(AW$5=$E$5:$AH$5))</f>
        <v>642.98</v>
      </c>
    </row>
    <row r="130" spans="1:49" x14ac:dyDescent="0.25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M130" s="8"/>
    </row>
    <row r="131" spans="1:49" x14ac:dyDescent="0.25">
      <c r="C131" s="30" t="s">
        <v>242</v>
      </c>
      <c r="D131" s="225"/>
      <c r="E131" s="45" t="str">
        <f t="shared" ref="E131:AH131" si="176">E$9</f>
        <v>Jul-20A</v>
      </c>
      <c r="F131" s="45" t="str">
        <f t="shared" si="176"/>
        <v>Aug-20A</v>
      </c>
      <c r="G131" s="45" t="str">
        <f t="shared" si="176"/>
        <v>Sep-20A</v>
      </c>
      <c r="H131" s="45" t="str">
        <f t="shared" si="176"/>
        <v>Oct-20A</v>
      </c>
      <c r="I131" s="45" t="str">
        <f t="shared" si="176"/>
        <v>Nov-20A</v>
      </c>
      <c r="J131" s="45" t="str">
        <f t="shared" si="176"/>
        <v>Dec-20A</v>
      </c>
      <c r="K131" s="45" t="str">
        <f t="shared" si="176"/>
        <v>Jan-21A</v>
      </c>
      <c r="L131" s="45" t="str">
        <f t="shared" si="176"/>
        <v>Feb-21A</v>
      </c>
      <c r="M131" s="45" t="str">
        <f t="shared" si="176"/>
        <v>Mar-21A</v>
      </c>
      <c r="N131" s="45" t="str">
        <f t="shared" si="176"/>
        <v>Apr-21A</v>
      </c>
      <c r="O131" s="45" t="str">
        <f t="shared" si="176"/>
        <v>May-21A</v>
      </c>
      <c r="P131" s="46" t="str">
        <f t="shared" si="176"/>
        <v>Jun-21A</v>
      </c>
      <c r="Q131" s="45" t="str">
        <f t="shared" si="176"/>
        <v>Jul-21F</v>
      </c>
      <c r="R131" s="45" t="str">
        <f t="shared" si="176"/>
        <v>Aug-21F</v>
      </c>
      <c r="S131" s="45" t="str">
        <f t="shared" si="176"/>
        <v>Sep-21F</v>
      </c>
      <c r="T131" s="45" t="str">
        <f t="shared" si="176"/>
        <v>Oct-21F</v>
      </c>
      <c r="U131" s="45" t="str">
        <f t="shared" si="176"/>
        <v>Nov-21F</v>
      </c>
      <c r="V131" s="45" t="str">
        <f t="shared" si="176"/>
        <v>Dec-21F</v>
      </c>
      <c r="W131" s="45" t="str">
        <f t="shared" si="176"/>
        <v>Jan-22F</v>
      </c>
      <c r="X131" s="45" t="str">
        <f t="shared" si="176"/>
        <v>Feb-22F</v>
      </c>
      <c r="Y131" s="45" t="str">
        <f t="shared" si="176"/>
        <v>Mar-22F</v>
      </c>
      <c r="Z131" s="45" t="str">
        <f t="shared" si="176"/>
        <v>Apr-22F</v>
      </c>
      <c r="AA131" s="45" t="str">
        <f t="shared" si="176"/>
        <v>May-22F</v>
      </c>
      <c r="AB131" s="45" t="str">
        <f t="shared" si="176"/>
        <v>Jun-22F</v>
      </c>
      <c r="AC131" s="45" t="str">
        <f t="shared" si="176"/>
        <v>Jul-22F</v>
      </c>
      <c r="AD131" s="45" t="str">
        <f t="shared" si="176"/>
        <v>Aug-22F</v>
      </c>
      <c r="AE131" s="45" t="str">
        <f t="shared" si="176"/>
        <v>Sep-22F</v>
      </c>
      <c r="AF131" s="45" t="str">
        <f t="shared" si="176"/>
        <v>Oct-22F</v>
      </c>
      <c r="AG131" s="45" t="str">
        <f t="shared" si="176"/>
        <v>Nov-22F</v>
      </c>
      <c r="AH131" s="45" t="str">
        <f t="shared" si="176"/>
        <v>Dec-22F</v>
      </c>
      <c r="AJ131" s="45" t="str">
        <f ca="1">AJ$10</f>
        <v>Q3'20A</v>
      </c>
      <c r="AK131" s="45" t="str">
        <f t="shared" ref="AK131:AW131" ca="1" si="177">AK$10</f>
        <v>Q4'20A</v>
      </c>
      <c r="AL131" s="45" t="str">
        <f t="shared" ca="1" si="177"/>
        <v>Q1'21A</v>
      </c>
      <c r="AM131" s="46" t="str">
        <f t="shared" ca="1" si="177"/>
        <v>Q2'21A</v>
      </c>
      <c r="AN131" s="45" t="str">
        <f t="shared" ca="1" si="177"/>
        <v>Q3'21F</v>
      </c>
      <c r="AO131" s="45" t="str">
        <f t="shared" ca="1" si="177"/>
        <v>Q4'21F</v>
      </c>
      <c r="AP131" s="45" t="str">
        <f t="shared" ca="1" si="177"/>
        <v>Q1'22F</v>
      </c>
      <c r="AQ131" s="45" t="str">
        <f t="shared" ca="1" si="177"/>
        <v>Q2'22F</v>
      </c>
      <c r="AR131" s="45" t="str">
        <f t="shared" ca="1" si="177"/>
        <v>Q3'22F</v>
      </c>
      <c r="AS131" s="45" t="str">
        <f t="shared" ca="1" si="177"/>
        <v>Q4'22F</v>
      </c>
      <c r="AU131" s="45" t="str">
        <f t="shared" ca="1" si="177"/>
        <v>FY20</v>
      </c>
      <c r="AV131" s="45" t="str">
        <f t="shared" ca="1" si="177"/>
        <v>FY21</v>
      </c>
      <c r="AW131" s="45" t="str">
        <f t="shared" ca="1" si="177"/>
        <v>FY22</v>
      </c>
    </row>
    <row r="132" spans="1:49" x14ac:dyDescent="0.25">
      <c r="C132" s="1" t="s">
        <v>127</v>
      </c>
      <c r="D132" s="1"/>
      <c r="E132" s="81">
        <f>E48</f>
        <v>562156.14399295638</v>
      </c>
      <c r="F132" s="81">
        <f t="shared" ref="F132:AH132" si="178">F48</f>
        <v>510019.4799592988</v>
      </c>
      <c r="G132" s="81">
        <f t="shared" si="178"/>
        <v>445820.06756894174</v>
      </c>
      <c r="H132" s="81">
        <f t="shared" si="178"/>
        <v>482398.56433098071</v>
      </c>
      <c r="I132" s="81">
        <f t="shared" si="178"/>
        <v>436327.2045244457</v>
      </c>
      <c r="J132" s="81">
        <f t="shared" si="178"/>
        <v>499924.43905241793</v>
      </c>
      <c r="K132" s="81">
        <f t="shared" si="178"/>
        <v>552765.61098046007</v>
      </c>
      <c r="L132" s="81">
        <f t="shared" si="178"/>
        <v>501178.11713189777</v>
      </c>
      <c r="M132" s="81">
        <f t="shared" si="178"/>
        <v>446926.32853247412</v>
      </c>
      <c r="N132" s="81">
        <f t="shared" si="178"/>
        <v>547431.37831900653</v>
      </c>
      <c r="O132" s="81">
        <f t="shared" si="178"/>
        <v>528162.20087648602</v>
      </c>
      <c r="P132" s="82">
        <f t="shared" si="178"/>
        <v>564446.39314614469</v>
      </c>
      <c r="Q132" s="80">
        <f t="shared" si="178"/>
        <v>587994.52948646969</v>
      </c>
      <c r="R132" s="80">
        <f t="shared" si="178"/>
        <v>533577.84208116191</v>
      </c>
      <c r="S132" s="80">
        <f t="shared" si="178"/>
        <v>466438.41506550455</v>
      </c>
      <c r="T132" s="80">
        <f t="shared" si="178"/>
        <v>504788.95606071199</v>
      </c>
      <c r="U132" s="80">
        <f t="shared" si="178"/>
        <v>456603.6797789869</v>
      </c>
      <c r="V132" s="80">
        <f t="shared" si="178"/>
        <v>523079.80223329831</v>
      </c>
      <c r="W132" s="80">
        <f t="shared" si="178"/>
        <v>578335.72805929102</v>
      </c>
      <c r="X132" s="80">
        <f t="shared" si="178"/>
        <v>524334.7196004251</v>
      </c>
      <c r="Y132" s="80">
        <f t="shared" si="178"/>
        <v>467560.13096466631</v>
      </c>
      <c r="Z132" s="80">
        <f t="shared" si="178"/>
        <v>572773.8595834733</v>
      </c>
      <c r="AA132" s="80">
        <f t="shared" si="178"/>
        <v>552512.38495409349</v>
      </c>
      <c r="AB132" s="80">
        <f t="shared" si="178"/>
        <v>590538.35370230279</v>
      </c>
      <c r="AC132" s="80">
        <f t="shared" si="178"/>
        <v>615115.67559824907</v>
      </c>
      <c r="AD132" s="80">
        <f t="shared" si="178"/>
        <v>558311.92250331491</v>
      </c>
      <c r="AE132" s="80">
        <f t="shared" si="178"/>
        <v>488088.28604118986</v>
      </c>
      <c r="AF132" s="80">
        <f t="shared" si="178"/>
        <v>528301.08785546653</v>
      </c>
      <c r="AG132" s="80">
        <f t="shared" si="178"/>
        <v>477897.25248702377</v>
      </c>
      <c r="AH132" s="80">
        <f t="shared" si="178"/>
        <v>547393.92870528845</v>
      </c>
      <c r="AJ132" s="83" cm="1">
        <f t="array" aca="1" ref="AJ132" ca="1">SUMPRODUCT(($E132:$AH132)*(AJ$3&amp;AJ$4&amp;AJ$5&amp;AJ$6=$E$3:$AH$3&amp;$E$4:$AH$4&amp;$E$5:$AH$5&amp;$E$6:$AH$6))</f>
        <v>1517995.6915211969</v>
      </c>
      <c r="AK132" s="83" cm="1">
        <f t="array" aca="1" ref="AK132" ca="1">SUMPRODUCT(($E132:$AH132)*(AK$3=$E$3:$AH$3)*(AK$4=$E$4:$AH$4)*(AK$5=$E$5:$AH$5)*(AK$6=$E$6:$AH$6))</f>
        <v>1418650.2079078443</v>
      </c>
      <c r="AL132" s="83" cm="1">
        <f t="array" aca="1" ref="AL132" ca="1">SUMPRODUCT(($E132:$AH132)*(AL$3=$E$3:$AH$3)*(AL$4=$E$4:$AH$4)*(AL$5=$E$5:$AH$5)*(AL$6=$E$6:$AH$6))</f>
        <v>1500870.056644832</v>
      </c>
      <c r="AM132" s="158" cm="1">
        <f t="array" aca="1" ref="AM132" ca="1">SUMPRODUCT(($E132:$AH132)*(AM$3=$E$3:$AH$3)*(AM$4=$E$4:$AH$4)*(AM$5=$E$5:$AH$5)*(AM$6=$E$6:$AH$6))</f>
        <v>1640039.9723416371</v>
      </c>
      <c r="AN132" s="83" cm="1">
        <f t="array" aca="1" ref="AN132" ca="1">SUMPRODUCT(($E132:$AH132)*(AN$3=$E$3:$AH$3)*(AN$4=$E$4:$AH$4)*(AN$5=$E$5:$AH$5)*(AN$6=$E$6:$AH$6))</f>
        <v>1588010.7866331362</v>
      </c>
      <c r="AO132" s="83" cm="1">
        <f t="array" aca="1" ref="AO132" ca="1">SUMPRODUCT(($E132:$AH132)*(AO$3=$E$3:$AH$3)*(AO$4=$E$4:$AH$4)*(AO$5=$E$5:$AH$5)*(AO$6=$E$6:$AH$6))</f>
        <v>1484472.4380729971</v>
      </c>
      <c r="AP132" s="83" cm="1">
        <f t="array" aca="1" ref="AP132" ca="1">SUMPRODUCT(($E132:$AH132)*(AP$3=$E$3:$AH$3)*(AP$4=$E$4:$AH$4)*(AP$5=$E$5:$AH$5)*(AP$6=$E$6:$AH$6))</f>
        <v>1570230.5786243824</v>
      </c>
      <c r="AQ132" s="83" cm="1">
        <f t="array" aca="1" ref="AQ132" ca="1">SUMPRODUCT(($E132:$AH132)*(AQ$3=$E$3:$AH$3)*(AQ$4=$E$4:$AH$4)*(AQ$5=$E$5:$AH$5)*(AQ$6=$E$6:$AH$6))</f>
        <v>1715824.5982398696</v>
      </c>
      <c r="AR132" s="83" cm="1">
        <f t="array" aca="1" ref="AR132" ca="1">SUMPRODUCT(($E132:$AH132)*(AR$3=$E$3:$AH$3)*(AR$4=$E$4:$AH$4)*(AR$5=$E$5:$AH$5)*(AR$6=$E$6:$AH$6))</f>
        <v>1661515.8841427539</v>
      </c>
      <c r="AS132" s="83" cm="1">
        <f t="array" aca="1" ref="AS132" ca="1">SUMPRODUCT(($E132:$AH132)*(AS$3=$E$3:$AH$3)*(AS$4=$E$4:$AH$4)*(AS$5=$E$5:$AH$5)*(AS$6=$E$6:$AH$6))</f>
        <v>1553592.2690477786</v>
      </c>
      <c r="AU132" s="83" cm="1">
        <f t="array" aca="1" ref="AU132" ca="1">SUMPRODUCT(($E132:$AH132)*(AU$5=$E$5:$AH$5))</f>
        <v>2936645.899429041</v>
      </c>
      <c r="AV132" s="83" cm="1">
        <f t="array" aca="1" ref="AV132" ca="1">SUMPRODUCT(($E132:$AH132)*(AV$5=$E$5:$AH$5))</f>
        <v>6213393.2536926027</v>
      </c>
      <c r="AW132" s="83" cm="1">
        <f t="array" aca="1" ref="AW132" ca="1">SUMPRODUCT(($E132:$AH132)*(AW$5=$E$5:$AH$5))</f>
        <v>6501163.3300547833</v>
      </c>
    </row>
    <row r="133" spans="1:49" x14ac:dyDescent="0.25">
      <c r="C133" s="23" t="s">
        <v>243</v>
      </c>
      <c r="D133" s="23"/>
      <c r="E133" s="130">
        <f>E134*1000/E132</f>
        <v>2.9000000000000001E-2</v>
      </c>
      <c r="F133" s="131">
        <f t="shared" ref="F133:P133" si="179">F134*1000/F132</f>
        <v>2.9000000000000001E-2</v>
      </c>
      <c r="G133" s="131">
        <f t="shared" si="179"/>
        <v>2.9000000000000001E-2</v>
      </c>
      <c r="H133" s="131">
        <f t="shared" si="179"/>
        <v>2.9000000000000001E-2</v>
      </c>
      <c r="I133" s="131">
        <f t="shared" si="179"/>
        <v>2.9000000000000001E-2</v>
      </c>
      <c r="J133" s="131">
        <f t="shared" si="179"/>
        <v>2.9000000000000001E-2</v>
      </c>
      <c r="K133" s="131">
        <f t="shared" si="179"/>
        <v>2.9000000000000001E-2</v>
      </c>
      <c r="L133" s="131">
        <f t="shared" si="179"/>
        <v>2.9000000000000001E-2</v>
      </c>
      <c r="M133" s="131">
        <f t="shared" si="179"/>
        <v>2.9000000000000001E-2</v>
      </c>
      <c r="N133" s="131">
        <f t="shared" si="179"/>
        <v>2.9000000000000001E-2</v>
      </c>
      <c r="O133" s="131">
        <f t="shared" si="179"/>
        <v>2.9000000000000001E-2</v>
      </c>
      <c r="P133" s="132">
        <f t="shared" si="179"/>
        <v>2.8999999999999998E-2</v>
      </c>
      <c r="Q133" s="136">
        <f>AVERAGE(K133:P133)</f>
        <v>2.9000000000000001E-2</v>
      </c>
      <c r="R133" s="136">
        <f>Q133</f>
        <v>2.9000000000000001E-2</v>
      </c>
      <c r="S133" s="136">
        <f t="shared" ref="S133:AH133" si="180">R133</f>
        <v>2.9000000000000001E-2</v>
      </c>
      <c r="T133" s="136">
        <f t="shared" si="180"/>
        <v>2.9000000000000001E-2</v>
      </c>
      <c r="U133" s="136">
        <f t="shared" si="180"/>
        <v>2.9000000000000001E-2</v>
      </c>
      <c r="V133" s="136">
        <f t="shared" si="180"/>
        <v>2.9000000000000001E-2</v>
      </c>
      <c r="W133" s="136">
        <f t="shared" si="180"/>
        <v>2.9000000000000001E-2</v>
      </c>
      <c r="X133" s="136">
        <f t="shared" si="180"/>
        <v>2.9000000000000001E-2</v>
      </c>
      <c r="Y133" s="136">
        <f t="shared" si="180"/>
        <v>2.9000000000000001E-2</v>
      </c>
      <c r="Z133" s="136">
        <f t="shared" si="180"/>
        <v>2.9000000000000001E-2</v>
      </c>
      <c r="AA133" s="136">
        <f t="shared" si="180"/>
        <v>2.9000000000000001E-2</v>
      </c>
      <c r="AB133" s="136">
        <f t="shared" si="180"/>
        <v>2.9000000000000001E-2</v>
      </c>
      <c r="AC133" s="136">
        <f t="shared" si="180"/>
        <v>2.9000000000000001E-2</v>
      </c>
      <c r="AD133" s="136">
        <f t="shared" si="180"/>
        <v>2.9000000000000001E-2</v>
      </c>
      <c r="AE133" s="136">
        <f t="shared" si="180"/>
        <v>2.9000000000000001E-2</v>
      </c>
      <c r="AF133" s="136">
        <f t="shared" si="180"/>
        <v>2.9000000000000001E-2</v>
      </c>
      <c r="AG133" s="136">
        <f t="shared" si="180"/>
        <v>2.9000000000000001E-2</v>
      </c>
      <c r="AH133" s="136">
        <f t="shared" si="180"/>
        <v>2.9000000000000001E-2</v>
      </c>
      <c r="AJ133" s="131">
        <f t="shared" ref="AJ133:AW133" ca="1" si="181">AJ134*1000/AJ132</f>
        <v>2.9000000000000005E-2</v>
      </c>
      <c r="AK133" s="332">
        <f t="shared" ca="1" si="181"/>
        <v>2.9000000000000001E-2</v>
      </c>
      <c r="AL133" s="332">
        <f t="shared" ca="1" si="181"/>
        <v>2.8999999999999998E-2</v>
      </c>
      <c r="AM133" s="333">
        <f t="shared" ca="1" si="181"/>
        <v>2.9000000000000005E-2</v>
      </c>
      <c r="AN133" s="332">
        <f t="shared" ca="1" si="181"/>
        <v>2.8999999999999998E-2</v>
      </c>
      <c r="AO133" s="332">
        <f t="shared" ca="1" si="181"/>
        <v>2.9000000000000001E-2</v>
      </c>
      <c r="AP133" s="332">
        <f t="shared" ca="1" si="181"/>
        <v>2.9000000000000001E-2</v>
      </c>
      <c r="AQ133" s="332">
        <f t="shared" ca="1" si="181"/>
        <v>2.9000000000000001E-2</v>
      </c>
      <c r="AR133" s="332">
        <f t="shared" ca="1" si="181"/>
        <v>2.9000000000000001E-2</v>
      </c>
      <c r="AS133" s="332">
        <f t="shared" ca="1" si="181"/>
        <v>2.9000000000000005E-2</v>
      </c>
      <c r="AU133" s="332">
        <f t="shared" ca="1" si="181"/>
        <v>2.9000000000000008E-2</v>
      </c>
      <c r="AV133" s="332">
        <f t="shared" ca="1" si="181"/>
        <v>2.9000000000000001E-2</v>
      </c>
      <c r="AW133" s="332">
        <f t="shared" ca="1" si="181"/>
        <v>2.9000000000000001E-2</v>
      </c>
    </row>
    <row r="134" spans="1:49" x14ac:dyDescent="0.25">
      <c r="B134" t="s">
        <v>231</v>
      </c>
      <c r="C134" s="129" t="s">
        <v>244</v>
      </c>
      <c r="D134" s="1"/>
      <c r="E134" s="134">
        <v>16.302528175795736</v>
      </c>
      <c r="F134" s="155">
        <v>14.790564918819666</v>
      </c>
      <c r="G134" s="155">
        <v>12.928781959499311</v>
      </c>
      <c r="H134" s="155">
        <v>13.989558365598441</v>
      </c>
      <c r="I134" s="155">
        <v>12.653488931208924</v>
      </c>
      <c r="J134" s="155">
        <v>14.497808732520122</v>
      </c>
      <c r="K134" s="155">
        <v>16.030202718433344</v>
      </c>
      <c r="L134" s="155">
        <v>14.534165396825035</v>
      </c>
      <c r="M134" s="155">
        <v>12.960863527441751</v>
      </c>
      <c r="N134" s="155">
        <v>15.875509971251191</v>
      </c>
      <c r="O134" s="155">
        <v>15.316703825418095</v>
      </c>
      <c r="P134" s="156">
        <v>16.368945401238197</v>
      </c>
      <c r="Q134" s="14">
        <f t="shared" ref="Q134" si="182">Q132*Q133/1000</f>
        <v>17.051841355107623</v>
      </c>
      <c r="R134" s="14">
        <f t="shared" ref="R134" si="183">R132*R133/1000</f>
        <v>15.473757420353698</v>
      </c>
      <c r="S134" s="14">
        <f t="shared" ref="S134" si="184">S132*S133/1000</f>
        <v>13.526714036899634</v>
      </c>
      <c r="T134" s="14">
        <f t="shared" ref="T134" si="185">T132*T133/1000</f>
        <v>14.638879725760649</v>
      </c>
      <c r="U134" s="14">
        <f t="shared" ref="U134" si="186">U132*U133/1000</f>
        <v>13.241506713590621</v>
      </c>
      <c r="V134" s="14">
        <f t="shared" ref="V134" si="187">V132*V133/1000</f>
        <v>15.169314264765651</v>
      </c>
      <c r="W134" s="14">
        <f t="shared" ref="W134" si="188">W132*W133/1000</f>
        <v>16.771736113719442</v>
      </c>
      <c r="X134" s="14">
        <f t="shared" ref="X134" si="189">X132*X133/1000</f>
        <v>15.205706868412328</v>
      </c>
      <c r="Y134" s="14">
        <f t="shared" ref="Y134" si="190">Y132*Y133/1000</f>
        <v>13.559243797975324</v>
      </c>
      <c r="Z134" s="14">
        <f t="shared" ref="Z134" si="191">Z132*Z133/1000</f>
        <v>16.610441927920725</v>
      </c>
      <c r="AA134" s="14">
        <f t="shared" ref="AA134" si="192">AA132*AA133/1000</f>
        <v>16.022859163668713</v>
      </c>
      <c r="AB134" s="14">
        <f t="shared" ref="AB134" si="193">AB132*AB133/1000</f>
        <v>17.125612257366782</v>
      </c>
      <c r="AC134" s="14">
        <f t="shared" ref="AC134" si="194">AC132*AC133/1000</f>
        <v>17.838354592349223</v>
      </c>
      <c r="AD134" s="14">
        <f t="shared" ref="AD134" si="195">AD132*AD133/1000</f>
        <v>16.191045752596132</v>
      </c>
      <c r="AE134" s="14">
        <f t="shared" ref="AE134" si="196">AE132*AE133/1000</f>
        <v>14.154560295194507</v>
      </c>
      <c r="AF134" s="14">
        <f t="shared" ref="AF134" si="197">AF132*AF133/1000</f>
        <v>15.32073154780853</v>
      </c>
      <c r="AG134" s="14">
        <f t="shared" ref="AG134" si="198">AG132*AG133/1000</f>
        <v>13.859020322123691</v>
      </c>
      <c r="AH134" s="14">
        <f t="shared" ref="AH134" si="199">AH132*AH133/1000</f>
        <v>15.874423932453366</v>
      </c>
      <c r="AJ134" s="83" cm="1">
        <f t="array" aca="1" ref="AJ134" ca="1">SUMPRODUCT(($E134:$AH134)*(AJ$3&amp;AJ$4&amp;AJ$5&amp;AJ$6=$E$3:$AH$3&amp;$E$4:$AH$4&amp;$E$5:$AH$5&amp;$E$6:$AH$6))</f>
        <v>44.021875054114716</v>
      </c>
      <c r="AK134" s="83" cm="1">
        <f t="array" aca="1" ref="AK134" ca="1">SUMPRODUCT(($E134:$AH134)*(AK$3=$E$3:$AH$3)*(AK$4=$E$4:$AH$4)*(AK$5=$E$5:$AH$5)*(AK$6=$E$6:$AH$6))</f>
        <v>41.140856029327487</v>
      </c>
      <c r="AL134" s="83" cm="1">
        <f t="array" aca="1" ref="AL134" ca="1">SUMPRODUCT(($E134:$AH134)*(AL$3=$E$3:$AH$3)*(AL$4=$E$4:$AH$4)*(AL$5=$E$5:$AH$5)*(AL$6=$E$6:$AH$6))</f>
        <v>43.525231642700128</v>
      </c>
      <c r="AM134" s="158" cm="1">
        <f t="array" aca="1" ref="AM134" ca="1">SUMPRODUCT(($E134:$AH134)*(AM$3=$E$3:$AH$3)*(AM$4=$E$4:$AH$4)*(AM$5=$E$5:$AH$5)*(AM$6=$E$6:$AH$6))</f>
        <v>47.561159197907486</v>
      </c>
      <c r="AN134" s="83" cm="1">
        <f t="array" aca="1" ref="AN134" ca="1">SUMPRODUCT(($E134:$AH134)*(AN$3=$E$3:$AH$3)*(AN$4=$E$4:$AH$4)*(AN$5=$E$5:$AH$5)*(AN$6=$E$6:$AH$6))</f>
        <v>46.052312812360952</v>
      </c>
      <c r="AO134" s="83" cm="1">
        <f t="array" aca="1" ref="AO134" ca="1">SUMPRODUCT(($E134:$AH134)*(AO$3=$E$3:$AH$3)*(AO$4=$E$4:$AH$4)*(AO$5=$E$5:$AH$5)*(AO$6=$E$6:$AH$6))</f>
        <v>43.049700704116923</v>
      </c>
      <c r="AP134" s="83" cm="1">
        <f t="array" aca="1" ref="AP134" ca="1">SUMPRODUCT(($E134:$AH134)*(AP$3=$E$3:$AH$3)*(AP$4=$E$4:$AH$4)*(AP$5=$E$5:$AH$5)*(AP$6=$E$6:$AH$6))</f>
        <v>45.53668678010709</v>
      </c>
      <c r="AQ134" s="83" cm="1">
        <f t="array" aca="1" ref="AQ134" ca="1">SUMPRODUCT(($E134:$AH134)*(AQ$3=$E$3:$AH$3)*(AQ$4=$E$4:$AH$4)*(AQ$5=$E$5:$AH$5)*(AQ$6=$E$6:$AH$6))</f>
        <v>49.75891334895622</v>
      </c>
      <c r="AR134" s="83" cm="1">
        <f t="array" aca="1" ref="AR134" ca="1">SUMPRODUCT(($E134:$AH134)*(AR$3=$E$3:$AH$3)*(AR$4=$E$4:$AH$4)*(AR$5=$E$5:$AH$5)*(AR$6=$E$6:$AH$6))</f>
        <v>48.183960640139865</v>
      </c>
      <c r="AS134" s="83" cm="1">
        <f t="array" aca="1" ref="AS134" ca="1">SUMPRODUCT(($E134:$AH134)*(AS$3=$E$3:$AH$3)*(AS$4=$E$4:$AH$4)*(AS$5=$E$5:$AH$5)*(AS$6=$E$6:$AH$6))</f>
        <v>45.054175802385586</v>
      </c>
      <c r="AU134" s="83" cm="1">
        <f t="array" aca="1" ref="AU134" ca="1">SUMPRODUCT(($E134:$AH134)*(AU$5=$E$5:$AH$5))</f>
        <v>85.16273108344221</v>
      </c>
      <c r="AV134" s="83" cm="1">
        <f t="array" aca="1" ref="AV134" ca="1">SUMPRODUCT(($E134:$AH134)*(AV$5=$E$5:$AH$5))</f>
        <v>180.18840435708549</v>
      </c>
      <c r="AW134" s="83" cm="1">
        <f t="array" aca="1" ref="AW134" ca="1">SUMPRODUCT(($E134:$AH134)*(AW$5=$E$5:$AH$5))</f>
        <v>188.53373657158872</v>
      </c>
    </row>
    <row r="135" spans="1:49" x14ac:dyDescent="0.25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2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M135" s="8"/>
    </row>
    <row r="136" spans="1:49" x14ac:dyDescent="0.25">
      <c r="C136" s="30" t="s">
        <v>510</v>
      </c>
      <c r="D136" s="225"/>
      <c r="E136" s="45" t="str">
        <f t="shared" ref="E136:AH136" si="200">E$9</f>
        <v>Jul-20A</v>
      </c>
      <c r="F136" s="45" t="str">
        <f t="shared" si="200"/>
        <v>Aug-20A</v>
      </c>
      <c r="G136" s="45" t="str">
        <f t="shared" si="200"/>
        <v>Sep-20A</v>
      </c>
      <c r="H136" s="45" t="str">
        <f t="shared" si="200"/>
        <v>Oct-20A</v>
      </c>
      <c r="I136" s="45" t="str">
        <f t="shared" si="200"/>
        <v>Nov-20A</v>
      </c>
      <c r="J136" s="45" t="str">
        <f t="shared" si="200"/>
        <v>Dec-20A</v>
      </c>
      <c r="K136" s="45" t="str">
        <f t="shared" si="200"/>
        <v>Jan-21A</v>
      </c>
      <c r="L136" s="45" t="str">
        <f t="shared" si="200"/>
        <v>Feb-21A</v>
      </c>
      <c r="M136" s="45" t="str">
        <f t="shared" si="200"/>
        <v>Mar-21A</v>
      </c>
      <c r="N136" s="45" t="str">
        <f t="shared" si="200"/>
        <v>Apr-21A</v>
      </c>
      <c r="O136" s="45" t="str">
        <f t="shared" si="200"/>
        <v>May-21A</v>
      </c>
      <c r="P136" s="46" t="str">
        <f t="shared" si="200"/>
        <v>Jun-21A</v>
      </c>
      <c r="Q136" s="45" t="str">
        <f t="shared" si="200"/>
        <v>Jul-21F</v>
      </c>
      <c r="R136" s="45" t="str">
        <f t="shared" si="200"/>
        <v>Aug-21F</v>
      </c>
      <c r="S136" s="45" t="str">
        <f t="shared" si="200"/>
        <v>Sep-21F</v>
      </c>
      <c r="T136" s="45" t="str">
        <f t="shared" si="200"/>
        <v>Oct-21F</v>
      </c>
      <c r="U136" s="45" t="str">
        <f t="shared" si="200"/>
        <v>Nov-21F</v>
      </c>
      <c r="V136" s="45" t="str">
        <f t="shared" si="200"/>
        <v>Dec-21F</v>
      </c>
      <c r="W136" s="45" t="str">
        <f t="shared" si="200"/>
        <v>Jan-22F</v>
      </c>
      <c r="X136" s="45" t="str">
        <f t="shared" si="200"/>
        <v>Feb-22F</v>
      </c>
      <c r="Y136" s="45" t="str">
        <f t="shared" si="200"/>
        <v>Mar-22F</v>
      </c>
      <c r="Z136" s="45" t="str">
        <f t="shared" si="200"/>
        <v>Apr-22F</v>
      </c>
      <c r="AA136" s="45" t="str">
        <f t="shared" si="200"/>
        <v>May-22F</v>
      </c>
      <c r="AB136" s="45" t="str">
        <f t="shared" si="200"/>
        <v>Jun-22F</v>
      </c>
      <c r="AC136" s="45" t="str">
        <f t="shared" si="200"/>
        <v>Jul-22F</v>
      </c>
      <c r="AD136" s="45" t="str">
        <f t="shared" si="200"/>
        <v>Aug-22F</v>
      </c>
      <c r="AE136" s="45" t="str">
        <f t="shared" si="200"/>
        <v>Sep-22F</v>
      </c>
      <c r="AF136" s="45" t="str">
        <f t="shared" si="200"/>
        <v>Oct-22F</v>
      </c>
      <c r="AG136" s="45" t="str">
        <f t="shared" si="200"/>
        <v>Nov-22F</v>
      </c>
      <c r="AH136" s="45" t="str">
        <f t="shared" si="200"/>
        <v>Dec-22F</v>
      </c>
      <c r="AJ136" s="45" t="str">
        <f ca="1">AJ$10</f>
        <v>Q3'20A</v>
      </c>
      <c r="AK136" s="45" t="str">
        <f t="shared" ref="AK136:AW136" ca="1" si="201">AK$10</f>
        <v>Q4'20A</v>
      </c>
      <c r="AL136" s="45" t="str">
        <f t="shared" ca="1" si="201"/>
        <v>Q1'21A</v>
      </c>
      <c r="AM136" s="46" t="str">
        <f t="shared" ca="1" si="201"/>
        <v>Q2'21A</v>
      </c>
      <c r="AN136" s="45" t="str">
        <f t="shared" ca="1" si="201"/>
        <v>Q3'21F</v>
      </c>
      <c r="AO136" s="45" t="str">
        <f t="shared" ca="1" si="201"/>
        <v>Q4'21F</v>
      </c>
      <c r="AP136" s="45" t="str">
        <f t="shared" ca="1" si="201"/>
        <v>Q1'22F</v>
      </c>
      <c r="AQ136" s="45" t="str">
        <f t="shared" ca="1" si="201"/>
        <v>Q2'22F</v>
      </c>
      <c r="AR136" s="45" t="str">
        <f t="shared" ca="1" si="201"/>
        <v>Q3'22F</v>
      </c>
      <c r="AS136" s="45" t="str">
        <f t="shared" ca="1" si="201"/>
        <v>Q4'22F</v>
      </c>
      <c r="AU136" s="45" t="str">
        <f t="shared" ca="1" si="201"/>
        <v>FY20</v>
      </c>
      <c r="AV136" s="45" t="str">
        <f t="shared" ca="1" si="201"/>
        <v>FY21</v>
      </c>
      <c r="AW136" s="45" t="str">
        <f t="shared" ca="1" si="201"/>
        <v>FY22</v>
      </c>
    </row>
    <row r="137" spans="1:49" x14ac:dyDescent="0.25">
      <c r="C137" s="1" t="s">
        <v>189</v>
      </c>
      <c r="D137" s="1"/>
      <c r="E137" s="56">
        <f>Balance_Sheet!E49</f>
        <v>4049.3515067609414</v>
      </c>
      <c r="F137" s="56">
        <f>Balance_Sheet!F49</f>
        <v>3894.0977857368161</v>
      </c>
      <c r="G137" s="56">
        <f>Balance_Sheet!G49</f>
        <v>3957.23097101249</v>
      </c>
      <c r="H137" s="56">
        <f>Balance_Sheet!H49</f>
        <v>3561.3413318490293</v>
      </c>
      <c r="I137" s="56">
        <f>Balance_Sheet!I49</f>
        <v>3429.9283940462769</v>
      </c>
      <c r="J137" s="56">
        <f>Balance_Sheet!J49</f>
        <v>4590.082650445358</v>
      </c>
      <c r="K137" s="56">
        <f>Balance_Sheet!K49</f>
        <v>2903.7436473891348</v>
      </c>
      <c r="L137" s="56">
        <f>Balance_Sheet!L49</f>
        <v>3314.1396539688617</v>
      </c>
      <c r="M137" s="56">
        <f>Balance_Sheet!M49</f>
        <v>3116.9373257259399</v>
      </c>
      <c r="N137" s="56">
        <f>Balance_Sheet!N49</f>
        <v>3433.420989640942</v>
      </c>
      <c r="O137" s="56">
        <f>Balance_Sheet!O49</f>
        <v>2899.1880612812151</v>
      </c>
      <c r="P137" s="34">
        <f>Balance_Sheet!P49</f>
        <v>3199.7125826791689</v>
      </c>
      <c r="Q137" s="33">
        <f>Balance_Sheet!Q49</f>
        <v>2989.6771642932367</v>
      </c>
      <c r="R137" s="33">
        <f>Balance_Sheet!R49</f>
        <v>3222.3588741417425</v>
      </c>
      <c r="S137" s="33">
        <f>Balance_Sheet!S49</f>
        <v>2873.3848426174309</v>
      </c>
      <c r="T137" s="33">
        <f>Balance_Sheet!T49</f>
        <v>2959.5915966445818</v>
      </c>
      <c r="U137" s="33">
        <f>Balance_Sheet!U49</f>
        <v>2805.4570379516131</v>
      </c>
      <c r="V137" s="33">
        <f>Balance_Sheet!V49</f>
        <v>2757.4228225521824</v>
      </c>
      <c r="W137" s="33">
        <f>Balance_Sheet!W49</f>
        <v>2619.1390558413541</v>
      </c>
      <c r="X137" s="33">
        <f>Balance_Sheet!X49</f>
        <v>2959.0478903521998</v>
      </c>
      <c r="Y137" s="33">
        <f>Balance_Sheet!Y49</f>
        <v>3427.0065086894033</v>
      </c>
      <c r="Z137" s="33">
        <f>Balance_Sheet!Z49</f>
        <v>3760.755522689009</v>
      </c>
      <c r="AA137" s="33">
        <f>Balance_Sheet!AA49</f>
        <v>2945.0305832855061</v>
      </c>
      <c r="AB137" s="33">
        <f>Balance_Sheet!AB49</f>
        <v>3123.4976019381534</v>
      </c>
      <c r="AC137" s="33">
        <f>Balance_Sheet!AC49</f>
        <v>3606.6232465284743</v>
      </c>
      <c r="AD137" s="33">
        <f>Balance_Sheet!AD49</f>
        <v>4072.7173879479501</v>
      </c>
      <c r="AE137" s="33">
        <f>Balance_Sheet!AE49</f>
        <v>3781.2327917942912</v>
      </c>
      <c r="AF137" s="33">
        <f>Balance_Sheet!AF49</f>
        <v>3913.8520641883733</v>
      </c>
      <c r="AG137" s="33">
        <f>Balance_Sheet!AG49</f>
        <v>3780.9723925345356</v>
      </c>
      <c r="AH137" s="33">
        <f>Balance_Sheet!AH49</f>
        <v>3788.7133954440746</v>
      </c>
      <c r="AJ137" s="15" cm="1">
        <f t="array" aca="1" ref="AJ137" ca="1">INDEX($E137:$AH137,1,MATCH(AJ$3&amp;AJ$4&amp;AJ$5&amp;AJ$6,$E$3:$AH$3&amp;$E$4:$AH$4&amp;$E$5:$AH$5&amp;$E$6:$AH$6,1))</f>
        <v>3957.23097101249</v>
      </c>
      <c r="AK137" s="15" cm="1">
        <f t="array" aca="1" ref="AK137" ca="1">INDEX($E137:$AH137,1,MATCH(AK$3&amp;AK$4&amp;AK$5&amp;AK$6,$E$3:$AH$3&amp;$E$4:$AH$4&amp;$E$5:$AH$5&amp;$E$6:$AH$6,1))</f>
        <v>4590.082650445358</v>
      </c>
      <c r="AL137" s="15" cm="1">
        <f t="array" aca="1" ref="AL137" ca="1">INDEX($E137:$AH137,1,MATCH(AL$3&amp;AL$4&amp;AL$5&amp;AL$6,$E$3:$AH$3&amp;$E$4:$AH$4&amp;$E$5:$AH$5&amp;$E$6:$AH$6,1))</f>
        <v>3116.9373257259399</v>
      </c>
      <c r="AM137" s="16" cm="1">
        <f t="array" aca="1" ref="AM137" ca="1">INDEX($E137:$AH137,1,MATCH(AM$3&amp;AM$4&amp;AM$5&amp;AM$6,$E$3:$AH$3&amp;$E$4:$AH$4&amp;$E$5:$AH$5&amp;$E$6:$AH$6,1))</f>
        <v>3199.7125826791689</v>
      </c>
      <c r="AN137" s="15" cm="1">
        <f t="array" aca="1" ref="AN137" ca="1">INDEX($E137:$AH137,1,MATCH(AN$3&amp;AN$4&amp;AN$5&amp;AN$6,$E$3:$AH$3&amp;$E$4:$AH$4&amp;$E$5:$AH$5&amp;$E$6:$AH$6,1))</f>
        <v>2873.3848426174309</v>
      </c>
      <c r="AO137" s="15" cm="1">
        <f t="array" aca="1" ref="AO137" ca="1">INDEX($E137:$AH137,1,MATCH(AO$3&amp;AO$4&amp;AO$5&amp;AO$6,$E$3:$AH$3&amp;$E$4:$AH$4&amp;$E$5:$AH$5&amp;$E$6:$AH$6,1))</f>
        <v>2757.4228225521824</v>
      </c>
      <c r="AP137" s="15" cm="1">
        <f t="array" aca="1" ref="AP137" ca="1">INDEX($E137:$AH137,1,MATCH(AP$3&amp;AP$4&amp;AP$5&amp;AP$6,$E$3:$AH$3&amp;$E$4:$AH$4&amp;$E$5:$AH$5&amp;$E$6:$AH$6,1))</f>
        <v>3427.0065086894033</v>
      </c>
      <c r="AQ137" s="15" cm="1">
        <f t="array" aca="1" ref="AQ137" ca="1">INDEX($E137:$AH137,1,MATCH(AQ$3&amp;AQ$4&amp;AQ$5&amp;AQ$6,$E$3:$AH$3&amp;$E$4:$AH$4&amp;$E$5:$AH$5&amp;$E$6:$AH$6,1))</f>
        <v>3123.4976019381534</v>
      </c>
      <c r="AR137" s="15" cm="1">
        <f t="array" aca="1" ref="AR137" ca="1">INDEX($E137:$AH137,1,MATCH(AR$3&amp;AR$4&amp;AR$5&amp;AR$6,$E$3:$AH$3&amp;$E$4:$AH$4&amp;$E$5:$AH$5&amp;$E$6:$AH$6,1))</f>
        <v>3781.2327917942912</v>
      </c>
      <c r="AS137" s="15" cm="1">
        <f t="array" aca="1" ref="AS137" ca="1">INDEX($E137:$AH137,1,MATCH(AS$3&amp;AS$4&amp;AS$5&amp;AS$6,$E$3:$AH$3&amp;$E$4:$AH$4&amp;$E$5:$AH$5&amp;$E$6:$AH$6,1))</f>
        <v>3788.7133954440746</v>
      </c>
      <c r="AU137" s="15">
        <f ca="1">INDEX($E137:$AH137,MATCH(AU$5,$E$5:$AH$5,1))</f>
        <v>4590.082650445358</v>
      </c>
      <c r="AV137" s="15">
        <f t="shared" ref="AV137:AW137" ca="1" si="202">INDEX($E137:$AH137,MATCH(AV$5,$E$5:$AH$5,1))</f>
        <v>2757.4228225521824</v>
      </c>
      <c r="AW137" s="15">
        <f t="shared" ca="1" si="202"/>
        <v>3788.7133954440746</v>
      </c>
    </row>
    <row r="138" spans="1:49" x14ac:dyDescent="0.25">
      <c r="C138" s="1" t="s">
        <v>261</v>
      </c>
      <c r="E138" s="57">
        <v>0.01</v>
      </c>
      <c r="F138" s="33"/>
      <c r="G138" s="33"/>
      <c r="H138" s="33"/>
      <c r="I138" s="33"/>
      <c r="J138" s="56"/>
      <c r="K138" s="33"/>
      <c r="L138" s="33"/>
      <c r="M138" s="33"/>
      <c r="N138" s="33"/>
      <c r="O138" s="33"/>
      <c r="P138" s="34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M138" s="8"/>
    </row>
    <row r="139" spans="1:49" x14ac:dyDescent="0.25">
      <c r="C139" s="23" t="s">
        <v>149</v>
      </c>
      <c r="D139" s="27"/>
      <c r="E139" s="47">
        <f>$E$138/12</f>
        <v>8.3333333333333339E-4</v>
      </c>
      <c r="F139" s="47">
        <f t="shared" ref="F139:P139" si="203">$E$138/12</f>
        <v>8.3333333333333339E-4</v>
      </c>
      <c r="G139" s="47">
        <f t="shared" si="203"/>
        <v>8.3333333333333339E-4</v>
      </c>
      <c r="H139" s="47">
        <f t="shared" si="203"/>
        <v>8.3333333333333339E-4</v>
      </c>
      <c r="I139" s="47">
        <f t="shared" si="203"/>
        <v>8.3333333333333339E-4</v>
      </c>
      <c r="J139" s="47">
        <f t="shared" si="203"/>
        <v>8.3333333333333339E-4</v>
      </c>
      <c r="K139" s="47">
        <f t="shared" si="203"/>
        <v>8.3333333333333339E-4</v>
      </c>
      <c r="L139" s="47">
        <f t="shared" si="203"/>
        <v>8.3333333333333339E-4</v>
      </c>
      <c r="M139" s="47">
        <f t="shared" si="203"/>
        <v>8.3333333333333339E-4</v>
      </c>
      <c r="N139" s="47">
        <f t="shared" si="203"/>
        <v>8.3333333333333339E-4</v>
      </c>
      <c r="O139" s="47">
        <f t="shared" si="203"/>
        <v>8.3333333333333339E-4</v>
      </c>
      <c r="P139" s="92">
        <f t="shared" si="203"/>
        <v>8.3333333333333339E-4</v>
      </c>
      <c r="Q139" s="93">
        <f>AVERAGE(K139:P139)</f>
        <v>8.3333333333333339E-4</v>
      </c>
      <c r="R139" s="103">
        <f t="shared" ref="R139:AH139" si="204">AVERAGE(L139:Q139)</f>
        <v>8.3333333333333339E-4</v>
      </c>
      <c r="S139" s="103">
        <f t="shared" si="204"/>
        <v>8.3333333333333339E-4</v>
      </c>
      <c r="T139" s="103">
        <f t="shared" si="204"/>
        <v>8.3333333333333339E-4</v>
      </c>
      <c r="U139" s="103">
        <f t="shared" si="204"/>
        <v>8.3333333333333339E-4</v>
      </c>
      <c r="V139" s="103">
        <f t="shared" si="204"/>
        <v>8.3333333333333339E-4</v>
      </c>
      <c r="W139" s="103">
        <f t="shared" si="204"/>
        <v>8.3333333333333339E-4</v>
      </c>
      <c r="X139" s="103">
        <f t="shared" si="204"/>
        <v>8.3333333333333339E-4</v>
      </c>
      <c r="Y139" s="103">
        <f t="shared" si="204"/>
        <v>8.3333333333333339E-4</v>
      </c>
      <c r="Z139" s="103">
        <f t="shared" si="204"/>
        <v>8.3333333333333339E-4</v>
      </c>
      <c r="AA139" s="103">
        <f t="shared" si="204"/>
        <v>8.3333333333333339E-4</v>
      </c>
      <c r="AB139" s="103">
        <f t="shared" si="204"/>
        <v>8.3333333333333339E-4</v>
      </c>
      <c r="AC139" s="103">
        <f t="shared" si="204"/>
        <v>8.3333333333333339E-4</v>
      </c>
      <c r="AD139" s="103">
        <f t="shared" si="204"/>
        <v>8.3333333333333339E-4</v>
      </c>
      <c r="AE139" s="103">
        <f t="shared" si="204"/>
        <v>8.3333333333333339E-4</v>
      </c>
      <c r="AF139" s="103">
        <f t="shared" si="204"/>
        <v>8.3333333333333339E-4</v>
      </c>
      <c r="AG139" s="103">
        <f t="shared" si="204"/>
        <v>8.3333333333333339E-4</v>
      </c>
      <c r="AH139" s="103">
        <f t="shared" si="204"/>
        <v>8.3333333333333339E-4</v>
      </c>
      <c r="AJ139" s="27"/>
      <c r="AK139" s="27"/>
      <c r="AL139" s="27"/>
      <c r="AM139" s="28"/>
      <c r="AN139" s="27"/>
      <c r="AO139" s="27"/>
      <c r="AP139" s="27"/>
      <c r="AQ139" s="27"/>
      <c r="AR139" s="27"/>
      <c r="AS139" s="27"/>
      <c r="AU139" s="27"/>
      <c r="AV139" s="27"/>
      <c r="AW139" s="27"/>
    </row>
    <row r="140" spans="1:49" x14ac:dyDescent="0.25">
      <c r="B140" t="s">
        <v>231</v>
      </c>
      <c r="C140" t="s">
        <v>511</v>
      </c>
      <c r="E140" s="31">
        <f>E137*E139</f>
        <v>3.3744595889674516</v>
      </c>
      <c r="F140" s="31">
        <f t="shared" ref="F140:P140" si="205">F137*F139</f>
        <v>3.2450814881140135</v>
      </c>
      <c r="G140" s="31">
        <f t="shared" si="205"/>
        <v>3.2976924758437418</v>
      </c>
      <c r="H140" s="31">
        <f t="shared" si="205"/>
        <v>2.9677844432075244</v>
      </c>
      <c r="I140" s="31">
        <f t="shared" si="205"/>
        <v>2.8582736617052311</v>
      </c>
      <c r="J140" s="37">
        <f t="shared" si="205"/>
        <v>3.8250688753711319</v>
      </c>
      <c r="K140" s="31">
        <f t="shared" si="205"/>
        <v>2.4197863728242792</v>
      </c>
      <c r="L140" s="31">
        <f t="shared" si="205"/>
        <v>2.7617830449740515</v>
      </c>
      <c r="M140" s="31">
        <f t="shared" si="205"/>
        <v>2.5974477714382833</v>
      </c>
      <c r="N140" s="31">
        <f t="shared" si="205"/>
        <v>2.8611841580341184</v>
      </c>
      <c r="O140" s="31">
        <f t="shared" si="205"/>
        <v>2.4159900510676793</v>
      </c>
      <c r="P140" s="32">
        <f t="shared" si="205"/>
        <v>2.6664271522326408</v>
      </c>
      <c r="Q140" s="13">
        <f>Q137*Q139</f>
        <v>2.4913976369110307</v>
      </c>
      <c r="R140" s="13">
        <f t="shared" ref="R140:AH140" si="206">R137*R139</f>
        <v>2.6852990617847854</v>
      </c>
      <c r="S140" s="13">
        <f t="shared" si="206"/>
        <v>2.3944873688478592</v>
      </c>
      <c r="T140" s="13">
        <f t="shared" si="206"/>
        <v>2.4663263305371519</v>
      </c>
      <c r="U140" s="13">
        <f t="shared" si="206"/>
        <v>2.3378808649596778</v>
      </c>
      <c r="V140" s="13">
        <f t="shared" si="206"/>
        <v>2.297852352126819</v>
      </c>
      <c r="W140" s="13">
        <f t="shared" si="206"/>
        <v>2.1826158798677953</v>
      </c>
      <c r="X140" s="13">
        <f t="shared" si="206"/>
        <v>2.4658732419601668</v>
      </c>
      <c r="Y140" s="13">
        <f t="shared" si="206"/>
        <v>2.8558387572411696</v>
      </c>
      <c r="Z140" s="13">
        <f t="shared" si="206"/>
        <v>3.1339629355741745</v>
      </c>
      <c r="AA140" s="13">
        <f t="shared" si="206"/>
        <v>2.4541921527379218</v>
      </c>
      <c r="AB140" s="13">
        <f t="shared" si="206"/>
        <v>2.6029146682817945</v>
      </c>
      <c r="AC140" s="13">
        <f t="shared" si="206"/>
        <v>3.0055193721070621</v>
      </c>
      <c r="AD140" s="13">
        <f t="shared" si="206"/>
        <v>3.3939311566232919</v>
      </c>
      <c r="AE140" s="13">
        <f t="shared" si="206"/>
        <v>3.1510273264952429</v>
      </c>
      <c r="AF140" s="13">
        <f t="shared" si="206"/>
        <v>3.2615433868236448</v>
      </c>
      <c r="AG140" s="13">
        <f t="shared" si="206"/>
        <v>3.1508103271121133</v>
      </c>
      <c r="AH140" s="13">
        <f t="shared" si="206"/>
        <v>3.1572611628700624</v>
      </c>
      <c r="AJ140" s="13" cm="1">
        <f t="array" aca="1" ref="AJ140" ca="1">SUMPRODUCT(($E140:$AH140)*(AJ$3&amp;AJ$4&amp;AJ$5&amp;AJ$6=$E$3:$AH$3&amp;$E$4:$AH$4&amp;$E$5:$AH$5&amp;$E$6:$AH$6))</f>
        <v>9.9172335529252074</v>
      </c>
      <c r="AK140" s="13" cm="1">
        <f t="array" aca="1" ref="AK140" ca="1">SUMPRODUCT(($E140:$AH140)*(AK$3=$E$3:$AH$3)*(AK$4=$E$4:$AH$4)*(AK$5=$E$5:$AH$5)*(AK$6=$E$6:$AH$6))</f>
        <v>9.6511269802838875</v>
      </c>
      <c r="AL140" s="13" cm="1">
        <f t="array" aca="1" ref="AL140" ca="1">SUMPRODUCT(($E140:$AH140)*(AL$3=$E$3:$AH$3)*(AL$4=$E$4:$AH$4)*(AL$5=$E$5:$AH$5)*(AL$6=$E$6:$AH$6))</f>
        <v>7.7790171892366136</v>
      </c>
      <c r="AM140" s="17" cm="1">
        <f t="array" aca="1" ref="AM140" ca="1">SUMPRODUCT(($E140:$AH140)*(AM$3=$E$3:$AH$3)*(AM$4=$E$4:$AH$4)*(AM$5=$E$5:$AH$5)*(AM$6=$E$6:$AH$6))</f>
        <v>7.9436013613344389</v>
      </c>
      <c r="AN140" s="13" cm="1">
        <f t="array" aca="1" ref="AN140" ca="1">SUMPRODUCT(($E140:$AH140)*(AN$3=$E$3:$AH$3)*(AN$4=$E$4:$AH$4)*(AN$5=$E$5:$AH$5)*(AN$6=$E$6:$AH$6))</f>
        <v>7.5711840675436743</v>
      </c>
      <c r="AO140" s="13" cm="1">
        <f t="array" aca="1" ref="AO140" ca="1">SUMPRODUCT(($E140:$AH140)*(AO$3=$E$3:$AH$3)*(AO$4=$E$4:$AH$4)*(AO$5=$E$5:$AH$5)*(AO$6=$E$6:$AH$6))</f>
        <v>7.1020595476236483</v>
      </c>
      <c r="AP140" s="13" cm="1">
        <f t="array" aca="1" ref="AP140" ca="1">SUMPRODUCT(($E140:$AH140)*(AP$3=$E$3:$AH$3)*(AP$4=$E$4:$AH$4)*(AP$5=$E$5:$AH$5)*(AP$6=$E$6:$AH$6))</f>
        <v>7.5043278790691321</v>
      </c>
      <c r="AQ140" s="13" cm="1">
        <f t="array" aca="1" ref="AQ140" ca="1">SUMPRODUCT(($E140:$AH140)*(AQ$3=$E$3:$AH$3)*(AQ$4=$E$4:$AH$4)*(AQ$5=$E$5:$AH$5)*(AQ$6=$E$6:$AH$6))</f>
        <v>8.1910697565938904</v>
      </c>
      <c r="AR140" s="13" cm="1">
        <f t="array" aca="1" ref="AR140" ca="1">SUMPRODUCT(($E140:$AH140)*(AR$3=$E$3:$AH$3)*(AR$4=$E$4:$AH$4)*(AR$5=$E$5:$AH$5)*(AR$6=$E$6:$AH$6))</f>
        <v>9.550477855225596</v>
      </c>
      <c r="AS140" s="13" cm="1">
        <f t="array" aca="1" ref="AS140" ca="1">SUMPRODUCT(($E140:$AH140)*(AS$3=$E$3:$AH$3)*(AS$4=$E$4:$AH$4)*(AS$5=$E$5:$AH$5)*(AS$6=$E$6:$AH$6))</f>
        <v>9.5696148768058205</v>
      </c>
      <c r="AT140" s="13"/>
      <c r="AU140" s="13" cm="1">
        <f t="array" aca="1" ref="AU140" ca="1">SUMPRODUCT(($E140:$AH140)*(AU$5=$E$5:$AH$5))</f>
        <v>19.568360533209095</v>
      </c>
      <c r="AV140" s="13" cm="1">
        <f t="array" aca="1" ref="AV140" ca="1">SUMPRODUCT(($E140:$AH140)*(AV$5=$E$5:$AH$5))</f>
        <v>30.395862165738379</v>
      </c>
      <c r="AW140" s="13" cm="1">
        <f t="array" aca="1" ref="AW140" ca="1">SUMPRODUCT(($E140:$AH140)*(AW$5=$E$5:$AH$5))</f>
        <v>34.815490367694444</v>
      </c>
    </row>
    <row r="141" spans="1:49" x14ac:dyDescent="0.25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2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49" ht="18.75" x14ac:dyDescent="0.3">
      <c r="A142" t="s">
        <v>231</v>
      </c>
      <c r="C142" s="182" t="s">
        <v>468</v>
      </c>
      <c r="D142" s="179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  <c r="AB142" s="180"/>
      <c r="AC142" s="180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</row>
    <row r="143" spans="1:49" x14ac:dyDescent="0.25">
      <c r="C143" s="11"/>
      <c r="D143" s="11"/>
    </row>
    <row r="144" spans="1:49" x14ac:dyDescent="0.25">
      <c r="C144" s="30" t="s">
        <v>404</v>
      </c>
      <c r="D144" s="225"/>
      <c r="E144" s="45" t="str">
        <f t="shared" ref="E144:AH144" si="207">E$9</f>
        <v>Jul-20A</v>
      </c>
      <c r="F144" s="45" t="str">
        <f t="shared" si="207"/>
        <v>Aug-20A</v>
      </c>
      <c r="G144" s="45" t="str">
        <f t="shared" si="207"/>
        <v>Sep-20A</v>
      </c>
      <c r="H144" s="45" t="str">
        <f t="shared" si="207"/>
        <v>Oct-20A</v>
      </c>
      <c r="I144" s="45" t="str">
        <f t="shared" si="207"/>
        <v>Nov-20A</v>
      </c>
      <c r="J144" s="45" t="str">
        <f t="shared" si="207"/>
        <v>Dec-20A</v>
      </c>
      <c r="K144" s="45" t="str">
        <f t="shared" si="207"/>
        <v>Jan-21A</v>
      </c>
      <c r="L144" s="45" t="str">
        <f t="shared" si="207"/>
        <v>Feb-21A</v>
      </c>
      <c r="M144" s="45" t="str">
        <f t="shared" si="207"/>
        <v>Mar-21A</v>
      </c>
      <c r="N144" s="45" t="str">
        <f t="shared" si="207"/>
        <v>Apr-21A</v>
      </c>
      <c r="O144" s="45" t="str">
        <f t="shared" si="207"/>
        <v>May-21A</v>
      </c>
      <c r="P144" s="46" t="str">
        <f t="shared" si="207"/>
        <v>Jun-21A</v>
      </c>
      <c r="Q144" s="45" t="str">
        <f t="shared" si="207"/>
        <v>Jul-21F</v>
      </c>
      <c r="R144" s="45" t="str">
        <f t="shared" si="207"/>
        <v>Aug-21F</v>
      </c>
      <c r="S144" s="45" t="str">
        <f t="shared" si="207"/>
        <v>Sep-21F</v>
      </c>
      <c r="T144" s="45" t="str">
        <f t="shared" si="207"/>
        <v>Oct-21F</v>
      </c>
      <c r="U144" s="45" t="str">
        <f t="shared" si="207"/>
        <v>Nov-21F</v>
      </c>
      <c r="V144" s="45" t="str">
        <f t="shared" si="207"/>
        <v>Dec-21F</v>
      </c>
      <c r="W144" s="45" t="str">
        <f t="shared" si="207"/>
        <v>Jan-22F</v>
      </c>
      <c r="X144" s="45" t="str">
        <f t="shared" si="207"/>
        <v>Feb-22F</v>
      </c>
      <c r="Y144" s="45" t="str">
        <f t="shared" si="207"/>
        <v>Mar-22F</v>
      </c>
      <c r="Z144" s="45" t="str">
        <f t="shared" si="207"/>
        <v>Apr-22F</v>
      </c>
      <c r="AA144" s="45" t="str">
        <f t="shared" si="207"/>
        <v>May-22F</v>
      </c>
      <c r="AB144" s="45" t="str">
        <f t="shared" si="207"/>
        <v>Jun-22F</v>
      </c>
      <c r="AC144" s="45" t="str">
        <f t="shared" si="207"/>
        <v>Jul-22F</v>
      </c>
      <c r="AD144" s="45" t="str">
        <f t="shared" si="207"/>
        <v>Aug-22F</v>
      </c>
      <c r="AE144" s="45" t="str">
        <f t="shared" si="207"/>
        <v>Sep-22F</v>
      </c>
      <c r="AF144" s="45" t="str">
        <f t="shared" si="207"/>
        <v>Oct-22F</v>
      </c>
      <c r="AG144" s="45" t="str">
        <f t="shared" si="207"/>
        <v>Nov-22F</v>
      </c>
      <c r="AH144" s="45" t="str">
        <f t="shared" si="207"/>
        <v>Dec-22F</v>
      </c>
      <c r="AJ144" s="45" t="str">
        <f ca="1">AJ$10</f>
        <v>Q3'20A</v>
      </c>
      <c r="AK144" s="45" t="str">
        <f t="shared" ref="AK144:AW144" ca="1" si="208">AK$10</f>
        <v>Q4'20A</v>
      </c>
      <c r="AL144" s="45" t="str">
        <f t="shared" ca="1" si="208"/>
        <v>Q1'21A</v>
      </c>
      <c r="AM144" s="46" t="str">
        <f t="shared" ca="1" si="208"/>
        <v>Q2'21A</v>
      </c>
      <c r="AN144" s="45" t="str">
        <f t="shared" ca="1" si="208"/>
        <v>Q3'21F</v>
      </c>
      <c r="AO144" s="45" t="str">
        <f t="shared" ca="1" si="208"/>
        <v>Q4'21F</v>
      </c>
      <c r="AP144" s="45" t="str">
        <f t="shared" ca="1" si="208"/>
        <v>Q1'22F</v>
      </c>
      <c r="AQ144" s="45" t="str">
        <f t="shared" ca="1" si="208"/>
        <v>Q2'22F</v>
      </c>
      <c r="AR144" s="45" t="str">
        <f t="shared" ca="1" si="208"/>
        <v>Q3'22F</v>
      </c>
      <c r="AS144" s="45" t="str">
        <f t="shared" ca="1" si="208"/>
        <v>Q4'22F</v>
      </c>
      <c r="AU144" s="45" t="str">
        <f t="shared" ca="1" si="208"/>
        <v>FY20</v>
      </c>
      <c r="AV144" s="45" t="str">
        <f t="shared" ca="1" si="208"/>
        <v>FY21</v>
      </c>
      <c r="AW144" s="45" t="str">
        <f t="shared" ca="1" si="208"/>
        <v>FY22</v>
      </c>
    </row>
    <row r="145" spans="1:49" x14ac:dyDescent="0.25">
      <c r="C145" s="1" t="s">
        <v>405</v>
      </c>
      <c r="D145" s="1"/>
      <c r="E145" s="37">
        <v>927.93095274981602</v>
      </c>
      <c r="F145" s="37">
        <v>735.34790537528625</v>
      </c>
      <c r="G145" s="37">
        <v>715.08736984533709</v>
      </c>
      <c r="H145" s="37">
        <v>737.79236606337486</v>
      </c>
      <c r="I145" s="37">
        <v>727.34673636500895</v>
      </c>
      <c r="J145" s="37">
        <v>1012.467363759772</v>
      </c>
      <c r="K145" s="37">
        <v>858.15818043072909</v>
      </c>
      <c r="L145" s="37">
        <v>733.61037718247314</v>
      </c>
      <c r="M145" s="37">
        <v>752.34942815532486</v>
      </c>
      <c r="N145" s="37">
        <v>1014.6717284322399</v>
      </c>
      <c r="O145" s="37">
        <v>997.40795983870771</v>
      </c>
      <c r="P145" s="32">
        <v>1055.3928137161713</v>
      </c>
      <c r="Q145" s="13">
        <f t="shared" ref="Q145:AH145" si="209">Q21*Q149</f>
        <v>962.26710504664845</v>
      </c>
      <c r="R145" s="13">
        <f t="shared" si="209"/>
        <v>785.14070172991967</v>
      </c>
      <c r="S145" s="13">
        <f t="shared" si="209"/>
        <v>748.78092239024659</v>
      </c>
      <c r="T145" s="13">
        <f t="shared" si="209"/>
        <v>762.60943594070318</v>
      </c>
      <c r="U145" s="13">
        <f t="shared" si="209"/>
        <v>778.23495707400616</v>
      </c>
      <c r="V145" s="13">
        <f t="shared" si="209"/>
        <v>1023.5196582385447</v>
      </c>
      <c r="W145" s="13">
        <f t="shared" si="209"/>
        <v>897.98307552943243</v>
      </c>
      <c r="X145" s="13">
        <f t="shared" si="209"/>
        <v>772.4393007521719</v>
      </c>
      <c r="Y145" s="13">
        <f t="shared" si="209"/>
        <v>762.30450351485899</v>
      </c>
      <c r="Z145" s="13">
        <f t="shared" si="209"/>
        <v>1091.5829187646336</v>
      </c>
      <c r="AA145" s="13">
        <f t="shared" si="209"/>
        <v>1024.3667225276668</v>
      </c>
      <c r="AB145" s="13">
        <f t="shared" si="209"/>
        <v>1115.3338176508103</v>
      </c>
      <c r="AC145" s="13">
        <f t="shared" si="209"/>
        <v>1006.6551280661511</v>
      </c>
      <c r="AD145" s="13">
        <f t="shared" si="209"/>
        <v>821.54397788681172</v>
      </c>
      <c r="AE145" s="13">
        <f t="shared" si="209"/>
        <v>783.53491854425556</v>
      </c>
      <c r="AF145" s="13">
        <f t="shared" si="209"/>
        <v>798.13025386969878</v>
      </c>
      <c r="AG145" s="13">
        <f t="shared" si="209"/>
        <v>814.5237339757989</v>
      </c>
      <c r="AH145" s="13">
        <f t="shared" si="209"/>
        <v>1071.1005644978077</v>
      </c>
      <c r="AJ145" s="83" cm="1">
        <f t="array" aca="1" ref="AJ145" ca="1">SUMPRODUCT(($E145:$AH145)*(AJ$3&amp;AJ$4&amp;AJ$5&amp;AJ$6=$E$3:$AH$3&amp;$E$4:$AH$4&amp;$E$5:$AH$5&amp;$E$6:$AH$6))</f>
        <v>2378.3662279704395</v>
      </c>
      <c r="AK145" s="83" cm="1">
        <f t="array" aca="1" ref="AK145" ca="1">SUMPRODUCT(($E145:$AH145)*(AK$3=$E$3:$AH$3)*(AK$4=$E$4:$AH$4)*(AK$5=$E$5:$AH$5)*(AK$6=$E$6:$AH$6))</f>
        <v>2477.606466188156</v>
      </c>
      <c r="AL145" s="83" cm="1">
        <f t="array" aca="1" ref="AL145" ca="1">SUMPRODUCT(($E145:$AH145)*(AL$3=$E$3:$AH$3)*(AL$4=$E$4:$AH$4)*(AL$5=$E$5:$AH$5)*(AL$6=$E$6:$AH$6))</f>
        <v>2344.117985768527</v>
      </c>
      <c r="AM145" s="158" cm="1">
        <f t="array" aca="1" ref="AM145" ca="1">SUMPRODUCT(($E145:$AH145)*(AM$3=$E$3:$AH$3)*(AM$4=$E$4:$AH$4)*(AM$5=$E$5:$AH$5)*(AM$6=$E$6:$AH$6))</f>
        <v>3067.4725019871189</v>
      </c>
      <c r="AN145" s="83" cm="1">
        <f t="array" aca="1" ref="AN145" ca="1">SUMPRODUCT(($E145:$AH145)*(AN$3=$E$3:$AH$3)*(AN$4=$E$4:$AH$4)*(AN$5=$E$5:$AH$5)*(AN$6=$E$6:$AH$6))</f>
        <v>2496.1887291668145</v>
      </c>
      <c r="AO145" s="83" cm="1">
        <f t="array" aca="1" ref="AO145" ca="1">SUMPRODUCT(($E145:$AH145)*(AO$3=$E$3:$AH$3)*(AO$4=$E$4:$AH$4)*(AO$5=$E$5:$AH$5)*(AO$6=$E$6:$AH$6))</f>
        <v>2564.3640512532538</v>
      </c>
      <c r="AP145" s="83" cm="1">
        <f t="array" aca="1" ref="AP145" ca="1">SUMPRODUCT(($E145:$AH145)*(AP$3=$E$3:$AH$3)*(AP$4=$E$4:$AH$4)*(AP$5=$E$5:$AH$5)*(AP$6=$E$6:$AH$6))</f>
        <v>2432.7268797964634</v>
      </c>
      <c r="AQ145" s="83" cm="1">
        <f t="array" aca="1" ref="AQ145" ca="1">SUMPRODUCT(($E145:$AH145)*(AQ$3=$E$3:$AH$3)*(AQ$4=$E$4:$AH$4)*(AQ$5=$E$5:$AH$5)*(AQ$6=$E$6:$AH$6))</f>
        <v>3231.2834589431104</v>
      </c>
      <c r="AR145" s="83" cm="1">
        <f t="array" aca="1" ref="AR145" ca="1">SUMPRODUCT(($E145:$AH145)*(AR$3=$E$3:$AH$3)*(AR$4=$E$4:$AH$4)*(AR$5=$E$5:$AH$5)*(AR$6=$E$6:$AH$6))</f>
        <v>2611.7340244972183</v>
      </c>
      <c r="AS145" s="83" cm="1">
        <f t="array" aca="1" ref="AS145" ca="1">SUMPRODUCT(($E145:$AH145)*(AS$3=$E$3:$AH$3)*(AS$4=$E$4:$AH$4)*(AS$5=$E$5:$AH$5)*(AS$6=$E$6:$AH$6))</f>
        <v>2683.7545523433055</v>
      </c>
      <c r="AT145" s="83"/>
      <c r="AU145" s="83" cm="1">
        <f t="array" aca="1" ref="AU145" ca="1">SUMPRODUCT(($E145:$AH145)*(AU$5=$E$5:$AH$5))</f>
        <v>4855.972694158595</v>
      </c>
      <c r="AV145" s="83" cm="1">
        <f t="array" aca="1" ref="AV145" ca="1">SUMPRODUCT(($E145:$AH145)*(AV$5=$E$5:$AH$5))</f>
        <v>10472.143268175716</v>
      </c>
      <c r="AW145" s="83" cm="1">
        <f t="array" aca="1" ref="AW145" ca="1">SUMPRODUCT(($E145:$AH145)*(AW$5=$E$5:$AH$5))</f>
        <v>10959.498915580098</v>
      </c>
    </row>
    <row r="146" spans="1:49" x14ac:dyDescent="0.25">
      <c r="C146" s="23" t="s">
        <v>406</v>
      </c>
      <c r="D146" s="23"/>
      <c r="E146" s="38">
        <v>148.09361037737426</v>
      </c>
      <c r="F146" s="38">
        <v>123.92129473409102</v>
      </c>
      <c r="G146" s="38">
        <v>121.43511115332853</v>
      </c>
      <c r="H146" s="38">
        <v>118.5511650987753</v>
      </c>
      <c r="I146" s="38">
        <v>140.61727798050197</v>
      </c>
      <c r="J146" s="38">
        <v>190.25619880970646</v>
      </c>
      <c r="K146" s="38">
        <v>141.14509584290613</v>
      </c>
      <c r="L146" s="38">
        <v>138.27453243271236</v>
      </c>
      <c r="M146" s="38">
        <v>120.42514113201105</v>
      </c>
      <c r="N146" s="38">
        <v>182.48454125810872</v>
      </c>
      <c r="O146" s="38">
        <v>186.07012426421761</v>
      </c>
      <c r="P146" s="39">
        <v>194.79437852557157</v>
      </c>
      <c r="Q146" s="24">
        <f t="shared" ref="Q146:AH146" si="210">Q21-Q145</f>
        <v>170.54101188776451</v>
      </c>
      <c r="R146" s="24">
        <f t="shared" si="210"/>
        <v>139.14919157586587</v>
      </c>
      <c r="S146" s="24">
        <f t="shared" si="210"/>
        <v>132.70520785441977</v>
      </c>
      <c r="T146" s="24">
        <f t="shared" si="210"/>
        <v>135.1560125025577</v>
      </c>
      <c r="U146" s="24">
        <f t="shared" si="210"/>
        <v>137.92529784066346</v>
      </c>
      <c r="V146" s="24">
        <f t="shared" si="210"/>
        <v>181.39670086151227</v>
      </c>
      <c r="W146" s="24">
        <f t="shared" si="210"/>
        <v>159.14805936492257</v>
      </c>
      <c r="X146" s="24">
        <f t="shared" si="210"/>
        <v>136.89814322995744</v>
      </c>
      <c r="Y146" s="24">
        <f t="shared" si="210"/>
        <v>135.10196983167339</v>
      </c>
      <c r="Z146" s="24">
        <f t="shared" si="210"/>
        <v>193.45944026268626</v>
      </c>
      <c r="AA146" s="24">
        <f t="shared" si="210"/>
        <v>181.54682466834652</v>
      </c>
      <c r="AB146" s="24">
        <f t="shared" si="210"/>
        <v>197.66877289813578</v>
      </c>
      <c r="AC146" s="24">
        <f t="shared" si="210"/>
        <v>178.40782799499948</v>
      </c>
      <c r="AD146" s="24">
        <f t="shared" si="210"/>
        <v>145.60088416648512</v>
      </c>
      <c r="AE146" s="24">
        <f t="shared" si="210"/>
        <v>138.86460127040982</v>
      </c>
      <c r="AF146" s="24">
        <f t="shared" si="210"/>
        <v>141.45130847695179</v>
      </c>
      <c r="AG146" s="24">
        <f t="shared" si="210"/>
        <v>144.35669791715372</v>
      </c>
      <c r="AH146" s="24">
        <f t="shared" si="210"/>
        <v>189.82938639906706</v>
      </c>
      <c r="AJ146" s="24" cm="1">
        <f t="array" aca="1" ref="AJ146" ca="1">SUMPRODUCT(($E146:$AH146)*(AJ$3&amp;AJ$4&amp;AJ$5&amp;AJ$6=$E$3:$AH$3&amp;$E$4:$AH$4&amp;$E$5:$AH$5&amp;$E$6:$AH$6))</f>
        <v>393.45001626479382</v>
      </c>
      <c r="AK146" s="24" cm="1">
        <f t="array" aca="1" ref="AK146" ca="1">SUMPRODUCT(($E146:$AH146)*(AK$3&amp;AK$4&amp;AK$5&amp;AK$6=$E$3:$AH$3&amp;$E$4:$AH$4&amp;$E$5:$AH$5&amp;$E$6:$AH$6))</f>
        <v>449.42464188898373</v>
      </c>
      <c r="AL146" s="24" cm="1">
        <f t="array" aca="1" ref="AL146" ca="1">SUMPRODUCT(($E146:$AH146)*(AL$3&amp;AL$4&amp;AL$5&amp;AL$6=$E$3:$AH$3&amp;$E$4:$AH$4&amp;$E$5:$AH$5&amp;$E$6:$AH$6))</f>
        <v>399.84476940762954</v>
      </c>
      <c r="AM146" s="64" cm="1">
        <f t="array" aca="1" ref="AM146" ca="1">SUMPRODUCT(($E146:$AH146)*(AM$3&amp;AM$4&amp;AM$5&amp;AM$6=$E$3:$AH$3&amp;$E$4:$AH$4&amp;$E$5:$AH$5&amp;$E$6:$AH$6))</f>
        <v>563.34904404789791</v>
      </c>
      <c r="AN146" s="24" cm="1">
        <f t="array" aca="1" ref="AN146" ca="1">SUMPRODUCT(($E146:$AH146)*(AN$3&amp;AN$4&amp;AN$5&amp;AN$6=$E$3:$AH$3&amp;$E$4:$AH$4&amp;$E$5:$AH$5&amp;$E$6:$AH$6))</f>
        <v>442.39541131805015</v>
      </c>
      <c r="AO146" s="24" cm="1">
        <f t="array" aca="1" ref="AO146" ca="1">SUMPRODUCT(($E146:$AH146)*(AO$3&amp;AO$4&amp;AO$5&amp;AO$6=$E$3:$AH$3&amp;$E$4:$AH$4&amp;$E$5:$AH$5&amp;$E$6:$AH$6))</f>
        <v>454.47801120473343</v>
      </c>
      <c r="AP146" s="24" cm="1">
        <f t="array" aca="1" ref="AP146" ca="1">SUMPRODUCT(($E146:$AH146)*(AP$3&amp;AP$4&amp;AP$5&amp;AP$6=$E$3:$AH$3&amp;$E$4:$AH$4&amp;$E$5:$AH$5&amp;$E$6:$AH$6))</f>
        <v>431.1481724265534</v>
      </c>
      <c r="AQ146" s="24" cm="1">
        <f t="array" aca="1" ref="AQ146" ca="1">SUMPRODUCT(($E146:$AH146)*(AQ$3&amp;AQ$4&amp;AQ$5&amp;AQ$6=$E$3:$AH$3&amp;$E$4:$AH$4&amp;$E$5:$AH$5&amp;$E$6:$AH$6))</f>
        <v>572.67503782916856</v>
      </c>
      <c r="AR146" s="24" cm="1">
        <f t="array" aca="1" ref="AR146" ca="1">SUMPRODUCT(($E146:$AH146)*(AR$3&amp;AR$4&amp;AR$5&amp;AR$6=$E$3:$AH$3&amp;$E$4:$AH$4&amp;$E$5:$AH$5&amp;$E$6:$AH$6))</f>
        <v>462.87331343189442</v>
      </c>
      <c r="AS146" s="24" cm="1">
        <f t="array" aca="1" ref="AS146" ca="1">SUMPRODUCT(($E146:$AH146)*(AS$3&amp;AS$4&amp;AS$5&amp;AS$6=$E$3:$AH$3&amp;$E$4:$AH$4&amp;$E$5:$AH$5&amp;$E$6:$AH$6))</f>
        <v>475.63739279317258</v>
      </c>
      <c r="AT146" s="83"/>
      <c r="AU146" s="24" cm="1">
        <f t="array" aca="1" ref="AU146" ca="1">SUMPRODUCT(($E146:$AH146)*(AU$5=$E$5:$AH$5))</f>
        <v>842.87465815377755</v>
      </c>
      <c r="AV146" s="24" cm="1">
        <f t="array" aca="1" ref="AV146" ca="1">SUMPRODUCT(($E146:$AH146)*(AV$5=$E$5:$AH$5))</f>
        <v>1860.0672359783111</v>
      </c>
      <c r="AW146" s="24" cm="1">
        <f t="array" aca="1" ref="AW146" ca="1">SUMPRODUCT(($E146:$AH146)*(AW$5=$E$5:$AH$5))</f>
        <v>1942.333916480789</v>
      </c>
    </row>
    <row r="147" spans="1:49" x14ac:dyDescent="0.25">
      <c r="B147" t="s">
        <v>231</v>
      </c>
      <c r="C147" s="25" t="s">
        <v>7</v>
      </c>
      <c r="D147" s="25"/>
      <c r="E147" s="14">
        <f>SUM(E145:E146)</f>
        <v>1076.0245631271903</v>
      </c>
      <c r="F147" s="21">
        <f t="shared" ref="F147:AH147" si="211">SUM(F145:F146)</f>
        <v>859.26920010937727</v>
      </c>
      <c r="G147" s="21">
        <f t="shared" si="211"/>
        <v>836.52248099866563</v>
      </c>
      <c r="H147" s="21">
        <f t="shared" si="211"/>
        <v>856.34353116215016</v>
      </c>
      <c r="I147" s="21">
        <f t="shared" si="211"/>
        <v>867.96401434551092</v>
      </c>
      <c r="J147" s="21">
        <f t="shared" si="211"/>
        <v>1202.7235625694784</v>
      </c>
      <c r="K147" s="14">
        <f t="shared" si="211"/>
        <v>999.30327627363522</v>
      </c>
      <c r="L147" s="21">
        <f t="shared" si="211"/>
        <v>871.88490961518551</v>
      </c>
      <c r="M147" s="21">
        <f t="shared" si="211"/>
        <v>872.77456928733591</v>
      </c>
      <c r="N147" s="21">
        <f t="shared" si="211"/>
        <v>1197.1562696903486</v>
      </c>
      <c r="O147" s="21">
        <f t="shared" si="211"/>
        <v>1183.4780841029253</v>
      </c>
      <c r="P147" s="22">
        <f t="shared" si="211"/>
        <v>1250.1871922417429</v>
      </c>
      <c r="Q147" s="21">
        <f t="shared" si="211"/>
        <v>1132.808116934413</v>
      </c>
      <c r="R147" s="21">
        <f t="shared" si="211"/>
        <v>924.28989330578554</v>
      </c>
      <c r="S147" s="21">
        <f t="shared" si="211"/>
        <v>881.48613024466636</v>
      </c>
      <c r="T147" s="21">
        <f t="shared" si="211"/>
        <v>897.76544844326088</v>
      </c>
      <c r="U147" s="21">
        <f t="shared" si="211"/>
        <v>916.16025491466962</v>
      </c>
      <c r="V147" s="21">
        <f t="shared" si="211"/>
        <v>1204.916359100057</v>
      </c>
      <c r="W147" s="21">
        <f t="shared" si="211"/>
        <v>1057.131134894355</v>
      </c>
      <c r="X147" s="21">
        <f t="shared" si="211"/>
        <v>909.33744398212934</v>
      </c>
      <c r="Y147" s="21">
        <f t="shared" si="211"/>
        <v>897.40647334653238</v>
      </c>
      <c r="Z147" s="21">
        <f t="shared" si="211"/>
        <v>1285.0423590273199</v>
      </c>
      <c r="AA147" s="21">
        <f t="shared" si="211"/>
        <v>1205.9135471960133</v>
      </c>
      <c r="AB147" s="21">
        <f t="shared" si="211"/>
        <v>1313.002590548946</v>
      </c>
      <c r="AC147" s="21">
        <f t="shared" si="211"/>
        <v>1185.0629560611505</v>
      </c>
      <c r="AD147" s="21">
        <f t="shared" si="211"/>
        <v>967.14486205329683</v>
      </c>
      <c r="AE147" s="21">
        <f t="shared" si="211"/>
        <v>922.39951981466538</v>
      </c>
      <c r="AF147" s="21">
        <f t="shared" si="211"/>
        <v>939.58156234665057</v>
      </c>
      <c r="AG147" s="21">
        <f t="shared" si="211"/>
        <v>958.88043189295263</v>
      </c>
      <c r="AH147" s="21">
        <f t="shared" si="211"/>
        <v>1260.9299508968747</v>
      </c>
      <c r="AJ147" s="21">
        <f t="shared" ref="AJ147:AS147" ca="1" si="212">SUM(AJ145:AJ146)</f>
        <v>2771.8162442352332</v>
      </c>
      <c r="AK147" s="21">
        <f t="shared" ca="1" si="212"/>
        <v>2927.0311080771398</v>
      </c>
      <c r="AL147" s="21">
        <f t="shared" ca="1" si="212"/>
        <v>2743.9627551761564</v>
      </c>
      <c r="AM147" s="22">
        <f t="shared" ca="1" si="212"/>
        <v>3630.8215460350166</v>
      </c>
      <c r="AN147" s="21">
        <f t="shared" ca="1" si="212"/>
        <v>2938.5841404848647</v>
      </c>
      <c r="AO147" s="21">
        <f t="shared" ca="1" si="212"/>
        <v>3018.8420624579871</v>
      </c>
      <c r="AP147" s="21">
        <f t="shared" ca="1" si="212"/>
        <v>2863.8750522230166</v>
      </c>
      <c r="AQ147" s="21">
        <f t="shared" ca="1" si="212"/>
        <v>3803.958496772279</v>
      </c>
      <c r="AR147" s="21">
        <f t="shared" ca="1" si="212"/>
        <v>3074.6073379291129</v>
      </c>
      <c r="AS147" s="21">
        <f t="shared" ca="1" si="212"/>
        <v>3159.3919451364782</v>
      </c>
      <c r="AU147" s="21">
        <f t="shared" ref="AU147:AW147" ca="1" si="213">SUM(AU145:AU146)</f>
        <v>5698.8473523123721</v>
      </c>
      <c r="AV147" s="21">
        <f t="shared" ca="1" si="213"/>
        <v>12332.210504154027</v>
      </c>
      <c r="AW147" s="21">
        <f t="shared" ca="1" si="213"/>
        <v>12901.832832060887</v>
      </c>
    </row>
    <row r="148" spans="1:49" x14ac:dyDescent="0.25">
      <c r="P148" s="8"/>
      <c r="AM148" s="8"/>
    </row>
    <row r="149" spans="1:49" x14ac:dyDescent="0.25">
      <c r="A149" t="s">
        <v>231</v>
      </c>
      <c r="B149" t="s">
        <v>231</v>
      </c>
      <c r="C149" t="s">
        <v>407</v>
      </c>
      <c r="E149" s="58">
        <f>E145/E147</f>
        <v>0.86236967495706784</v>
      </c>
      <c r="F149" s="58">
        <f t="shared" ref="F149:P149" si="214">F145/F147</f>
        <v>0.85578292027886382</v>
      </c>
      <c r="G149" s="58">
        <f t="shared" si="214"/>
        <v>0.85483341582361816</v>
      </c>
      <c r="H149" s="58">
        <f t="shared" si="214"/>
        <v>0.86156120670650871</v>
      </c>
      <c r="I149" s="58">
        <f t="shared" si="214"/>
        <v>0.83799181111611576</v>
      </c>
      <c r="J149" s="58">
        <f t="shared" si="214"/>
        <v>0.84181219630947757</v>
      </c>
      <c r="K149" s="58">
        <f t="shared" si="214"/>
        <v>0.8587564964569806</v>
      </c>
      <c r="L149" s="58">
        <f t="shared" si="214"/>
        <v>0.84140735674191092</v>
      </c>
      <c r="M149" s="58">
        <f t="shared" si="214"/>
        <v>0.86202033678599943</v>
      </c>
      <c r="N149" s="58">
        <f t="shared" si="214"/>
        <v>0.8475683201280737</v>
      </c>
      <c r="O149" s="58">
        <f t="shared" si="214"/>
        <v>0.84277687372195109</v>
      </c>
      <c r="P149" s="60">
        <f t="shared" si="214"/>
        <v>0.84418783064296099</v>
      </c>
      <c r="Q149" s="57">
        <f>AVERAGE(K149:P149)</f>
        <v>0.84945286907964623</v>
      </c>
      <c r="R149" s="57">
        <f>Q149</f>
        <v>0.84945286907964623</v>
      </c>
      <c r="S149" s="57">
        <f t="shared" ref="S149:AH149" si="215">R149</f>
        <v>0.84945286907964623</v>
      </c>
      <c r="T149" s="57">
        <f t="shared" si="215"/>
        <v>0.84945286907964623</v>
      </c>
      <c r="U149" s="57">
        <f t="shared" si="215"/>
        <v>0.84945286907964623</v>
      </c>
      <c r="V149" s="57">
        <f t="shared" si="215"/>
        <v>0.84945286907964623</v>
      </c>
      <c r="W149" s="57">
        <f t="shared" si="215"/>
        <v>0.84945286907964623</v>
      </c>
      <c r="X149" s="57">
        <f t="shared" si="215"/>
        <v>0.84945286907964623</v>
      </c>
      <c r="Y149" s="57">
        <f t="shared" si="215"/>
        <v>0.84945286907964623</v>
      </c>
      <c r="Z149" s="57">
        <f t="shared" si="215"/>
        <v>0.84945286907964623</v>
      </c>
      <c r="AA149" s="57">
        <f t="shared" si="215"/>
        <v>0.84945286907964623</v>
      </c>
      <c r="AB149" s="57">
        <f t="shared" si="215"/>
        <v>0.84945286907964623</v>
      </c>
      <c r="AC149" s="57">
        <f t="shared" si="215"/>
        <v>0.84945286907964623</v>
      </c>
      <c r="AD149" s="57">
        <f t="shared" si="215"/>
        <v>0.84945286907964623</v>
      </c>
      <c r="AE149" s="57">
        <f t="shared" si="215"/>
        <v>0.84945286907964623</v>
      </c>
      <c r="AF149" s="57">
        <f t="shared" si="215"/>
        <v>0.84945286907964623</v>
      </c>
      <c r="AG149" s="57">
        <f t="shared" si="215"/>
        <v>0.84945286907964623</v>
      </c>
      <c r="AH149" s="57">
        <f t="shared" si="215"/>
        <v>0.84945286907964623</v>
      </c>
      <c r="AJ149" s="323">
        <f t="shared" ref="AJ149:AW149" ca="1" si="216">AJ145/AJ147</f>
        <v>0.85805335505804792</v>
      </c>
      <c r="AK149" s="323">
        <f t="shared" ca="1" si="216"/>
        <v>0.84645716929731396</v>
      </c>
      <c r="AL149" s="323">
        <f t="shared" ca="1" si="216"/>
        <v>0.85428199830578233</v>
      </c>
      <c r="AM149" s="330">
        <f t="shared" ca="1" si="216"/>
        <v>0.8448425413077395</v>
      </c>
      <c r="AN149" s="323">
        <f t="shared" ca="1" si="216"/>
        <v>0.84945286907964623</v>
      </c>
      <c r="AO149" s="323">
        <f t="shared" ca="1" si="216"/>
        <v>0.84945286907964623</v>
      </c>
      <c r="AP149" s="323">
        <f t="shared" ca="1" si="216"/>
        <v>0.84945286907964634</v>
      </c>
      <c r="AQ149" s="323">
        <f t="shared" ca="1" si="216"/>
        <v>0.84945286907964623</v>
      </c>
      <c r="AR149" s="323">
        <f t="shared" ca="1" si="216"/>
        <v>0.84945286907964623</v>
      </c>
      <c r="AS149" s="323">
        <f t="shared" ca="1" si="216"/>
        <v>0.84945286907964623</v>
      </c>
      <c r="AT149" s="323"/>
      <c r="AU149" s="323">
        <f t="shared" ca="1" si="216"/>
        <v>0.85209734424422312</v>
      </c>
      <c r="AV149" s="323">
        <f t="shared" ca="1" si="216"/>
        <v>0.84917000603000092</v>
      </c>
      <c r="AW149" s="323">
        <f t="shared" ca="1" si="216"/>
        <v>0.84945286907964623</v>
      </c>
    </row>
    <row r="150" spans="1:49" x14ac:dyDescent="0.25">
      <c r="P150" s="8"/>
    </row>
  </sheetData>
  <conditionalFormatting sqref="E56:AH56">
    <cfRule type="cellIs" dxfId="0" priority="2" operator="equal">
      <formula>0</formula>
    </cfRule>
  </conditionalFormatting>
  <dataValidations count="2">
    <dataValidation type="list" allowBlank="1" showInputMessage="1" showErrorMessage="1" sqref="AZ65 AZ50 AZ39" xr:uid="{B7B8B8F1-56D6-4E16-86E7-2F60DF5E22AD}">
      <formula1>$C$66:$C$69</formula1>
    </dataValidation>
    <dataValidation type="list" allowBlank="1" showInputMessage="1" showErrorMessage="1" sqref="AZ71" xr:uid="{C1FE86F5-7B5A-46EB-A8B2-5716B682E580}">
      <formula1>$C$72:$C$75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13CC-B10A-45F2-A515-EC8ECD6342C9}">
  <sheetPr>
    <tabColor theme="3"/>
  </sheetPr>
  <dimension ref="A3:BL186"/>
  <sheetViews>
    <sheetView showGridLines="0" zoomScale="85" zoomScaleNormal="85" workbookViewId="0">
      <pane xSplit="3" ySplit="10" topLeftCell="D48" activePane="bottomRight" state="frozen"/>
      <selection activeCell="G47" sqref="G47"/>
      <selection pane="topRight" activeCell="G47" sqref="G47"/>
      <selection pane="bottomLeft" activeCell="G47" sqref="G47"/>
      <selection pane="bottomRight" activeCell="U27" sqref="U27"/>
    </sheetView>
  </sheetViews>
  <sheetFormatPr defaultRowHeight="15" outlineLevelRow="1" outlineLevelCol="1" x14ac:dyDescent="0.25"/>
  <cols>
    <col min="1" max="2" width="2.5703125" customWidth="1"/>
    <col min="3" max="3" width="40.42578125" bestFit="1" customWidth="1"/>
    <col min="4" max="4" width="2.5703125" customWidth="1" outlineLevel="1"/>
    <col min="5" max="10" width="10.140625" customWidth="1" outlineLevel="1"/>
    <col min="11" max="16" width="10.140625" customWidth="1"/>
    <col min="17" max="28" width="10.140625" bestFit="1" customWidth="1"/>
    <col min="29" max="34" width="10.140625" customWidth="1" outlineLevel="1"/>
    <col min="35" max="35" width="2.5703125" customWidth="1"/>
    <col min="36" max="45" width="9.140625" hidden="1" customWidth="1" outlineLevel="1"/>
    <col min="46" max="46" width="2.5703125" customWidth="1" collapsed="1"/>
    <col min="47" max="47" width="9.140625" hidden="1" customWidth="1" outlineLevel="1"/>
    <col min="48" max="49" width="10.140625" hidden="1" customWidth="1" outlineLevel="1"/>
    <col min="50" max="50" width="2.5703125" customWidth="1" collapsed="1"/>
  </cols>
  <sheetData>
    <row r="3" spans="1:49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1:49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1:49" outlineLevel="1" x14ac:dyDescent="0.25">
      <c r="C5" t="s">
        <v>11</v>
      </c>
      <c r="E5" s="5">
        <f t="shared" ref="E5:K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ref="L5:AH5" si="1">YEAR(L8)</f>
        <v>2021</v>
      </c>
      <c r="M5" s="5">
        <f t="shared" si="1"/>
        <v>2021</v>
      </c>
      <c r="N5" s="5">
        <f t="shared" si="1"/>
        <v>2021</v>
      </c>
      <c r="O5" s="5">
        <f t="shared" si="1"/>
        <v>2021</v>
      </c>
      <c r="P5" s="9">
        <f t="shared" si="1"/>
        <v>2021</v>
      </c>
      <c r="Q5" s="5">
        <f t="shared" si="1"/>
        <v>2021</v>
      </c>
      <c r="R5" s="5">
        <f t="shared" si="1"/>
        <v>2021</v>
      </c>
      <c r="S5" s="5">
        <f t="shared" si="1"/>
        <v>2021</v>
      </c>
      <c r="T5" s="5">
        <f t="shared" si="1"/>
        <v>2021</v>
      </c>
      <c r="U5" s="5">
        <f t="shared" si="1"/>
        <v>2021</v>
      </c>
      <c r="V5" s="5">
        <f t="shared" si="1"/>
        <v>2021</v>
      </c>
      <c r="W5" s="5">
        <f t="shared" si="1"/>
        <v>2022</v>
      </c>
      <c r="X5" s="5">
        <f t="shared" si="1"/>
        <v>2022</v>
      </c>
      <c r="Y5" s="5">
        <f t="shared" si="1"/>
        <v>2022</v>
      </c>
      <c r="Z5" s="5">
        <f t="shared" si="1"/>
        <v>2022</v>
      </c>
      <c r="AA5" s="5">
        <f t="shared" si="1"/>
        <v>2022</v>
      </c>
      <c r="AB5" s="5">
        <f t="shared" si="1"/>
        <v>2022</v>
      </c>
      <c r="AC5" s="5">
        <f t="shared" si="1"/>
        <v>2022</v>
      </c>
      <c r="AD5" s="5">
        <f t="shared" si="1"/>
        <v>2022</v>
      </c>
      <c r="AE5" s="5">
        <f t="shared" si="1"/>
        <v>2022</v>
      </c>
      <c r="AF5" s="5">
        <f t="shared" si="1"/>
        <v>2022</v>
      </c>
      <c r="AG5" s="5">
        <f t="shared" si="1"/>
        <v>2022</v>
      </c>
      <c r="AH5" s="5">
        <f t="shared" si="1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1:49" outlineLevel="1" x14ac:dyDescent="0.25">
      <c r="C6" t="s">
        <v>10</v>
      </c>
      <c r="E6" s="5" t="str">
        <f t="shared" ref="E6:K6" si="2">"Q"&amp;ROUNDUP(E7/3,0)</f>
        <v>Q3</v>
      </c>
      <c r="F6" s="5" t="str">
        <f t="shared" si="2"/>
        <v>Q3</v>
      </c>
      <c r="G6" s="5" t="str">
        <f t="shared" si="2"/>
        <v>Q3</v>
      </c>
      <c r="H6" s="5" t="str">
        <f t="shared" si="2"/>
        <v>Q4</v>
      </c>
      <c r="I6" s="5" t="str">
        <f t="shared" si="2"/>
        <v>Q4</v>
      </c>
      <c r="J6" s="5" t="str">
        <f t="shared" si="2"/>
        <v>Q4</v>
      </c>
      <c r="K6" s="5" t="str">
        <f t="shared" si="2"/>
        <v>Q1</v>
      </c>
      <c r="L6" s="5" t="str">
        <f t="shared" ref="L6:AH6" si="3">"Q"&amp;ROUNDUP(L7/3,0)</f>
        <v>Q1</v>
      </c>
      <c r="M6" s="5" t="str">
        <f t="shared" si="3"/>
        <v>Q1</v>
      </c>
      <c r="N6" s="5" t="str">
        <f t="shared" si="3"/>
        <v>Q2</v>
      </c>
      <c r="O6" s="5" t="str">
        <f t="shared" si="3"/>
        <v>Q2</v>
      </c>
      <c r="P6" s="9" t="str">
        <f t="shared" si="3"/>
        <v>Q2</v>
      </c>
      <c r="Q6" s="5" t="str">
        <f t="shared" si="3"/>
        <v>Q3</v>
      </c>
      <c r="R6" s="5" t="str">
        <f t="shared" si="3"/>
        <v>Q3</v>
      </c>
      <c r="S6" s="5" t="str">
        <f t="shared" si="3"/>
        <v>Q3</v>
      </c>
      <c r="T6" s="5" t="str">
        <f t="shared" si="3"/>
        <v>Q4</v>
      </c>
      <c r="U6" s="5" t="str">
        <f t="shared" si="3"/>
        <v>Q4</v>
      </c>
      <c r="V6" s="5" t="str">
        <f t="shared" si="3"/>
        <v>Q4</v>
      </c>
      <c r="W6" s="5" t="str">
        <f t="shared" si="3"/>
        <v>Q1</v>
      </c>
      <c r="X6" s="5" t="str">
        <f t="shared" si="3"/>
        <v>Q1</v>
      </c>
      <c r="Y6" s="5" t="str">
        <f t="shared" si="3"/>
        <v>Q1</v>
      </c>
      <c r="Z6" s="5" t="str">
        <f t="shared" si="3"/>
        <v>Q2</v>
      </c>
      <c r="AA6" s="5" t="str">
        <f t="shared" si="3"/>
        <v>Q2</v>
      </c>
      <c r="AB6" s="5" t="str">
        <f t="shared" si="3"/>
        <v>Q2</v>
      </c>
      <c r="AC6" s="5" t="str">
        <f t="shared" si="3"/>
        <v>Q3</v>
      </c>
      <c r="AD6" s="5" t="str">
        <f t="shared" si="3"/>
        <v>Q3</v>
      </c>
      <c r="AE6" s="5" t="str">
        <f t="shared" si="3"/>
        <v>Q3</v>
      </c>
      <c r="AF6" s="5" t="str">
        <f t="shared" si="3"/>
        <v>Q4</v>
      </c>
      <c r="AG6" s="5" t="str">
        <f t="shared" si="3"/>
        <v>Q4</v>
      </c>
      <c r="AH6" s="5" t="str">
        <f t="shared" si="3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1:49" outlineLevel="1" x14ac:dyDescent="0.25">
      <c r="C7" t="s">
        <v>12</v>
      </c>
      <c r="E7" s="5">
        <f t="shared" ref="E7:K7" si="4">MONTH(E8)</f>
        <v>7</v>
      </c>
      <c r="F7" s="5">
        <f t="shared" si="4"/>
        <v>8</v>
      </c>
      <c r="G7" s="5">
        <f t="shared" si="4"/>
        <v>9</v>
      </c>
      <c r="H7" s="5">
        <f t="shared" si="4"/>
        <v>10</v>
      </c>
      <c r="I7" s="5">
        <f t="shared" si="4"/>
        <v>11</v>
      </c>
      <c r="J7" s="5">
        <f t="shared" si="4"/>
        <v>12</v>
      </c>
      <c r="K7" s="5">
        <f t="shared" si="4"/>
        <v>1</v>
      </c>
      <c r="L7" s="5">
        <f t="shared" ref="L7:AH7" si="5">MONTH(L8)</f>
        <v>2</v>
      </c>
      <c r="M7" s="5">
        <f t="shared" si="5"/>
        <v>3</v>
      </c>
      <c r="N7" s="5">
        <f t="shared" si="5"/>
        <v>4</v>
      </c>
      <c r="O7" s="5">
        <f t="shared" si="5"/>
        <v>5</v>
      </c>
      <c r="P7" s="9">
        <f t="shared" si="5"/>
        <v>6</v>
      </c>
      <c r="Q7" s="5">
        <f t="shared" si="5"/>
        <v>7</v>
      </c>
      <c r="R7" s="5">
        <f t="shared" si="5"/>
        <v>8</v>
      </c>
      <c r="S7" s="5">
        <f t="shared" si="5"/>
        <v>9</v>
      </c>
      <c r="T7" s="5">
        <f t="shared" si="5"/>
        <v>10</v>
      </c>
      <c r="U7" s="5">
        <f t="shared" si="5"/>
        <v>11</v>
      </c>
      <c r="V7" s="5">
        <f t="shared" si="5"/>
        <v>12</v>
      </c>
      <c r="W7" s="5">
        <f t="shared" si="5"/>
        <v>1</v>
      </c>
      <c r="X7" s="5">
        <f t="shared" si="5"/>
        <v>2</v>
      </c>
      <c r="Y7" s="5">
        <f t="shared" si="5"/>
        <v>3</v>
      </c>
      <c r="Z7" s="5">
        <f t="shared" si="5"/>
        <v>4</v>
      </c>
      <c r="AA7" s="5">
        <f t="shared" si="5"/>
        <v>5</v>
      </c>
      <c r="AB7" s="5">
        <f t="shared" si="5"/>
        <v>6</v>
      </c>
      <c r="AC7" s="5">
        <f t="shared" si="5"/>
        <v>7</v>
      </c>
      <c r="AD7" s="5">
        <f t="shared" si="5"/>
        <v>8</v>
      </c>
      <c r="AE7" s="5">
        <f t="shared" si="5"/>
        <v>9</v>
      </c>
      <c r="AF7" s="5">
        <f t="shared" si="5"/>
        <v>10</v>
      </c>
      <c r="AG7" s="5">
        <f t="shared" si="5"/>
        <v>11</v>
      </c>
      <c r="AH7" s="5">
        <f t="shared" si="5"/>
        <v>12</v>
      </c>
      <c r="AJ7" s="5"/>
      <c r="AM7" s="8"/>
    </row>
    <row r="8" spans="1:49" outlineLevel="1" x14ac:dyDescent="0.25">
      <c r="C8" t="s">
        <v>9</v>
      </c>
      <c r="E8" s="6">
        <v>44043</v>
      </c>
      <c r="F8" s="7">
        <f t="shared" ref="F8:L8" si="6">EOMONTH(E8,1)</f>
        <v>44074</v>
      </c>
      <c r="G8" s="7">
        <f t="shared" si="6"/>
        <v>44104</v>
      </c>
      <c r="H8" s="7">
        <f t="shared" si="6"/>
        <v>44135</v>
      </c>
      <c r="I8" s="7">
        <f t="shared" si="6"/>
        <v>44165</v>
      </c>
      <c r="J8" s="7">
        <f t="shared" si="6"/>
        <v>44196</v>
      </c>
      <c r="K8" s="7">
        <f t="shared" si="6"/>
        <v>44227</v>
      </c>
      <c r="L8" s="7">
        <f t="shared" si="6"/>
        <v>44255</v>
      </c>
      <c r="M8" s="7">
        <f t="shared" ref="M8:AH8" si="7">EOMONTH(L8,1)</f>
        <v>44286</v>
      </c>
      <c r="N8" s="7">
        <f t="shared" si="7"/>
        <v>44316</v>
      </c>
      <c r="O8" s="7">
        <f t="shared" si="7"/>
        <v>44347</v>
      </c>
      <c r="P8" s="10">
        <f t="shared" si="7"/>
        <v>44377</v>
      </c>
      <c r="Q8" s="7">
        <f t="shared" si="7"/>
        <v>44408</v>
      </c>
      <c r="R8" s="7">
        <f t="shared" si="7"/>
        <v>44439</v>
      </c>
      <c r="S8" s="7">
        <f t="shared" si="7"/>
        <v>44469</v>
      </c>
      <c r="T8" s="7">
        <f t="shared" si="7"/>
        <v>44500</v>
      </c>
      <c r="U8" s="7">
        <f t="shared" si="7"/>
        <v>44530</v>
      </c>
      <c r="V8" s="7">
        <f t="shared" si="7"/>
        <v>44561</v>
      </c>
      <c r="W8" s="7">
        <f t="shared" si="7"/>
        <v>44592</v>
      </c>
      <c r="X8" s="7">
        <f t="shared" si="7"/>
        <v>44620</v>
      </c>
      <c r="Y8" s="7">
        <f t="shared" si="7"/>
        <v>44651</v>
      </c>
      <c r="Z8" s="7">
        <f t="shared" si="7"/>
        <v>44681</v>
      </c>
      <c r="AA8" s="7">
        <f t="shared" si="7"/>
        <v>44712</v>
      </c>
      <c r="AB8" s="7">
        <f t="shared" si="7"/>
        <v>44742</v>
      </c>
      <c r="AC8" s="7">
        <f t="shared" si="7"/>
        <v>44773</v>
      </c>
      <c r="AD8" s="7">
        <f t="shared" si="7"/>
        <v>44804</v>
      </c>
      <c r="AE8" s="7">
        <f t="shared" si="7"/>
        <v>44834</v>
      </c>
      <c r="AF8" s="7">
        <f t="shared" si="7"/>
        <v>44865</v>
      </c>
      <c r="AG8" s="7">
        <f t="shared" si="7"/>
        <v>44895</v>
      </c>
      <c r="AH8" s="7">
        <f t="shared" si="7"/>
        <v>44926</v>
      </c>
      <c r="AM8" s="8"/>
    </row>
    <row r="9" spans="1:49" outlineLevel="1" x14ac:dyDescent="0.25">
      <c r="C9" t="s">
        <v>17</v>
      </c>
      <c r="E9" s="5" t="str">
        <f t="shared" ref="E9:J9" si="8">TEXT(E8,"mmm-yy")&amp;LEFT(E3,1)</f>
        <v>Jul-20A</v>
      </c>
      <c r="F9" s="5" t="str">
        <f t="shared" si="8"/>
        <v>Aug-20A</v>
      </c>
      <c r="G9" s="5" t="str">
        <f t="shared" si="8"/>
        <v>Sep-20A</v>
      </c>
      <c r="H9" s="5" t="str">
        <f t="shared" si="8"/>
        <v>Oct-20A</v>
      </c>
      <c r="I9" s="5" t="str">
        <f t="shared" si="8"/>
        <v>Nov-20A</v>
      </c>
      <c r="J9" s="5" t="str">
        <f t="shared" si="8"/>
        <v>Dec-20A</v>
      </c>
      <c r="K9" s="5" t="str">
        <f t="shared" ref="K9:AH9" si="9">TEXT(K8,"mmm-yy")&amp;LEFT(K3,1)</f>
        <v>Jan-21A</v>
      </c>
      <c r="L9" s="5" t="str">
        <f t="shared" si="9"/>
        <v>Feb-21A</v>
      </c>
      <c r="M9" s="5" t="str">
        <f t="shared" si="9"/>
        <v>Mar-21A</v>
      </c>
      <c r="N9" s="5" t="str">
        <f t="shared" si="9"/>
        <v>Apr-21A</v>
      </c>
      <c r="O9" s="5" t="str">
        <f t="shared" si="9"/>
        <v>May-21A</v>
      </c>
      <c r="P9" s="9" t="str">
        <f t="shared" si="9"/>
        <v>Jun-21A</v>
      </c>
      <c r="Q9" s="5" t="str">
        <f t="shared" si="9"/>
        <v>Jul-21F</v>
      </c>
      <c r="R9" s="5" t="str">
        <f t="shared" si="9"/>
        <v>Aug-21F</v>
      </c>
      <c r="S9" s="5" t="str">
        <f t="shared" si="9"/>
        <v>Sep-21F</v>
      </c>
      <c r="T9" s="5" t="str">
        <f t="shared" si="9"/>
        <v>Oct-21F</v>
      </c>
      <c r="U9" s="5" t="str">
        <f t="shared" si="9"/>
        <v>Nov-21F</v>
      </c>
      <c r="V9" s="5" t="str">
        <f t="shared" si="9"/>
        <v>Dec-21F</v>
      </c>
      <c r="W9" s="5" t="str">
        <f t="shared" si="9"/>
        <v>Jan-22F</v>
      </c>
      <c r="X9" s="5" t="str">
        <f t="shared" si="9"/>
        <v>Feb-22F</v>
      </c>
      <c r="Y9" s="5" t="str">
        <f t="shared" si="9"/>
        <v>Mar-22F</v>
      </c>
      <c r="Z9" s="5" t="str">
        <f t="shared" si="9"/>
        <v>Apr-22F</v>
      </c>
      <c r="AA9" s="5" t="str">
        <f t="shared" si="9"/>
        <v>May-22F</v>
      </c>
      <c r="AB9" s="5" t="str">
        <f t="shared" si="9"/>
        <v>Jun-22F</v>
      </c>
      <c r="AC9" s="5" t="str">
        <f t="shared" si="9"/>
        <v>Jul-22F</v>
      </c>
      <c r="AD9" s="5" t="str">
        <f t="shared" si="9"/>
        <v>Aug-22F</v>
      </c>
      <c r="AE9" s="5" t="str">
        <f t="shared" si="9"/>
        <v>Sep-22F</v>
      </c>
      <c r="AF9" s="5" t="str">
        <f t="shared" si="9"/>
        <v>Oct-22F</v>
      </c>
      <c r="AG9" s="5" t="str">
        <f t="shared" si="9"/>
        <v>Nov-22F</v>
      </c>
      <c r="AH9" s="5" t="str">
        <f t="shared" si="9"/>
        <v>Dec-22F</v>
      </c>
      <c r="AM9" s="8"/>
      <c r="AU9" s="319" t="str">
        <f ca="1">COUNTIF($E$5:$AH$5,AU$5)&amp;"m"</f>
        <v>6m</v>
      </c>
      <c r="AV9" s="319" t="str">
        <f t="shared" ref="AV9:AW9" ca="1" si="10">COUNTIF($E$5:$AH$5,AV$5)&amp;"m"</f>
        <v>12m</v>
      </c>
      <c r="AW9" s="319" t="str">
        <f t="shared" ca="1" si="10"/>
        <v>12m</v>
      </c>
    </row>
    <row r="10" spans="1:49" x14ac:dyDescent="0.25">
      <c r="E10" s="43" t="str">
        <f t="shared" ref="E10:K10" si="11">E$9</f>
        <v>Jul-20A</v>
      </c>
      <c r="F10" s="43" t="str">
        <f t="shared" si="11"/>
        <v>Aug-20A</v>
      </c>
      <c r="G10" s="43" t="str">
        <f t="shared" si="11"/>
        <v>Sep-20A</v>
      </c>
      <c r="H10" s="43" t="str">
        <f t="shared" si="11"/>
        <v>Oct-20A</v>
      </c>
      <c r="I10" s="43" t="str">
        <f t="shared" si="11"/>
        <v>Nov-20A</v>
      </c>
      <c r="J10" s="43" t="str">
        <f t="shared" si="11"/>
        <v>Dec-20A</v>
      </c>
      <c r="K10" s="43" t="str">
        <f t="shared" si="11"/>
        <v>Jan-21A</v>
      </c>
      <c r="L10" s="43" t="str">
        <f t="shared" ref="L10:AH10" si="12">L$9</f>
        <v>Feb-21A</v>
      </c>
      <c r="M10" s="43" t="str">
        <f t="shared" si="12"/>
        <v>Mar-21A</v>
      </c>
      <c r="N10" s="43" t="str">
        <f t="shared" si="12"/>
        <v>Apr-21A</v>
      </c>
      <c r="O10" s="43" t="str">
        <f t="shared" si="12"/>
        <v>May-21A</v>
      </c>
      <c r="P10" s="44" t="str">
        <f t="shared" si="12"/>
        <v>Jun-21A</v>
      </c>
      <c r="Q10" s="43" t="str">
        <f t="shared" si="12"/>
        <v>Jul-21F</v>
      </c>
      <c r="R10" s="43" t="str">
        <f t="shared" si="12"/>
        <v>Aug-21F</v>
      </c>
      <c r="S10" s="43" t="str">
        <f t="shared" si="12"/>
        <v>Sep-21F</v>
      </c>
      <c r="T10" s="43" t="str">
        <f t="shared" si="12"/>
        <v>Oct-21F</v>
      </c>
      <c r="U10" s="43" t="str">
        <f t="shared" si="12"/>
        <v>Nov-21F</v>
      </c>
      <c r="V10" s="43" t="str">
        <f t="shared" si="12"/>
        <v>Dec-21F</v>
      </c>
      <c r="W10" s="43" t="str">
        <f t="shared" si="12"/>
        <v>Jan-22F</v>
      </c>
      <c r="X10" s="43" t="str">
        <f t="shared" si="12"/>
        <v>Feb-22F</v>
      </c>
      <c r="Y10" s="43" t="str">
        <f t="shared" si="12"/>
        <v>Mar-22F</v>
      </c>
      <c r="Z10" s="43" t="str">
        <f t="shared" si="12"/>
        <v>Apr-22F</v>
      </c>
      <c r="AA10" s="43" t="str">
        <f t="shared" si="12"/>
        <v>May-22F</v>
      </c>
      <c r="AB10" s="43" t="str">
        <f t="shared" si="12"/>
        <v>Jun-22F</v>
      </c>
      <c r="AC10" s="43" t="str">
        <f t="shared" si="12"/>
        <v>Jul-22F</v>
      </c>
      <c r="AD10" s="43" t="str">
        <f t="shared" si="12"/>
        <v>Aug-22F</v>
      </c>
      <c r="AE10" s="43" t="str">
        <f t="shared" si="12"/>
        <v>Sep-22F</v>
      </c>
      <c r="AF10" s="43" t="str">
        <f t="shared" si="12"/>
        <v>Oct-22F</v>
      </c>
      <c r="AG10" s="43" t="str">
        <f t="shared" si="12"/>
        <v>Nov-22F</v>
      </c>
      <c r="AH10" s="43" t="str">
        <f t="shared" si="12"/>
        <v>Dec-22F</v>
      </c>
      <c r="AJ10" s="43" t="str">
        <f ca="1">AJ6&amp;"'"&amp;RIGHT(AJ5,2)&amp;LEFT(AJ3,1)</f>
        <v>Q3'20A</v>
      </c>
      <c r="AK10" s="43" t="str">
        <f t="shared" ref="AK10:AS10" ca="1" si="13">AK6&amp;"'"&amp;RIGHT(AK5,2)&amp;LEFT(AK3,1)</f>
        <v>Q4'20A</v>
      </c>
      <c r="AL10" s="43" t="str">
        <f t="shared" ca="1" si="13"/>
        <v>Q1'21A</v>
      </c>
      <c r="AM10" s="44" t="str">
        <f t="shared" ca="1" si="13"/>
        <v>Q2'21A</v>
      </c>
      <c r="AN10" s="43" t="str">
        <f t="shared" ca="1" si="13"/>
        <v>Q3'21F</v>
      </c>
      <c r="AO10" s="43" t="str">
        <f t="shared" ca="1" si="13"/>
        <v>Q4'21F</v>
      </c>
      <c r="AP10" s="43" t="str">
        <f t="shared" ca="1" si="13"/>
        <v>Q1'22F</v>
      </c>
      <c r="AQ10" s="43" t="str">
        <f t="shared" ca="1" si="13"/>
        <v>Q2'22F</v>
      </c>
      <c r="AR10" s="43" t="str">
        <f t="shared" ca="1" si="13"/>
        <v>Q3'22F</v>
      </c>
      <c r="AS10" s="43" t="str">
        <f t="shared" ca="1" si="13"/>
        <v>Q4'22F</v>
      </c>
      <c r="AU10" s="326" t="str">
        <f ca="1">"FY"&amp;RIGHT(AU5,2)</f>
        <v>FY20</v>
      </c>
      <c r="AV10" s="326" t="str">
        <f t="shared" ref="AV10:AW10" ca="1" si="14">"FY"&amp;RIGHT(AV5,2)</f>
        <v>FY21</v>
      </c>
      <c r="AW10" s="326" t="str">
        <f t="shared" ca="1" si="14"/>
        <v>FY22</v>
      </c>
    </row>
    <row r="11" spans="1:49" x14ac:dyDescent="0.25"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49" ht="18.75" x14ac:dyDescent="0.3">
      <c r="A12" t="s">
        <v>231</v>
      </c>
      <c r="B12" t="s">
        <v>231</v>
      </c>
      <c r="C12" s="181" t="s">
        <v>470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</row>
    <row r="13" spans="1:49" x14ac:dyDescent="0.25">
      <c r="C13" s="11"/>
      <c r="D13" s="11"/>
    </row>
    <row r="14" spans="1:49" x14ac:dyDescent="0.25">
      <c r="C14" s="30" t="s">
        <v>471</v>
      </c>
      <c r="D14" s="30"/>
      <c r="E14" s="45" t="str">
        <f t="shared" ref="E14:AH14" si="15">E$9</f>
        <v>Jul-20A</v>
      </c>
      <c r="F14" s="45" t="str">
        <f t="shared" si="15"/>
        <v>Aug-20A</v>
      </c>
      <c r="G14" s="45" t="str">
        <f t="shared" si="15"/>
        <v>Sep-20A</v>
      </c>
      <c r="H14" s="45" t="str">
        <f t="shared" si="15"/>
        <v>Oct-20A</v>
      </c>
      <c r="I14" s="45" t="str">
        <f t="shared" si="15"/>
        <v>Nov-20A</v>
      </c>
      <c r="J14" s="45" t="str">
        <f t="shared" si="15"/>
        <v>Dec-20A</v>
      </c>
      <c r="K14" s="45" t="str">
        <f t="shared" si="15"/>
        <v>Jan-21A</v>
      </c>
      <c r="L14" s="45" t="str">
        <f t="shared" si="15"/>
        <v>Feb-21A</v>
      </c>
      <c r="M14" s="45" t="str">
        <f t="shared" si="15"/>
        <v>Mar-21A</v>
      </c>
      <c r="N14" s="45" t="str">
        <f t="shared" si="15"/>
        <v>Apr-21A</v>
      </c>
      <c r="O14" s="45" t="str">
        <f t="shared" si="15"/>
        <v>May-21A</v>
      </c>
      <c r="P14" s="46" t="str">
        <f t="shared" si="15"/>
        <v>Jun-21A</v>
      </c>
      <c r="Q14" s="45" t="str">
        <f t="shared" si="15"/>
        <v>Jul-21F</v>
      </c>
      <c r="R14" s="45" t="str">
        <f t="shared" si="15"/>
        <v>Aug-21F</v>
      </c>
      <c r="S14" s="45" t="str">
        <f t="shared" si="15"/>
        <v>Sep-21F</v>
      </c>
      <c r="T14" s="45" t="str">
        <f t="shared" si="15"/>
        <v>Oct-21F</v>
      </c>
      <c r="U14" s="45" t="str">
        <f t="shared" si="15"/>
        <v>Nov-21F</v>
      </c>
      <c r="V14" s="45" t="str">
        <f t="shared" si="15"/>
        <v>Dec-21F</v>
      </c>
      <c r="W14" s="45" t="str">
        <f t="shared" si="15"/>
        <v>Jan-22F</v>
      </c>
      <c r="X14" s="45" t="str">
        <f t="shared" si="15"/>
        <v>Feb-22F</v>
      </c>
      <c r="Y14" s="45" t="str">
        <f t="shared" si="15"/>
        <v>Mar-22F</v>
      </c>
      <c r="Z14" s="45" t="str">
        <f t="shared" si="15"/>
        <v>Apr-22F</v>
      </c>
      <c r="AA14" s="45" t="str">
        <f t="shared" si="15"/>
        <v>May-22F</v>
      </c>
      <c r="AB14" s="45" t="str">
        <f t="shared" si="15"/>
        <v>Jun-22F</v>
      </c>
      <c r="AC14" s="45" t="str">
        <f t="shared" si="15"/>
        <v>Jul-22F</v>
      </c>
      <c r="AD14" s="45" t="str">
        <f t="shared" si="15"/>
        <v>Aug-22F</v>
      </c>
      <c r="AE14" s="45" t="str">
        <f t="shared" si="15"/>
        <v>Sep-22F</v>
      </c>
      <c r="AF14" s="45" t="str">
        <f t="shared" si="15"/>
        <v>Oct-22F</v>
      </c>
      <c r="AG14" s="45" t="str">
        <f t="shared" si="15"/>
        <v>Nov-22F</v>
      </c>
      <c r="AH14" s="45" t="str">
        <f t="shared" si="15"/>
        <v>Dec-22F</v>
      </c>
      <c r="AJ14" s="45" t="str">
        <f ca="1">AJ$10</f>
        <v>Q3'20A</v>
      </c>
      <c r="AK14" s="45" t="str">
        <f t="shared" ref="AK14:AW14" ca="1" si="16">AK$10</f>
        <v>Q4'20A</v>
      </c>
      <c r="AL14" s="45" t="str">
        <f t="shared" ca="1" si="16"/>
        <v>Q1'21A</v>
      </c>
      <c r="AM14" s="45" t="str">
        <f t="shared" ca="1" si="16"/>
        <v>Q2'21A</v>
      </c>
      <c r="AN14" s="45" t="str">
        <f t="shared" ca="1" si="16"/>
        <v>Q3'21F</v>
      </c>
      <c r="AO14" s="45" t="str">
        <f t="shared" ca="1" si="16"/>
        <v>Q4'21F</v>
      </c>
      <c r="AP14" s="45" t="str">
        <f t="shared" ca="1" si="16"/>
        <v>Q1'22F</v>
      </c>
      <c r="AQ14" s="45" t="str">
        <f t="shared" ca="1" si="16"/>
        <v>Q2'22F</v>
      </c>
      <c r="AR14" s="45" t="str">
        <f t="shared" ca="1" si="16"/>
        <v>Q3'22F</v>
      </c>
      <c r="AS14" s="45" t="str">
        <f t="shared" ca="1" si="16"/>
        <v>Q4'22F</v>
      </c>
      <c r="AU14" s="45" t="str">
        <f t="shared" ca="1" si="16"/>
        <v>FY20</v>
      </c>
      <c r="AV14" s="45" t="str">
        <f t="shared" ca="1" si="16"/>
        <v>FY21</v>
      </c>
      <c r="AW14" s="45" t="str">
        <f t="shared" ca="1" si="16"/>
        <v>FY22</v>
      </c>
    </row>
    <row r="15" spans="1:49" x14ac:dyDescent="0.25">
      <c r="C15" s="1" t="s">
        <v>459</v>
      </c>
      <c r="D15" s="11"/>
      <c r="E15" s="250">
        <f>E69</f>
        <v>36.864684319788694</v>
      </c>
      <c r="F15" s="250">
        <f t="shared" ref="F15:AH15" si="17">F69</f>
        <v>35.300584398778966</v>
      </c>
      <c r="G15" s="250">
        <f t="shared" si="17"/>
        <v>33.374602027068249</v>
      </c>
      <c r="H15" s="250">
        <f t="shared" si="17"/>
        <v>34.471956929929419</v>
      </c>
      <c r="I15" s="250">
        <f t="shared" si="17"/>
        <v>33.089816135733372</v>
      </c>
      <c r="J15" s="250">
        <f t="shared" si="17"/>
        <v>34.997733171572534</v>
      </c>
      <c r="K15" s="250">
        <f t="shared" si="17"/>
        <v>36.582968329413802</v>
      </c>
      <c r="L15" s="250">
        <f t="shared" si="17"/>
        <v>35.035343513956931</v>
      </c>
      <c r="M15" s="250">
        <f t="shared" si="17"/>
        <v>33.407789855974222</v>
      </c>
      <c r="N15" s="250">
        <f t="shared" si="17"/>
        <v>36.422941349570195</v>
      </c>
      <c r="O15" s="250">
        <f t="shared" si="17"/>
        <v>35.844866026294582</v>
      </c>
      <c r="P15" s="251">
        <f t="shared" si="17"/>
        <v>36.933391794384342</v>
      </c>
      <c r="Q15" s="250">
        <f t="shared" si="17"/>
        <v>37.639835884594092</v>
      </c>
      <c r="R15" s="250">
        <f t="shared" si="17"/>
        <v>36.007335262434857</v>
      </c>
      <c r="S15" s="250">
        <f t="shared" si="17"/>
        <v>33.993152451965138</v>
      </c>
      <c r="T15" s="250">
        <f t="shared" si="17"/>
        <v>35.14366868182136</v>
      </c>
      <c r="U15" s="250">
        <f t="shared" si="17"/>
        <v>33.698110393369603</v>
      </c>
      <c r="V15" s="250">
        <f t="shared" si="17"/>
        <v>35.692394066998943</v>
      </c>
      <c r="W15" s="250">
        <f t="shared" si="17"/>
        <v>37.350071841778728</v>
      </c>
      <c r="X15" s="250">
        <f t="shared" si="17"/>
        <v>35.730041588012753</v>
      </c>
      <c r="Y15" s="250">
        <f t="shared" si="17"/>
        <v>34.026803928939991</v>
      </c>
      <c r="Z15" s="250">
        <f t="shared" si="17"/>
        <v>37.183215787504196</v>
      </c>
      <c r="AA15" s="250">
        <f t="shared" si="17"/>
        <v>36.575371548622805</v>
      </c>
      <c r="AB15" s="250">
        <f t="shared" si="17"/>
        <v>37.716150611069082</v>
      </c>
      <c r="AC15" s="250">
        <f t="shared" si="17"/>
        <v>38.453470267947473</v>
      </c>
      <c r="AD15" s="250">
        <f t="shared" si="17"/>
        <v>36.749357675099446</v>
      </c>
      <c r="AE15" s="250">
        <f t="shared" si="17"/>
        <v>34.642648581235697</v>
      </c>
      <c r="AF15" s="250">
        <f t="shared" si="17"/>
        <v>35.849032635663995</v>
      </c>
      <c r="AG15" s="250">
        <f t="shared" si="17"/>
        <v>34.336917574610709</v>
      </c>
      <c r="AH15" s="250">
        <f t="shared" si="17"/>
        <v>36.421817861158651</v>
      </c>
      <c r="AJ15" s="13" cm="1">
        <f t="array" aca="1" ref="AJ15" ca="1">SUMPRODUCT(($E15:$AH15)*(AJ$3&amp;AJ$4&amp;AJ$5&amp;AJ$6=$E$3:$AH$3&amp;$E$4:$AH$4&amp;$E$5:$AH$5&amp;$E$6:$AH$6))</f>
        <v>105.53987074563591</v>
      </c>
      <c r="AK15" s="13" cm="1">
        <f t="array" aca="1" ref="AK15" ca="1">SUMPRODUCT(($E15:$AH15)*(AK$3=$E$3:$AH$3)*(AK$4=$E$4:$AH$4)*(AK$5=$E$5:$AH$5)*(AK$6=$E$6:$AH$6))</f>
        <v>102.55950623723533</v>
      </c>
      <c r="AL15" s="13" cm="1">
        <f t="array" aca="1" ref="AL15" ca="1">SUMPRODUCT(($E15:$AH15)*(AL$3=$E$3:$AH$3)*(AL$4=$E$4:$AH$4)*(AL$5=$E$5:$AH$5)*(AL$6=$E$6:$AH$6))</f>
        <v>105.02610169934496</v>
      </c>
      <c r="AM15" s="17" cm="1">
        <f t="array" aca="1" ref="AM15" ca="1">SUMPRODUCT(($E15:$AH15)*(AM$3=$E$3:$AH$3)*(AM$4=$E$4:$AH$4)*(AM$5=$E$5:$AH$5)*(AM$6=$E$6:$AH$6))</f>
        <v>109.20119917024911</v>
      </c>
      <c r="AN15" s="13" cm="1">
        <f t="array" aca="1" ref="AN15" ca="1">SUMPRODUCT(($E15:$AH15)*(AN$3=$E$3:$AH$3)*(AN$4=$E$4:$AH$4)*(AN$5=$E$5:$AH$5)*(AN$6=$E$6:$AH$6))</f>
        <v>107.64032359899409</v>
      </c>
      <c r="AO15" s="13" cm="1">
        <f t="array" aca="1" ref="AO15" ca="1">SUMPRODUCT(($E15:$AH15)*(AO$3=$E$3:$AH$3)*(AO$4=$E$4:$AH$4)*(AO$5=$E$5:$AH$5)*(AO$6=$E$6:$AH$6))</f>
        <v>104.53417314218991</v>
      </c>
      <c r="AP15" s="13" cm="1">
        <f t="array" aca="1" ref="AP15" ca="1">SUMPRODUCT(($E15:$AH15)*(AP$3=$E$3:$AH$3)*(AP$4=$E$4:$AH$4)*(AP$5=$E$5:$AH$5)*(AP$6=$E$6:$AH$6))</f>
        <v>107.10691735873147</v>
      </c>
      <c r="AQ15" s="13" cm="1">
        <f t="array" aca="1" ref="AQ15" ca="1">SUMPRODUCT(($E15:$AH15)*(AQ$3=$E$3:$AH$3)*(AQ$4=$E$4:$AH$4)*(AQ$5=$E$5:$AH$5)*(AQ$6=$E$6:$AH$6))</f>
        <v>111.47473794719608</v>
      </c>
      <c r="AR15" s="13" cm="1">
        <f t="array" aca="1" ref="AR15" ca="1">SUMPRODUCT(($E15:$AH15)*(AR$3=$E$3:$AH$3)*(AR$4=$E$4:$AH$4)*(AR$5=$E$5:$AH$5)*(AR$6=$E$6:$AH$6))</f>
        <v>109.84547652428262</v>
      </c>
      <c r="AS15" s="13" cm="1">
        <f t="array" aca="1" ref="AS15" ca="1">SUMPRODUCT(($E15:$AH15)*(AS$3=$E$3:$AH$3)*(AS$4=$E$4:$AH$4)*(AS$5=$E$5:$AH$5)*(AS$6=$E$6:$AH$6))</f>
        <v>106.60776807143336</v>
      </c>
      <c r="AU15" s="13" cm="1">
        <f t="array" aca="1" ref="AU15" ca="1">SUMPRODUCT(($E15:$AH15)*(AU$5=$E$5:$AH$5))</f>
        <v>208.09937698287121</v>
      </c>
      <c r="AV15" s="13" cm="1">
        <f t="array" aca="1" ref="AV15" ca="1">SUMPRODUCT(($E15:$AH15)*(AV$5=$E$5:$AH$5))</f>
        <v>426.40179761077803</v>
      </c>
      <c r="AW15" s="13" cm="1">
        <f t="array" aca="1" ref="AW15" ca="1">SUMPRODUCT(($E15:$AH15)*(AW$5=$E$5:$AH$5))</f>
        <v>435.03489990164348</v>
      </c>
    </row>
    <row r="16" spans="1:49" x14ac:dyDescent="0.25">
      <c r="C16" s="1" t="s">
        <v>28</v>
      </c>
      <c r="D16" s="11"/>
      <c r="E16" s="252">
        <f>E74</f>
        <v>112.10817974373758</v>
      </c>
      <c r="F16" s="252">
        <f t="shared" ref="F16:AH16" si="18">F74</f>
        <v>96.806144750645828</v>
      </c>
      <c r="G16" s="252">
        <f t="shared" si="18"/>
        <v>86.545198276417366</v>
      </c>
      <c r="H16" s="252">
        <f t="shared" si="18"/>
        <v>85.919738867598255</v>
      </c>
      <c r="I16" s="252">
        <f t="shared" si="18"/>
        <v>84.40309783177814</v>
      </c>
      <c r="J16" s="252">
        <f t="shared" si="18"/>
        <v>114.43753359279434</v>
      </c>
      <c r="K16" s="252">
        <f t="shared" si="18"/>
        <v>111.27364621053833</v>
      </c>
      <c r="L16" s="252">
        <f t="shared" si="18"/>
        <v>97.330080381360276</v>
      </c>
      <c r="M16" s="252">
        <f t="shared" si="18"/>
        <v>92.137171600214685</v>
      </c>
      <c r="N16" s="252">
        <f t="shared" si="18"/>
        <v>133.05077814982195</v>
      </c>
      <c r="O16" s="252">
        <f t="shared" si="18"/>
        <v>120.83047085720591</v>
      </c>
      <c r="P16" s="253">
        <f t="shared" si="18"/>
        <v>129.41578089381017</v>
      </c>
      <c r="Q16" s="252">
        <f t="shared" si="18"/>
        <v>117.2610085372108</v>
      </c>
      <c r="R16" s="252">
        <f t="shared" si="18"/>
        <v>101.27772731419654</v>
      </c>
      <c r="S16" s="252">
        <f t="shared" si="18"/>
        <v>90.547752450240338</v>
      </c>
      <c r="T16" s="252">
        <f t="shared" si="18"/>
        <v>89.907679033277958</v>
      </c>
      <c r="U16" s="252">
        <f t="shared" si="18"/>
        <v>88.325377503654039</v>
      </c>
      <c r="V16" s="252">
        <f t="shared" si="18"/>
        <v>119.73801991606352</v>
      </c>
      <c r="W16" s="252">
        <f t="shared" si="18"/>
        <v>116.42099999824069</v>
      </c>
      <c r="X16" s="252">
        <f t="shared" si="18"/>
        <v>101.82715218592953</v>
      </c>
      <c r="Y16" s="252">
        <f t="shared" si="18"/>
        <v>96.390982741085281</v>
      </c>
      <c r="Z16" s="252">
        <f t="shared" si="18"/>
        <v>139.21015626738338</v>
      </c>
      <c r="AA16" s="252">
        <f t="shared" si="18"/>
        <v>126.40119175066306</v>
      </c>
      <c r="AB16" s="252">
        <f t="shared" si="18"/>
        <v>135.39812304609919</v>
      </c>
      <c r="AC16" s="252">
        <f t="shared" si="18"/>
        <v>122.66965230219583</v>
      </c>
      <c r="AD16" s="252">
        <f t="shared" si="18"/>
        <v>105.9724714636007</v>
      </c>
      <c r="AE16" s="252">
        <f t="shared" si="18"/>
        <v>94.750551993263997</v>
      </c>
      <c r="AF16" s="252">
        <f t="shared" si="18"/>
        <v>94.095411695433668</v>
      </c>
      <c r="AG16" s="252">
        <f t="shared" si="18"/>
        <v>92.444404421591329</v>
      </c>
      <c r="AH16" s="252">
        <f t="shared" si="18"/>
        <v>125.30375835083939</v>
      </c>
      <c r="AJ16" s="13" cm="1">
        <f t="array" aca="1" ref="AJ16" ca="1">SUMPRODUCT(($E16:$AH16)*(AJ$3&amp;AJ$4&amp;AJ$5&amp;AJ$6=$E$3:$AH$3&amp;$E$4:$AH$4&amp;$E$5:$AH$5&amp;$E$6:$AH$6))</f>
        <v>295.45952277080079</v>
      </c>
      <c r="AK16" s="13" cm="1">
        <f t="array" aca="1" ref="AK16" ca="1">SUMPRODUCT(($E16:$AH16)*(AK$3=$E$3:$AH$3)*(AK$4=$E$4:$AH$4)*(AK$5=$E$5:$AH$5)*(AK$6=$E$6:$AH$6))</f>
        <v>284.76037029217076</v>
      </c>
      <c r="AL16" s="13" cm="1">
        <f t="array" aca="1" ref="AL16" ca="1">SUMPRODUCT(($E16:$AH16)*(AL$3=$E$3:$AH$3)*(AL$4=$E$4:$AH$4)*(AL$5=$E$5:$AH$5)*(AL$6=$E$6:$AH$6))</f>
        <v>300.74089819211326</v>
      </c>
      <c r="AM16" s="17" cm="1">
        <f t="array" aca="1" ref="AM16" ca="1">SUMPRODUCT(($E16:$AH16)*(AM$3=$E$3:$AH$3)*(AM$4=$E$4:$AH$4)*(AM$5=$E$5:$AH$5)*(AM$6=$E$6:$AH$6))</f>
        <v>383.29702990083803</v>
      </c>
      <c r="AN16" s="13" cm="1">
        <f t="array" aca="1" ref="AN16" ca="1">SUMPRODUCT(($E16:$AH16)*(AN$3=$E$3:$AH$3)*(AN$4=$E$4:$AH$4)*(AN$5=$E$5:$AH$5)*(AN$6=$E$6:$AH$6))</f>
        <v>309.08648830164771</v>
      </c>
      <c r="AO16" s="13" cm="1">
        <f t="array" aca="1" ref="AO16" ca="1">SUMPRODUCT(($E16:$AH16)*(AO$3=$E$3:$AH$3)*(AO$4=$E$4:$AH$4)*(AO$5=$E$5:$AH$5)*(AO$6=$E$6:$AH$6))</f>
        <v>297.97107645299553</v>
      </c>
      <c r="AP16" s="13" cm="1">
        <f t="array" aca="1" ref="AP16" ca="1">SUMPRODUCT(($E16:$AH16)*(AP$3=$E$3:$AH$3)*(AP$4=$E$4:$AH$4)*(AP$5=$E$5:$AH$5)*(AP$6=$E$6:$AH$6))</f>
        <v>314.63913492525552</v>
      </c>
      <c r="AQ16" s="13" cm="1">
        <f t="array" aca="1" ref="AQ16" ca="1">SUMPRODUCT(($E16:$AH16)*(AQ$3=$E$3:$AH$3)*(AQ$4=$E$4:$AH$4)*(AQ$5=$E$5:$AH$5)*(AQ$6=$E$6:$AH$6))</f>
        <v>401.0094710641456</v>
      </c>
      <c r="AR16" s="13" cm="1">
        <f t="array" aca="1" ref="AR16" ca="1">SUMPRODUCT(($E16:$AH16)*(AR$3=$E$3:$AH$3)*(AR$4=$E$4:$AH$4)*(AR$5=$E$5:$AH$5)*(AR$6=$E$6:$AH$6))</f>
        <v>323.39267575906052</v>
      </c>
      <c r="AS16" s="13" cm="1">
        <f t="array" aca="1" ref="AS16" ca="1">SUMPRODUCT(($E16:$AH16)*(AS$3=$E$3:$AH$3)*(AS$4=$E$4:$AH$4)*(AS$5=$E$5:$AH$5)*(AS$6=$E$6:$AH$6))</f>
        <v>311.84357446786441</v>
      </c>
      <c r="AU16" s="13" cm="1">
        <f t="array" aca="1" ref="AU16" ca="1">SUMPRODUCT(($E16:$AH16)*(AU$5=$E$5:$AH$5))</f>
        <v>580.21989306297155</v>
      </c>
      <c r="AV16" s="13" cm="1">
        <f t="array" aca="1" ref="AV16" ca="1">SUMPRODUCT(($E16:$AH16)*(AV$5=$E$5:$AH$5))</f>
        <v>1291.0954928475944</v>
      </c>
      <c r="AW16" s="13" cm="1">
        <f t="array" aca="1" ref="AW16" ca="1">SUMPRODUCT(($E16:$AH16)*(AW$5=$E$5:$AH$5))</f>
        <v>1350.8848562163262</v>
      </c>
    </row>
    <row r="17" spans="1:49" x14ac:dyDescent="0.25">
      <c r="C17" s="23" t="s">
        <v>460</v>
      </c>
      <c r="D17" s="139"/>
      <c r="E17" s="254">
        <f>E79</f>
        <v>31.8</v>
      </c>
      <c r="F17" s="254">
        <f t="shared" ref="F17:AH17" si="19">F79</f>
        <v>28.504394752237022</v>
      </c>
      <c r="G17" s="254">
        <f t="shared" si="19"/>
        <v>25.116248445268788</v>
      </c>
      <c r="H17" s="254">
        <f t="shared" si="19"/>
        <v>25.127313461443482</v>
      </c>
      <c r="I17" s="254">
        <f t="shared" si="19"/>
        <v>27.87441501045754</v>
      </c>
      <c r="J17" s="254">
        <f t="shared" si="19"/>
        <v>27.321746169488151</v>
      </c>
      <c r="K17" s="254">
        <f t="shared" si="19"/>
        <v>42.781158299895225</v>
      </c>
      <c r="L17" s="254">
        <f t="shared" si="19"/>
        <v>34.409079436440827</v>
      </c>
      <c r="M17" s="254">
        <f t="shared" si="19"/>
        <v>32.823852316497906</v>
      </c>
      <c r="N17" s="254">
        <f t="shared" si="19"/>
        <v>34.43181523862463</v>
      </c>
      <c r="O17" s="254">
        <f t="shared" si="19"/>
        <v>48.839972000950802</v>
      </c>
      <c r="P17" s="255">
        <f t="shared" si="19"/>
        <v>47.054839189169698</v>
      </c>
      <c r="Q17" s="254">
        <f t="shared" si="19"/>
        <v>42.960495583344006</v>
      </c>
      <c r="R17" s="254">
        <f t="shared" si="19"/>
        <v>35.052672456611383</v>
      </c>
      <c r="S17" s="254">
        <f t="shared" si="19"/>
        <v>33.42938705950985</v>
      </c>
      <c r="T17" s="254">
        <f t="shared" si="19"/>
        <v>34.046762206382198</v>
      </c>
      <c r="U17" s="254">
        <f t="shared" si="19"/>
        <v>34.74436490745569</v>
      </c>
      <c r="V17" s="254">
        <f t="shared" si="19"/>
        <v>45.695120956141544</v>
      </c>
      <c r="W17" s="254">
        <f t="shared" si="19"/>
        <v>40.090529695837084</v>
      </c>
      <c r="X17" s="254">
        <f t="shared" si="19"/>
        <v>34.485617345047153</v>
      </c>
      <c r="Y17" s="254">
        <f t="shared" si="19"/>
        <v>34.033148472664195</v>
      </c>
      <c r="Z17" s="254">
        <f t="shared" si="19"/>
        <v>48.733810928898414</v>
      </c>
      <c r="AA17" s="254">
        <f t="shared" si="19"/>
        <v>45.732938212349083</v>
      </c>
      <c r="AB17" s="254">
        <f t="shared" si="19"/>
        <v>49.794171800998036</v>
      </c>
      <c r="AC17" s="254">
        <f t="shared" si="19"/>
        <v>44.942202592636676</v>
      </c>
      <c r="AD17" s="254">
        <f t="shared" si="19"/>
        <v>36.677899772764519</v>
      </c>
      <c r="AE17" s="254">
        <f t="shared" si="19"/>
        <v>34.980982131655104</v>
      </c>
      <c r="AF17" s="254">
        <f t="shared" si="19"/>
        <v>35.632592100963713</v>
      </c>
      <c r="AG17" s="254">
        <f t="shared" si="19"/>
        <v>36.364480394765053</v>
      </c>
      <c r="AH17" s="254">
        <f t="shared" si="19"/>
        <v>47.819374505371492</v>
      </c>
      <c r="AJ17" s="24" cm="1">
        <f t="array" aca="1" ref="AJ17" ca="1">SUMPRODUCT(($E17:$AH17)*(AJ$3&amp;AJ$4&amp;AJ$5&amp;AJ$6=$E$3:$AH$3&amp;$E$4:$AH$4&amp;$E$5:$AH$5&amp;$E$6:$AH$6))</f>
        <v>85.420643197505811</v>
      </c>
      <c r="AK17" s="24" cm="1">
        <f t="array" aca="1" ref="AK17" ca="1">SUMPRODUCT(($E17:$AH17)*(AK$3=$E$3:$AH$3)*(AK$4=$E$4:$AH$4)*(AK$5=$E$5:$AH$5)*(AK$6=$E$6:$AH$6))</f>
        <v>80.323474641389168</v>
      </c>
      <c r="AL17" s="24" cm="1">
        <f t="array" aca="1" ref="AL17" ca="1">SUMPRODUCT(($E17:$AH17)*(AL$3=$E$3:$AH$3)*(AL$4=$E$4:$AH$4)*(AL$5=$E$5:$AH$5)*(AL$6=$E$6:$AH$6))</f>
        <v>110.01409005283396</v>
      </c>
      <c r="AM17" s="64" cm="1">
        <f t="array" aca="1" ref="AM17" ca="1">SUMPRODUCT(($E17:$AH17)*(AM$3=$E$3:$AH$3)*(AM$4=$E$4:$AH$4)*(AM$5=$E$5:$AH$5)*(AM$6=$E$6:$AH$6))</f>
        <v>130.32662642874513</v>
      </c>
      <c r="AN17" s="24" cm="1">
        <f t="array" aca="1" ref="AN17" ca="1">SUMPRODUCT(($E17:$AH17)*(AN$3=$E$3:$AH$3)*(AN$4=$E$4:$AH$4)*(AN$5=$E$5:$AH$5)*(AN$6=$E$6:$AH$6))</f>
        <v>111.44255509946524</v>
      </c>
      <c r="AO17" s="24" cm="1">
        <f t="array" aca="1" ref="AO17" ca="1">SUMPRODUCT(($E17:$AH17)*(AO$3=$E$3:$AH$3)*(AO$4=$E$4:$AH$4)*(AO$5=$E$5:$AH$5)*(AO$6=$E$6:$AH$6))</f>
        <v>114.48624806997944</v>
      </c>
      <c r="AP17" s="24" cm="1">
        <f t="array" aca="1" ref="AP17" ca="1">SUMPRODUCT(($E17:$AH17)*(AP$3=$E$3:$AH$3)*(AP$4=$E$4:$AH$4)*(AP$5=$E$5:$AH$5)*(AP$6=$E$6:$AH$6))</f>
        <v>108.60929551354843</v>
      </c>
      <c r="AQ17" s="24" cm="1">
        <f t="array" aca="1" ref="AQ17" ca="1">SUMPRODUCT(($E17:$AH17)*(AQ$3=$E$3:$AH$3)*(AQ$4=$E$4:$AH$4)*(AQ$5=$E$5:$AH$5)*(AQ$6=$E$6:$AH$6))</f>
        <v>144.26092094224555</v>
      </c>
      <c r="AR17" s="24" cm="1">
        <f t="array" aca="1" ref="AR17" ca="1">SUMPRODUCT(($E17:$AH17)*(AR$3=$E$3:$AH$3)*(AR$4=$E$4:$AH$4)*(AR$5=$E$5:$AH$5)*(AR$6=$E$6:$AH$6))</f>
        <v>116.60108449705629</v>
      </c>
      <c r="AS17" s="24" cm="1">
        <f t="array" aca="1" ref="AS17" ca="1">SUMPRODUCT(($E17:$AH17)*(AS$3=$E$3:$AH$3)*(AS$4=$E$4:$AH$4)*(AS$5=$E$5:$AH$5)*(AS$6=$E$6:$AH$6))</f>
        <v>119.81644700110024</v>
      </c>
      <c r="AU17" s="24" cm="1">
        <f t="array" aca="1" ref="AU17" ca="1">SUMPRODUCT(($E17:$AH17)*(AU$5=$E$5:$AH$5))</f>
        <v>165.74411783889497</v>
      </c>
      <c r="AV17" s="24" cm="1">
        <f t="array" aca="1" ref="AV17" ca="1">SUMPRODUCT(($E17:$AH17)*(AV$5=$E$5:$AH$5))</f>
        <v>466.26951965102376</v>
      </c>
      <c r="AW17" s="24" cm="1">
        <f t="array" aca="1" ref="AW17" ca="1">SUMPRODUCT(($E17:$AH17)*(AW$5=$E$5:$AH$5))</f>
        <v>489.28774795395054</v>
      </c>
    </row>
    <row r="18" spans="1:49" x14ac:dyDescent="0.25">
      <c r="C18" s="11" t="s">
        <v>455</v>
      </c>
      <c r="E18" s="248">
        <f>SUBTOTAL(109,E15:E17)</f>
        <v>180.7728640635263</v>
      </c>
      <c r="F18" s="248">
        <f t="shared" ref="F18:AW18" si="20">SUBTOTAL(109,F15:F17)</f>
        <v>160.61112390166181</v>
      </c>
      <c r="G18" s="248">
        <f t="shared" si="20"/>
        <v>145.03604874875441</v>
      </c>
      <c r="H18" s="248">
        <f t="shared" si="20"/>
        <v>145.51900925897115</v>
      </c>
      <c r="I18" s="248">
        <f t="shared" si="20"/>
        <v>145.36732897796907</v>
      </c>
      <c r="J18" s="248">
        <f t="shared" si="20"/>
        <v>176.75701293385504</v>
      </c>
      <c r="K18" s="248">
        <f t="shared" si="20"/>
        <v>190.63777283984737</v>
      </c>
      <c r="L18" s="248">
        <f t="shared" si="20"/>
        <v>166.77450333175804</v>
      </c>
      <c r="M18" s="248">
        <f t="shared" si="20"/>
        <v>158.36881377268679</v>
      </c>
      <c r="N18" s="248">
        <f t="shared" si="20"/>
        <v>203.90553473801677</v>
      </c>
      <c r="O18" s="248">
        <f t="shared" si="20"/>
        <v>205.51530888445131</v>
      </c>
      <c r="P18" s="249">
        <f t="shared" si="20"/>
        <v>213.40401187736421</v>
      </c>
      <c r="Q18" s="248">
        <f t="shared" si="20"/>
        <v>197.86134000514889</v>
      </c>
      <c r="R18" s="248">
        <f t="shared" si="20"/>
        <v>172.33773503324278</v>
      </c>
      <c r="S18" s="248">
        <f t="shared" si="20"/>
        <v>157.97029196171533</v>
      </c>
      <c r="T18" s="248">
        <f t="shared" si="20"/>
        <v>159.09810992148152</v>
      </c>
      <c r="U18" s="248">
        <f t="shared" si="20"/>
        <v>156.76785280447933</v>
      </c>
      <c r="V18" s="248">
        <f t="shared" si="20"/>
        <v>201.12553493920402</v>
      </c>
      <c r="W18" s="248">
        <f t="shared" si="20"/>
        <v>193.86160153585652</v>
      </c>
      <c r="X18" s="248">
        <f t="shared" si="20"/>
        <v>172.04281111898945</v>
      </c>
      <c r="Y18" s="248">
        <f t="shared" si="20"/>
        <v>164.45093514268945</v>
      </c>
      <c r="Z18" s="248">
        <f t="shared" si="20"/>
        <v>225.12718298378599</v>
      </c>
      <c r="AA18" s="248">
        <f t="shared" si="20"/>
        <v>208.70950151163493</v>
      </c>
      <c r="AB18" s="248">
        <f t="shared" si="20"/>
        <v>222.90844545816631</v>
      </c>
      <c r="AC18" s="248">
        <f t="shared" si="20"/>
        <v>206.06532516277997</v>
      </c>
      <c r="AD18" s="248">
        <f t="shared" si="20"/>
        <v>179.39972891146465</v>
      </c>
      <c r="AE18" s="248">
        <f t="shared" si="20"/>
        <v>164.37418270615481</v>
      </c>
      <c r="AF18" s="248">
        <f t="shared" si="20"/>
        <v>165.57703643206136</v>
      </c>
      <c r="AG18" s="248">
        <f t="shared" si="20"/>
        <v>163.14580239096711</v>
      </c>
      <c r="AH18" s="248">
        <f t="shared" si="20"/>
        <v>209.54495071736952</v>
      </c>
      <c r="AJ18" s="248">
        <f t="shared" ca="1" si="20"/>
        <v>486.42003671394252</v>
      </c>
      <c r="AK18" s="248">
        <f t="shared" ca="1" si="20"/>
        <v>467.64335117079526</v>
      </c>
      <c r="AL18" s="248">
        <f t="shared" ca="1" si="20"/>
        <v>515.78108994429215</v>
      </c>
      <c r="AM18" s="334">
        <f t="shared" ca="1" si="20"/>
        <v>622.82485549983232</v>
      </c>
      <c r="AN18" s="248">
        <f t="shared" ca="1" si="20"/>
        <v>528.16936700010706</v>
      </c>
      <c r="AO18" s="248">
        <f t="shared" ca="1" si="20"/>
        <v>516.99149766516484</v>
      </c>
      <c r="AP18" s="248">
        <f t="shared" ca="1" si="20"/>
        <v>530.35534779753539</v>
      </c>
      <c r="AQ18" s="248">
        <f t="shared" ca="1" si="20"/>
        <v>656.74512995358725</v>
      </c>
      <c r="AR18" s="248">
        <f t="shared" ca="1" si="20"/>
        <v>549.83923678039946</v>
      </c>
      <c r="AS18" s="248">
        <f t="shared" ca="1" si="20"/>
        <v>538.2677895403981</v>
      </c>
      <c r="AU18" s="248">
        <f t="shared" ca="1" si="20"/>
        <v>954.06338788473772</v>
      </c>
      <c r="AV18" s="248">
        <f t="shared" ca="1" si="20"/>
        <v>2183.7668101093959</v>
      </c>
      <c r="AW18" s="248">
        <f t="shared" ca="1" si="20"/>
        <v>2275.2075040719201</v>
      </c>
    </row>
    <row r="19" spans="1:49" x14ac:dyDescent="0.25">
      <c r="C19" s="1" t="s">
        <v>458</v>
      </c>
      <c r="E19" s="250">
        <f>E40</f>
        <v>4.75</v>
      </c>
      <c r="F19" s="250">
        <f t="shared" ref="F19:AH19" si="21">F40</f>
        <v>4.75</v>
      </c>
      <c r="G19" s="250">
        <f t="shared" si="21"/>
        <v>4.75</v>
      </c>
      <c r="H19" s="250">
        <f t="shared" si="21"/>
        <v>4.75</v>
      </c>
      <c r="I19" s="250">
        <f t="shared" si="21"/>
        <v>4.75</v>
      </c>
      <c r="J19" s="250">
        <f t="shared" si="21"/>
        <v>4.75</v>
      </c>
      <c r="K19" s="250">
        <f t="shared" si="21"/>
        <v>4.75</v>
      </c>
      <c r="L19" s="250">
        <f t="shared" si="21"/>
        <v>4.75</v>
      </c>
      <c r="M19" s="250">
        <f t="shared" si="21"/>
        <v>4.75</v>
      </c>
      <c r="N19" s="250">
        <f t="shared" si="21"/>
        <v>4.75</v>
      </c>
      <c r="O19" s="250">
        <f t="shared" si="21"/>
        <v>4.75</v>
      </c>
      <c r="P19" s="251">
        <f t="shared" si="21"/>
        <v>4.75</v>
      </c>
      <c r="Q19" s="250">
        <f t="shared" si="21"/>
        <v>4.75</v>
      </c>
      <c r="R19" s="250">
        <f t="shared" si="21"/>
        <v>4.75</v>
      </c>
      <c r="S19" s="250">
        <f t="shared" si="21"/>
        <v>4.75</v>
      </c>
      <c r="T19" s="250">
        <f t="shared" si="21"/>
        <v>4.75</v>
      </c>
      <c r="U19" s="250">
        <f t="shared" si="21"/>
        <v>4.75</v>
      </c>
      <c r="V19" s="250">
        <f t="shared" si="21"/>
        <v>4.75</v>
      </c>
      <c r="W19" s="250">
        <f t="shared" si="21"/>
        <v>5.25</v>
      </c>
      <c r="X19" s="250">
        <f t="shared" si="21"/>
        <v>5.25</v>
      </c>
      <c r="Y19" s="250">
        <f t="shared" si="21"/>
        <v>5.25</v>
      </c>
      <c r="Z19" s="250">
        <f t="shared" si="21"/>
        <v>5.25</v>
      </c>
      <c r="AA19" s="250">
        <f t="shared" si="21"/>
        <v>5.25</v>
      </c>
      <c r="AB19" s="250">
        <f t="shared" si="21"/>
        <v>5.25</v>
      </c>
      <c r="AC19" s="250">
        <f t="shared" si="21"/>
        <v>5.25</v>
      </c>
      <c r="AD19" s="250">
        <f t="shared" si="21"/>
        <v>5.25</v>
      </c>
      <c r="AE19" s="250">
        <f t="shared" si="21"/>
        <v>5.25</v>
      </c>
      <c r="AF19" s="250">
        <f t="shared" si="21"/>
        <v>5.25</v>
      </c>
      <c r="AG19" s="250">
        <f t="shared" si="21"/>
        <v>5.25</v>
      </c>
      <c r="AH19" s="250">
        <f t="shared" si="21"/>
        <v>5.25</v>
      </c>
      <c r="AJ19" s="13" cm="1">
        <f t="array" aca="1" ref="AJ19" ca="1">SUMPRODUCT(($E19:$AH19)*(AJ$3&amp;AJ$4&amp;AJ$5&amp;AJ$6=$E$3:$AH$3&amp;$E$4:$AH$4&amp;$E$5:$AH$5&amp;$E$6:$AH$6))</f>
        <v>14.25</v>
      </c>
      <c r="AK19" s="13" cm="1">
        <f t="array" aca="1" ref="AK19" ca="1">SUMPRODUCT(($E19:$AH19)*(AK$3=$E$3:$AH$3)*(AK$4=$E$4:$AH$4)*(AK$5=$E$5:$AH$5)*(AK$6=$E$6:$AH$6))</f>
        <v>14.25</v>
      </c>
      <c r="AL19" s="13" cm="1">
        <f t="array" aca="1" ref="AL19" ca="1">SUMPRODUCT(($E19:$AH19)*(AL$3=$E$3:$AH$3)*(AL$4=$E$4:$AH$4)*(AL$5=$E$5:$AH$5)*(AL$6=$E$6:$AH$6))</f>
        <v>14.25</v>
      </c>
      <c r="AM19" s="17" cm="1">
        <f t="array" aca="1" ref="AM19" ca="1">SUMPRODUCT(($E19:$AH19)*(AM$3=$E$3:$AH$3)*(AM$4=$E$4:$AH$4)*(AM$5=$E$5:$AH$5)*(AM$6=$E$6:$AH$6))</f>
        <v>14.25</v>
      </c>
      <c r="AN19" s="13" cm="1">
        <f t="array" aca="1" ref="AN19" ca="1">SUMPRODUCT(($E19:$AH19)*(AN$3=$E$3:$AH$3)*(AN$4=$E$4:$AH$4)*(AN$5=$E$5:$AH$5)*(AN$6=$E$6:$AH$6))</f>
        <v>14.25</v>
      </c>
      <c r="AO19" s="13" cm="1">
        <f t="array" aca="1" ref="AO19" ca="1">SUMPRODUCT(($E19:$AH19)*(AO$3=$E$3:$AH$3)*(AO$4=$E$4:$AH$4)*(AO$5=$E$5:$AH$5)*(AO$6=$E$6:$AH$6))</f>
        <v>14.25</v>
      </c>
      <c r="AP19" s="13" cm="1">
        <f t="array" aca="1" ref="AP19" ca="1">SUMPRODUCT(($E19:$AH19)*(AP$3=$E$3:$AH$3)*(AP$4=$E$4:$AH$4)*(AP$5=$E$5:$AH$5)*(AP$6=$E$6:$AH$6))</f>
        <v>15.75</v>
      </c>
      <c r="AQ19" s="13" cm="1">
        <f t="array" aca="1" ref="AQ19" ca="1">SUMPRODUCT(($E19:$AH19)*(AQ$3=$E$3:$AH$3)*(AQ$4=$E$4:$AH$4)*(AQ$5=$E$5:$AH$5)*(AQ$6=$E$6:$AH$6))</f>
        <v>15.75</v>
      </c>
      <c r="AR19" s="13" cm="1">
        <f t="array" aca="1" ref="AR19" ca="1">SUMPRODUCT(($E19:$AH19)*(AR$3=$E$3:$AH$3)*(AR$4=$E$4:$AH$4)*(AR$5=$E$5:$AH$5)*(AR$6=$E$6:$AH$6))</f>
        <v>15.75</v>
      </c>
      <c r="AS19" s="13" cm="1">
        <f t="array" aca="1" ref="AS19" ca="1">SUMPRODUCT(($E19:$AH19)*(AS$3=$E$3:$AH$3)*(AS$4=$E$4:$AH$4)*(AS$5=$E$5:$AH$5)*(AS$6=$E$6:$AH$6))</f>
        <v>15.75</v>
      </c>
      <c r="AU19" s="13" cm="1">
        <f t="array" aca="1" ref="AU19" ca="1">SUMPRODUCT(($E19:$AH19)*(AU$5=$E$5:$AH$5))</f>
        <v>28.5</v>
      </c>
      <c r="AV19" s="13" cm="1">
        <f t="array" aca="1" ref="AV19" ca="1">SUMPRODUCT(($E19:$AH19)*(AV$5=$E$5:$AH$5))</f>
        <v>57</v>
      </c>
      <c r="AW19" s="13" cm="1">
        <f t="array" aca="1" ref="AW19" ca="1">SUMPRODUCT(($E19:$AH19)*(AW$5=$E$5:$AH$5))</f>
        <v>63</v>
      </c>
    </row>
    <row r="20" spans="1:49" x14ac:dyDescent="0.25">
      <c r="C20" s="1" t="s">
        <v>81</v>
      </c>
      <c r="E20" s="250">
        <f>E50</f>
        <v>24.922699933540848</v>
      </c>
      <c r="F20" s="250">
        <f t="shared" ref="F20:AH20" si="22">F50</f>
        <v>24.922699933540848</v>
      </c>
      <c r="G20" s="250">
        <f t="shared" si="22"/>
        <v>24.922699933540848</v>
      </c>
      <c r="H20" s="250">
        <f t="shared" si="22"/>
        <v>24.922699933540848</v>
      </c>
      <c r="I20" s="250">
        <f t="shared" si="22"/>
        <v>24.922699933540848</v>
      </c>
      <c r="J20" s="250">
        <f t="shared" si="22"/>
        <v>24.922699933540848</v>
      </c>
      <c r="K20" s="250">
        <f t="shared" si="22"/>
        <v>24.922699933540848</v>
      </c>
      <c r="L20" s="250">
        <f t="shared" si="22"/>
        <v>24.922699933540848</v>
      </c>
      <c r="M20" s="250">
        <f t="shared" si="22"/>
        <v>24.922699933540848</v>
      </c>
      <c r="N20" s="250">
        <f t="shared" si="22"/>
        <v>24.922699933540848</v>
      </c>
      <c r="O20" s="250">
        <f t="shared" si="22"/>
        <v>24.922699933540848</v>
      </c>
      <c r="P20" s="251">
        <f t="shared" si="22"/>
        <v>24.922699933540848</v>
      </c>
      <c r="Q20" s="250">
        <f t="shared" si="22"/>
        <v>24.922699933540848</v>
      </c>
      <c r="R20" s="250">
        <f t="shared" si="22"/>
        <v>24.922699933540848</v>
      </c>
      <c r="S20" s="250">
        <f t="shared" si="22"/>
        <v>24.922699933540848</v>
      </c>
      <c r="T20" s="250">
        <f t="shared" si="22"/>
        <v>24.922699933540848</v>
      </c>
      <c r="U20" s="250">
        <f t="shared" si="22"/>
        <v>24.922699933540848</v>
      </c>
      <c r="V20" s="250">
        <f t="shared" si="22"/>
        <v>24.922699933540848</v>
      </c>
      <c r="W20" s="250">
        <f t="shared" si="22"/>
        <v>24.922699933540848</v>
      </c>
      <c r="X20" s="250">
        <f t="shared" si="22"/>
        <v>24.922699933540848</v>
      </c>
      <c r="Y20" s="250">
        <f t="shared" si="22"/>
        <v>24.922699933540848</v>
      </c>
      <c r="Z20" s="250">
        <f t="shared" si="22"/>
        <v>24.922699933540848</v>
      </c>
      <c r="AA20" s="250">
        <f t="shared" si="22"/>
        <v>24.922699933540848</v>
      </c>
      <c r="AB20" s="250">
        <f t="shared" si="22"/>
        <v>24.922699933540848</v>
      </c>
      <c r="AC20" s="250">
        <f t="shared" si="22"/>
        <v>24.922699933540848</v>
      </c>
      <c r="AD20" s="250">
        <f t="shared" si="22"/>
        <v>24.922699933540848</v>
      </c>
      <c r="AE20" s="250">
        <f t="shared" si="22"/>
        <v>24.922699933540848</v>
      </c>
      <c r="AF20" s="250">
        <f t="shared" si="22"/>
        <v>24.922699933540848</v>
      </c>
      <c r="AG20" s="250">
        <f t="shared" si="22"/>
        <v>24.922699933540848</v>
      </c>
      <c r="AH20" s="250">
        <f t="shared" si="22"/>
        <v>24.922699933540848</v>
      </c>
      <c r="AJ20" s="13" cm="1">
        <f t="array" aca="1" ref="AJ20" ca="1">SUMPRODUCT(($E20:$AH20)*(AJ$3&amp;AJ$4&amp;AJ$5&amp;AJ$6=$E$3:$AH$3&amp;$E$4:$AH$4&amp;$E$5:$AH$5&amp;$E$6:$AH$6))</f>
        <v>74.768099800622537</v>
      </c>
      <c r="AK20" s="13" cm="1">
        <f t="array" aca="1" ref="AK20" ca="1">SUMPRODUCT(($E20:$AH20)*(AK$3=$E$3:$AH$3)*(AK$4=$E$4:$AH$4)*(AK$5=$E$5:$AH$5)*(AK$6=$E$6:$AH$6))</f>
        <v>74.768099800622537</v>
      </c>
      <c r="AL20" s="13" cm="1">
        <f t="array" aca="1" ref="AL20" ca="1">SUMPRODUCT(($E20:$AH20)*(AL$3=$E$3:$AH$3)*(AL$4=$E$4:$AH$4)*(AL$5=$E$5:$AH$5)*(AL$6=$E$6:$AH$6))</f>
        <v>74.768099800622537</v>
      </c>
      <c r="AM20" s="17" cm="1">
        <f t="array" aca="1" ref="AM20" ca="1">SUMPRODUCT(($E20:$AH20)*(AM$3=$E$3:$AH$3)*(AM$4=$E$4:$AH$4)*(AM$5=$E$5:$AH$5)*(AM$6=$E$6:$AH$6))</f>
        <v>74.768099800622537</v>
      </c>
      <c r="AN20" s="13" cm="1">
        <f t="array" aca="1" ref="AN20" ca="1">SUMPRODUCT(($E20:$AH20)*(AN$3=$E$3:$AH$3)*(AN$4=$E$4:$AH$4)*(AN$5=$E$5:$AH$5)*(AN$6=$E$6:$AH$6))</f>
        <v>74.768099800622537</v>
      </c>
      <c r="AO20" s="13" cm="1">
        <f t="array" aca="1" ref="AO20" ca="1">SUMPRODUCT(($E20:$AH20)*(AO$3=$E$3:$AH$3)*(AO$4=$E$4:$AH$4)*(AO$5=$E$5:$AH$5)*(AO$6=$E$6:$AH$6))</f>
        <v>74.768099800622537</v>
      </c>
      <c r="AP20" s="13" cm="1">
        <f t="array" aca="1" ref="AP20" ca="1">SUMPRODUCT(($E20:$AH20)*(AP$3=$E$3:$AH$3)*(AP$4=$E$4:$AH$4)*(AP$5=$E$5:$AH$5)*(AP$6=$E$6:$AH$6))</f>
        <v>74.768099800622537</v>
      </c>
      <c r="AQ20" s="13" cm="1">
        <f t="array" aca="1" ref="AQ20" ca="1">SUMPRODUCT(($E20:$AH20)*(AQ$3=$E$3:$AH$3)*(AQ$4=$E$4:$AH$4)*(AQ$5=$E$5:$AH$5)*(AQ$6=$E$6:$AH$6))</f>
        <v>74.768099800622537</v>
      </c>
      <c r="AR20" s="13" cm="1">
        <f t="array" aca="1" ref="AR20" ca="1">SUMPRODUCT(($E20:$AH20)*(AR$3=$E$3:$AH$3)*(AR$4=$E$4:$AH$4)*(AR$5=$E$5:$AH$5)*(AR$6=$E$6:$AH$6))</f>
        <v>74.768099800622537</v>
      </c>
      <c r="AS20" s="13" cm="1">
        <f t="array" aca="1" ref="AS20" ca="1">SUMPRODUCT(($E20:$AH20)*(AS$3=$E$3:$AH$3)*(AS$4=$E$4:$AH$4)*(AS$5=$E$5:$AH$5)*(AS$6=$E$6:$AH$6))</f>
        <v>74.768099800622537</v>
      </c>
      <c r="AU20" s="13" cm="1">
        <f t="array" aca="1" ref="AU20" ca="1">SUMPRODUCT(($E20:$AH20)*(AU$5=$E$5:$AH$5))</f>
        <v>149.5361996012451</v>
      </c>
      <c r="AV20" s="13" cm="1">
        <f t="array" aca="1" ref="AV20" ca="1">SUMPRODUCT(($E20:$AH20)*(AV$5=$E$5:$AH$5))</f>
        <v>299.0723992024902</v>
      </c>
      <c r="AW20" s="13" cm="1">
        <f t="array" aca="1" ref="AW20" ca="1">SUMPRODUCT(($E20:$AH20)*(AW$5=$E$5:$AH$5))</f>
        <v>299.0723992024902</v>
      </c>
    </row>
    <row r="21" spans="1:49" x14ac:dyDescent="0.25">
      <c r="C21" s="1" t="s">
        <v>152</v>
      </c>
      <c r="E21" s="250">
        <f>E56</f>
        <v>15.229528612992777</v>
      </c>
      <c r="F21" s="250">
        <f t="shared" ref="F21:AH21" si="23">F56</f>
        <v>15.229528612992777</v>
      </c>
      <c r="G21" s="250">
        <f t="shared" si="23"/>
        <v>15.229528612992777</v>
      </c>
      <c r="H21" s="250">
        <f t="shared" si="23"/>
        <v>15.229528612992777</v>
      </c>
      <c r="I21" s="250">
        <f t="shared" si="23"/>
        <v>15.229528612992777</v>
      </c>
      <c r="J21" s="250">
        <f t="shared" si="23"/>
        <v>15.229528612992777</v>
      </c>
      <c r="K21" s="250">
        <f t="shared" si="23"/>
        <v>15.229528612992777</v>
      </c>
      <c r="L21" s="250">
        <f t="shared" si="23"/>
        <v>15.229528612992777</v>
      </c>
      <c r="M21" s="250">
        <f t="shared" si="23"/>
        <v>15.229528612992777</v>
      </c>
      <c r="N21" s="250">
        <f t="shared" si="23"/>
        <v>15.229528612992777</v>
      </c>
      <c r="O21" s="250">
        <f t="shared" si="23"/>
        <v>15.229528612992777</v>
      </c>
      <c r="P21" s="251">
        <f t="shared" si="23"/>
        <v>15.229528612992777</v>
      </c>
      <c r="Q21" s="250">
        <f t="shared" si="23"/>
        <v>15.229528612992777</v>
      </c>
      <c r="R21" s="250">
        <f t="shared" si="23"/>
        <v>15.229528612992777</v>
      </c>
      <c r="S21" s="250">
        <f t="shared" si="23"/>
        <v>15.229528612992777</v>
      </c>
      <c r="T21" s="250">
        <f t="shared" si="23"/>
        <v>15.229528612992777</v>
      </c>
      <c r="U21" s="250">
        <f t="shared" si="23"/>
        <v>15.229528612992777</v>
      </c>
      <c r="V21" s="250">
        <f t="shared" si="23"/>
        <v>15.229528612992777</v>
      </c>
      <c r="W21" s="250">
        <f t="shared" si="23"/>
        <v>15.229528612992777</v>
      </c>
      <c r="X21" s="250">
        <f t="shared" si="23"/>
        <v>15.229528612992777</v>
      </c>
      <c r="Y21" s="250">
        <f t="shared" si="23"/>
        <v>15.229528612992777</v>
      </c>
      <c r="Z21" s="250">
        <f t="shared" si="23"/>
        <v>15.229528612992777</v>
      </c>
      <c r="AA21" s="250">
        <f t="shared" si="23"/>
        <v>15.229528612992777</v>
      </c>
      <c r="AB21" s="250">
        <f t="shared" si="23"/>
        <v>15.229528612992777</v>
      </c>
      <c r="AC21" s="250">
        <f t="shared" si="23"/>
        <v>15.229528612992777</v>
      </c>
      <c r="AD21" s="250">
        <f t="shared" si="23"/>
        <v>15.229528612992777</v>
      </c>
      <c r="AE21" s="250">
        <f t="shared" si="23"/>
        <v>15.229528612992777</v>
      </c>
      <c r="AF21" s="250">
        <f t="shared" si="23"/>
        <v>15.229528612992777</v>
      </c>
      <c r="AG21" s="250">
        <f t="shared" si="23"/>
        <v>15.229528612992777</v>
      </c>
      <c r="AH21" s="250">
        <f t="shared" si="23"/>
        <v>15.229528612992777</v>
      </c>
      <c r="AJ21" s="13" cm="1">
        <f t="array" aca="1" ref="AJ21" ca="1">SUMPRODUCT(($E21:$AH21)*(AJ$3&amp;AJ$4&amp;AJ$5&amp;AJ$6=$E$3:$AH$3&amp;$E$4:$AH$4&amp;$E$5:$AH$5&amp;$E$6:$AH$6))</f>
        <v>45.688585838978327</v>
      </c>
      <c r="AK21" s="13" cm="1">
        <f t="array" aca="1" ref="AK21" ca="1">SUMPRODUCT(($E21:$AH21)*(AK$3=$E$3:$AH$3)*(AK$4=$E$4:$AH$4)*(AK$5=$E$5:$AH$5)*(AK$6=$E$6:$AH$6))</f>
        <v>45.688585838978327</v>
      </c>
      <c r="AL21" s="13" cm="1">
        <f t="array" aca="1" ref="AL21" ca="1">SUMPRODUCT(($E21:$AH21)*(AL$3=$E$3:$AH$3)*(AL$4=$E$4:$AH$4)*(AL$5=$E$5:$AH$5)*(AL$6=$E$6:$AH$6))</f>
        <v>45.688585838978327</v>
      </c>
      <c r="AM21" s="17" cm="1">
        <f t="array" aca="1" ref="AM21" ca="1">SUMPRODUCT(($E21:$AH21)*(AM$3=$E$3:$AH$3)*(AM$4=$E$4:$AH$4)*(AM$5=$E$5:$AH$5)*(AM$6=$E$6:$AH$6))</f>
        <v>45.688585838978327</v>
      </c>
      <c r="AN21" s="13" cm="1">
        <f t="array" aca="1" ref="AN21" ca="1">SUMPRODUCT(($E21:$AH21)*(AN$3=$E$3:$AH$3)*(AN$4=$E$4:$AH$4)*(AN$5=$E$5:$AH$5)*(AN$6=$E$6:$AH$6))</f>
        <v>45.688585838978327</v>
      </c>
      <c r="AO21" s="13" cm="1">
        <f t="array" aca="1" ref="AO21" ca="1">SUMPRODUCT(($E21:$AH21)*(AO$3=$E$3:$AH$3)*(AO$4=$E$4:$AH$4)*(AO$5=$E$5:$AH$5)*(AO$6=$E$6:$AH$6))</f>
        <v>45.688585838978327</v>
      </c>
      <c r="AP21" s="13" cm="1">
        <f t="array" aca="1" ref="AP21" ca="1">SUMPRODUCT(($E21:$AH21)*(AP$3=$E$3:$AH$3)*(AP$4=$E$4:$AH$4)*(AP$5=$E$5:$AH$5)*(AP$6=$E$6:$AH$6))</f>
        <v>45.688585838978327</v>
      </c>
      <c r="AQ21" s="13" cm="1">
        <f t="array" aca="1" ref="AQ21" ca="1">SUMPRODUCT(($E21:$AH21)*(AQ$3=$E$3:$AH$3)*(AQ$4=$E$4:$AH$4)*(AQ$5=$E$5:$AH$5)*(AQ$6=$E$6:$AH$6))</f>
        <v>45.688585838978327</v>
      </c>
      <c r="AR21" s="13" cm="1">
        <f t="array" aca="1" ref="AR21" ca="1">SUMPRODUCT(($E21:$AH21)*(AR$3=$E$3:$AH$3)*(AR$4=$E$4:$AH$4)*(AR$5=$E$5:$AH$5)*(AR$6=$E$6:$AH$6))</f>
        <v>45.688585838978327</v>
      </c>
      <c r="AS21" s="13" cm="1">
        <f t="array" aca="1" ref="AS21" ca="1">SUMPRODUCT(($E21:$AH21)*(AS$3=$E$3:$AH$3)*(AS$4=$E$4:$AH$4)*(AS$5=$E$5:$AH$5)*(AS$6=$E$6:$AH$6))</f>
        <v>45.688585838978327</v>
      </c>
      <c r="AU21" s="13" cm="1">
        <f t="array" aca="1" ref="AU21" ca="1">SUMPRODUCT(($E21:$AH21)*(AU$5=$E$5:$AH$5))</f>
        <v>91.377171677956667</v>
      </c>
      <c r="AV21" s="13" cm="1">
        <f t="array" aca="1" ref="AV21" ca="1">SUMPRODUCT(($E21:$AH21)*(AV$5=$E$5:$AH$5))</f>
        <v>182.75434335591331</v>
      </c>
      <c r="AW21" s="13" cm="1">
        <f t="array" aca="1" ref="AW21" ca="1">SUMPRODUCT(($E21:$AH21)*(AW$5=$E$5:$AH$5))</f>
        <v>182.75434335591331</v>
      </c>
    </row>
    <row r="22" spans="1:49" x14ac:dyDescent="0.25">
      <c r="C22" s="1" t="s">
        <v>461</v>
      </c>
      <c r="E22" s="250">
        <f>E122</f>
        <v>290.25</v>
      </c>
      <c r="F22" s="250">
        <f t="shared" ref="F22:AH22" si="24">F122</f>
        <v>290.25</v>
      </c>
      <c r="G22" s="250">
        <f t="shared" si="24"/>
        <v>290.25</v>
      </c>
      <c r="H22" s="250">
        <f t="shared" si="24"/>
        <v>290.25</v>
      </c>
      <c r="I22" s="250">
        <f t="shared" si="24"/>
        <v>290.25</v>
      </c>
      <c r="J22" s="250">
        <f t="shared" si="24"/>
        <v>290.25</v>
      </c>
      <c r="K22" s="250">
        <f t="shared" si="24"/>
        <v>290.25</v>
      </c>
      <c r="L22" s="250">
        <f t="shared" si="24"/>
        <v>290.25</v>
      </c>
      <c r="M22" s="250">
        <f t="shared" si="24"/>
        <v>290.25</v>
      </c>
      <c r="N22" s="250">
        <f t="shared" si="24"/>
        <v>290.25</v>
      </c>
      <c r="O22" s="250">
        <f t="shared" si="24"/>
        <v>290.25</v>
      </c>
      <c r="P22" s="251">
        <f t="shared" si="24"/>
        <v>290.25</v>
      </c>
      <c r="Q22" s="250">
        <f t="shared" si="24"/>
        <v>297.01666666666665</v>
      </c>
      <c r="R22" s="250">
        <f t="shared" si="24"/>
        <v>304.4083333333333</v>
      </c>
      <c r="S22" s="250">
        <f t="shared" si="24"/>
        <v>319.97166666666664</v>
      </c>
      <c r="T22" s="250">
        <f t="shared" si="24"/>
        <v>317.94166666666666</v>
      </c>
      <c r="U22" s="250">
        <f t="shared" si="24"/>
        <v>317.94166666666666</v>
      </c>
      <c r="V22" s="250">
        <f t="shared" si="24"/>
        <v>317.94166666666666</v>
      </c>
      <c r="W22" s="250">
        <f t="shared" si="24"/>
        <v>317.94166666666666</v>
      </c>
      <c r="X22" s="250">
        <f t="shared" si="24"/>
        <v>317.94166666666666</v>
      </c>
      <c r="Y22" s="250">
        <f t="shared" si="24"/>
        <v>333.22208333333339</v>
      </c>
      <c r="Z22" s="250">
        <f t="shared" si="24"/>
        <v>333.22208333333339</v>
      </c>
      <c r="AA22" s="250">
        <f t="shared" si="24"/>
        <v>333.22208333333339</v>
      </c>
      <c r="AB22" s="250">
        <f t="shared" si="24"/>
        <v>333.22208333333339</v>
      </c>
      <c r="AC22" s="250">
        <f t="shared" si="24"/>
        <v>333.22208333333339</v>
      </c>
      <c r="AD22" s="250">
        <f t="shared" si="24"/>
        <v>333.22208333333339</v>
      </c>
      <c r="AE22" s="250">
        <f t="shared" si="24"/>
        <v>333.22208333333339</v>
      </c>
      <c r="AF22" s="250">
        <f t="shared" si="24"/>
        <v>333.22208333333339</v>
      </c>
      <c r="AG22" s="250">
        <f t="shared" si="24"/>
        <v>333.22208333333339</v>
      </c>
      <c r="AH22" s="250">
        <f t="shared" si="24"/>
        <v>333.22208333333339</v>
      </c>
      <c r="AJ22" s="13" cm="1">
        <f t="array" aca="1" ref="AJ22" ca="1">SUMPRODUCT(($E22:$AH22)*(AJ$3&amp;AJ$4&amp;AJ$5&amp;AJ$6=$E$3:$AH$3&amp;$E$4:$AH$4&amp;$E$5:$AH$5&amp;$E$6:$AH$6))</f>
        <v>870.75</v>
      </c>
      <c r="AK22" s="13" cm="1">
        <f t="array" aca="1" ref="AK22" ca="1">SUMPRODUCT(($E22:$AH22)*(AK$3=$E$3:$AH$3)*(AK$4=$E$4:$AH$4)*(AK$5=$E$5:$AH$5)*(AK$6=$E$6:$AH$6))</f>
        <v>870.75</v>
      </c>
      <c r="AL22" s="13" cm="1">
        <f t="array" aca="1" ref="AL22" ca="1">SUMPRODUCT(($E22:$AH22)*(AL$3=$E$3:$AH$3)*(AL$4=$E$4:$AH$4)*(AL$5=$E$5:$AH$5)*(AL$6=$E$6:$AH$6))</f>
        <v>870.75</v>
      </c>
      <c r="AM22" s="17" cm="1">
        <f t="array" aca="1" ref="AM22" ca="1">SUMPRODUCT(($E22:$AH22)*(AM$3=$E$3:$AH$3)*(AM$4=$E$4:$AH$4)*(AM$5=$E$5:$AH$5)*(AM$6=$E$6:$AH$6))</f>
        <v>870.75</v>
      </c>
      <c r="AN22" s="13" cm="1">
        <f t="array" aca="1" ref="AN22" ca="1">SUMPRODUCT(($E22:$AH22)*(AN$3=$E$3:$AH$3)*(AN$4=$E$4:$AH$4)*(AN$5=$E$5:$AH$5)*(AN$6=$E$6:$AH$6))</f>
        <v>921.39666666666653</v>
      </c>
      <c r="AO22" s="13" cm="1">
        <f t="array" aca="1" ref="AO22" ca="1">SUMPRODUCT(($E22:$AH22)*(AO$3=$E$3:$AH$3)*(AO$4=$E$4:$AH$4)*(AO$5=$E$5:$AH$5)*(AO$6=$E$6:$AH$6))</f>
        <v>953.82500000000005</v>
      </c>
      <c r="AP22" s="13" cm="1">
        <f t="array" aca="1" ref="AP22" ca="1">SUMPRODUCT(($E22:$AH22)*(AP$3=$E$3:$AH$3)*(AP$4=$E$4:$AH$4)*(AP$5=$E$5:$AH$5)*(AP$6=$E$6:$AH$6))</f>
        <v>969.10541666666677</v>
      </c>
      <c r="AQ22" s="13" cm="1">
        <f t="array" aca="1" ref="AQ22" ca="1">SUMPRODUCT(($E22:$AH22)*(AQ$3=$E$3:$AH$3)*(AQ$4=$E$4:$AH$4)*(AQ$5=$E$5:$AH$5)*(AQ$6=$E$6:$AH$6))</f>
        <v>999.66625000000022</v>
      </c>
      <c r="AR22" s="13" cm="1">
        <f t="array" aca="1" ref="AR22" ca="1">SUMPRODUCT(($E22:$AH22)*(AR$3=$E$3:$AH$3)*(AR$4=$E$4:$AH$4)*(AR$5=$E$5:$AH$5)*(AR$6=$E$6:$AH$6))</f>
        <v>999.66625000000022</v>
      </c>
      <c r="AS22" s="13" cm="1">
        <f t="array" aca="1" ref="AS22" ca="1">SUMPRODUCT(($E22:$AH22)*(AS$3=$E$3:$AH$3)*(AS$4=$E$4:$AH$4)*(AS$5=$E$5:$AH$5)*(AS$6=$E$6:$AH$6))</f>
        <v>999.66625000000022</v>
      </c>
      <c r="AU22" s="13" cm="1">
        <f t="array" aca="1" ref="AU22" ca="1">SUMPRODUCT(($E22:$AH22)*(AU$5=$E$5:$AH$5))</f>
        <v>1741.5</v>
      </c>
      <c r="AV22" s="13" cm="1">
        <f t="array" aca="1" ref="AV22" ca="1">SUMPRODUCT(($E22:$AH22)*(AV$5=$E$5:$AH$5))</f>
        <v>3616.7216666666668</v>
      </c>
      <c r="AW22" s="13" cm="1">
        <f t="array" aca="1" ref="AW22" ca="1">SUMPRODUCT(($E22:$AH22)*(AW$5=$E$5:$AH$5))</f>
        <v>3968.1041666666679</v>
      </c>
    </row>
    <row r="23" spans="1:49" x14ac:dyDescent="0.25">
      <c r="C23" s="1" t="s">
        <v>462</v>
      </c>
      <c r="E23" s="250">
        <f>E127</f>
        <v>0</v>
      </c>
      <c r="F23" s="250">
        <f t="shared" ref="F23:AH23" si="25">F127</f>
        <v>0</v>
      </c>
      <c r="G23" s="250">
        <f t="shared" si="25"/>
        <v>0</v>
      </c>
      <c r="H23" s="250">
        <f t="shared" si="25"/>
        <v>0</v>
      </c>
      <c r="I23" s="250">
        <f t="shared" si="25"/>
        <v>0</v>
      </c>
      <c r="J23" s="250">
        <f t="shared" si="25"/>
        <v>0</v>
      </c>
      <c r="K23" s="250">
        <f t="shared" si="25"/>
        <v>0</v>
      </c>
      <c r="L23" s="250">
        <f t="shared" si="25"/>
        <v>0</v>
      </c>
      <c r="M23" s="250">
        <f t="shared" si="25"/>
        <v>389.76</v>
      </c>
      <c r="N23" s="250">
        <f t="shared" si="25"/>
        <v>0</v>
      </c>
      <c r="O23" s="250">
        <f t="shared" si="25"/>
        <v>0</v>
      </c>
      <c r="P23" s="251">
        <f t="shared" si="25"/>
        <v>0</v>
      </c>
      <c r="Q23" s="250">
        <f t="shared" si="25"/>
        <v>0</v>
      </c>
      <c r="R23" s="250">
        <f t="shared" si="25"/>
        <v>0</v>
      </c>
      <c r="S23" s="250">
        <f t="shared" si="25"/>
        <v>0</v>
      </c>
      <c r="T23" s="250">
        <f t="shared" si="25"/>
        <v>0</v>
      </c>
      <c r="U23" s="250">
        <f t="shared" si="25"/>
        <v>0</v>
      </c>
      <c r="V23" s="250">
        <f t="shared" si="25"/>
        <v>0</v>
      </c>
      <c r="W23" s="250">
        <f t="shared" si="25"/>
        <v>0</v>
      </c>
      <c r="X23" s="250">
        <f t="shared" si="25"/>
        <v>0</v>
      </c>
      <c r="Y23" s="250">
        <f t="shared" si="25"/>
        <v>375.14400000000001</v>
      </c>
      <c r="Z23" s="250">
        <f t="shared" si="25"/>
        <v>0</v>
      </c>
      <c r="AA23" s="250">
        <f t="shared" si="25"/>
        <v>0</v>
      </c>
      <c r="AB23" s="250">
        <f t="shared" si="25"/>
        <v>0</v>
      </c>
      <c r="AC23" s="250">
        <f t="shared" si="25"/>
        <v>0</v>
      </c>
      <c r="AD23" s="250">
        <f t="shared" si="25"/>
        <v>0</v>
      </c>
      <c r="AE23" s="250">
        <f t="shared" si="25"/>
        <v>0</v>
      </c>
      <c r="AF23" s="250">
        <f t="shared" si="25"/>
        <v>0</v>
      </c>
      <c r="AG23" s="250">
        <f t="shared" si="25"/>
        <v>0</v>
      </c>
      <c r="AH23" s="250">
        <f t="shared" si="25"/>
        <v>0</v>
      </c>
      <c r="AJ23" s="13" cm="1">
        <f t="array" aca="1" ref="AJ23" ca="1">SUMPRODUCT(($E23:$AH23)*(AJ$3&amp;AJ$4&amp;AJ$5&amp;AJ$6=$E$3:$AH$3&amp;$E$4:$AH$4&amp;$E$5:$AH$5&amp;$E$6:$AH$6))</f>
        <v>0</v>
      </c>
      <c r="AK23" s="13" cm="1">
        <f t="array" aca="1" ref="AK23" ca="1">SUMPRODUCT(($E23:$AH23)*(AK$3=$E$3:$AH$3)*(AK$4=$E$4:$AH$4)*(AK$5=$E$5:$AH$5)*(AK$6=$E$6:$AH$6))</f>
        <v>0</v>
      </c>
      <c r="AL23" s="13" cm="1">
        <f t="array" aca="1" ref="AL23" ca="1">SUMPRODUCT(($E23:$AH23)*(AL$3=$E$3:$AH$3)*(AL$4=$E$4:$AH$4)*(AL$5=$E$5:$AH$5)*(AL$6=$E$6:$AH$6))</f>
        <v>389.76</v>
      </c>
      <c r="AM23" s="17" cm="1">
        <f t="array" aca="1" ref="AM23" ca="1">SUMPRODUCT(($E23:$AH23)*(AM$3=$E$3:$AH$3)*(AM$4=$E$4:$AH$4)*(AM$5=$E$5:$AH$5)*(AM$6=$E$6:$AH$6))</f>
        <v>0</v>
      </c>
      <c r="AN23" s="13" cm="1">
        <f t="array" aca="1" ref="AN23" ca="1">SUMPRODUCT(($E23:$AH23)*(AN$3=$E$3:$AH$3)*(AN$4=$E$4:$AH$4)*(AN$5=$E$5:$AH$5)*(AN$6=$E$6:$AH$6))</f>
        <v>0</v>
      </c>
      <c r="AO23" s="13" cm="1">
        <f t="array" aca="1" ref="AO23" ca="1">SUMPRODUCT(($E23:$AH23)*(AO$3=$E$3:$AH$3)*(AO$4=$E$4:$AH$4)*(AO$5=$E$5:$AH$5)*(AO$6=$E$6:$AH$6))</f>
        <v>0</v>
      </c>
      <c r="AP23" s="13" cm="1">
        <f t="array" aca="1" ref="AP23" ca="1">SUMPRODUCT(($E23:$AH23)*(AP$3=$E$3:$AH$3)*(AP$4=$E$4:$AH$4)*(AP$5=$E$5:$AH$5)*(AP$6=$E$6:$AH$6))</f>
        <v>375.14400000000001</v>
      </c>
      <c r="AQ23" s="13" cm="1">
        <f t="array" aca="1" ref="AQ23" ca="1">SUMPRODUCT(($E23:$AH23)*(AQ$3=$E$3:$AH$3)*(AQ$4=$E$4:$AH$4)*(AQ$5=$E$5:$AH$5)*(AQ$6=$E$6:$AH$6))</f>
        <v>0</v>
      </c>
      <c r="AR23" s="13" cm="1">
        <f t="array" aca="1" ref="AR23" ca="1">SUMPRODUCT(($E23:$AH23)*(AR$3=$E$3:$AH$3)*(AR$4=$E$4:$AH$4)*(AR$5=$E$5:$AH$5)*(AR$6=$E$6:$AH$6))</f>
        <v>0</v>
      </c>
      <c r="AS23" s="13" cm="1">
        <f t="array" aca="1" ref="AS23" ca="1">SUMPRODUCT(($E23:$AH23)*(AS$3=$E$3:$AH$3)*(AS$4=$E$4:$AH$4)*(AS$5=$E$5:$AH$5)*(AS$6=$E$6:$AH$6))</f>
        <v>0</v>
      </c>
      <c r="AU23" s="13" cm="1">
        <f t="array" aca="1" ref="AU23" ca="1">SUMPRODUCT(($E23:$AH23)*(AU$5=$E$5:$AH$5))</f>
        <v>0</v>
      </c>
      <c r="AV23" s="13" cm="1">
        <f t="array" aca="1" ref="AV23" ca="1">SUMPRODUCT(($E23:$AH23)*(AV$5=$E$5:$AH$5))</f>
        <v>389.76</v>
      </c>
      <c r="AW23" s="13" cm="1">
        <f t="array" aca="1" ref="AW23" ca="1">SUMPRODUCT(($E23:$AH23)*(AW$5=$E$5:$AH$5))</f>
        <v>375.14400000000001</v>
      </c>
    </row>
    <row r="24" spans="1:49" x14ac:dyDescent="0.25">
      <c r="C24" s="1" t="s">
        <v>463</v>
      </c>
      <c r="E24" s="250">
        <f>E132</f>
        <v>28.060805930349986</v>
      </c>
      <c r="F24" s="250">
        <f t="shared" ref="F24:AH24" si="26">F132</f>
        <v>27.904555160312505</v>
      </c>
      <c r="G24" s="250">
        <f t="shared" si="26"/>
        <v>28.497594212365705</v>
      </c>
      <c r="H24" s="250">
        <f t="shared" si="26"/>
        <v>28.123459268379939</v>
      </c>
      <c r="I24" s="250">
        <f t="shared" si="26"/>
        <v>28.022409926223933</v>
      </c>
      <c r="J24" s="250">
        <f t="shared" si="26"/>
        <v>28.45283808301085</v>
      </c>
      <c r="K24" s="250">
        <f t="shared" si="26"/>
        <v>28.297291652640723</v>
      </c>
      <c r="L24" s="250">
        <f t="shared" si="26"/>
        <v>28.509404654645248</v>
      </c>
      <c r="M24" s="250">
        <f t="shared" si="26"/>
        <v>27.906239537241042</v>
      </c>
      <c r="N24" s="250">
        <f t="shared" si="26"/>
        <v>28.148710076876299</v>
      </c>
      <c r="O24" s="250">
        <f t="shared" si="26"/>
        <v>28.383349212334618</v>
      </c>
      <c r="P24" s="251">
        <f t="shared" si="26"/>
        <v>27.956947696306809</v>
      </c>
      <c r="Q24" s="250">
        <f t="shared" si="26"/>
        <v>28.905331900132637</v>
      </c>
      <c r="R24" s="250">
        <f t="shared" si="26"/>
        <v>29.593370621922006</v>
      </c>
      <c r="S24" s="250">
        <f t="shared" si="26"/>
        <v>31.153925683917425</v>
      </c>
      <c r="T24" s="250">
        <f t="shared" si="26"/>
        <v>30.983965605706587</v>
      </c>
      <c r="U24" s="250">
        <f t="shared" si="26"/>
        <v>30.987363025897032</v>
      </c>
      <c r="V24" s="250">
        <f t="shared" si="26"/>
        <v>30.948309507951851</v>
      </c>
      <c r="W24" s="250">
        <f t="shared" si="26"/>
        <v>30.980920681620923</v>
      </c>
      <c r="X24" s="250">
        <f t="shared" si="26"/>
        <v>30.974348097639698</v>
      </c>
      <c r="Y24" s="250">
        <f t="shared" si="26"/>
        <v>30.969642989450413</v>
      </c>
      <c r="Z24" s="250">
        <f t="shared" si="26"/>
        <v>30.974091651377751</v>
      </c>
      <c r="AA24" s="250">
        <f t="shared" si="26"/>
        <v>30.97244599232295</v>
      </c>
      <c r="AB24" s="250">
        <f t="shared" si="26"/>
        <v>30.969959820060602</v>
      </c>
      <c r="AC24" s="250">
        <f t="shared" si="26"/>
        <v>30.973568205412057</v>
      </c>
      <c r="AD24" s="250">
        <f t="shared" si="26"/>
        <v>30.972342792710581</v>
      </c>
      <c r="AE24" s="250">
        <f t="shared" si="26"/>
        <v>30.972008575222397</v>
      </c>
      <c r="AF24" s="250">
        <f t="shared" si="26"/>
        <v>30.972402839517724</v>
      </c>
      <c r="AG24" s="250">
        <f t="shared" si="26"/>
        <v>30.972121370874387</v>
      </c>
      <c r="AH24" s="250">
        <f t="shared" si="26"/>
        <v>30.972067267299625</v>
      </c>
      <c r="AJ24" s="13" cm="1">
        <f t="array" aca="1" ref="AJ24" ca="1">SUMPRODUCT(($E24:$AH24)*(AJ$3&amp;AJ$4&amp;AJ$5&amp;AJ$6=$E$3:$AH$3&amp;$E$4:$AH$4&amp;$E$5:$AH$5&amp;$E$6:$AH$6))</f>
        <v>84.462955303028195</v>
      </c>
      <c r="AK24" s="13" cm="1">
        <f t="array" aca="1" ref="AK24" ca="1">SUMPRODUCT(($E24:$AH24)*(AK$3=$E$3:$AH$3)*(AK$4=$E$4:$AH$4)*(AK$5=$E$5:$AH$5)*(AK$6=$E$6:$AH$6))</f>
        <v>84.598707277614722</v>
      </c>
      <c r="AL24" s="13" cm="1">
        <f t="array" aca="1" ref="AL24" ca="1">SUMPRODUCT(($E24:$AH24)*(AL$3=$E$3:$AH$3)*(AL$4=$E$4:$AH$4)*(AL$5=$E$5:$AH$5)*(AL$6=$E$6:$AH$6))</f>
        <v>84.71293584452701</v>
      </c>
      <c r="AM24" s="17" cm="1">
        <f t="array" aca="1" ref="AM24" ca="1">SUMPRODUCT(($E24:$AH24)*(AM$3=$E$3:$AH$3)*(AM$4=$E$4:$AH$4)*(AM$5=$E$5:$AH$5)*(AM$6=$E$6:$AH$6))</f>
        <v>84.489006985517733</v>
      </c>
      <c r="AN24" s="13" cm="1">
        <f t="array" aca="1" ref="AN24" ca="1">SUMPRODUCT(($E24:$AH24)*(AN$3=$E$3:$AH$3)*(AN$4=$E$4:$AH$4)*(AN$5=$E$5:$AH$5)*(AN$6=$E$6:$AH$6))</f>
        <v>89.652628205972064</v>
      </c>
      <c r="AO24" s="13" cm="1">
        <f t="array" aca="1" ref="AO24" ca="1">SUMPRODUCT(($E24:$AH24)*(AO$3=$E$3:$AH$3)*(AO$4=$E$4:$AH$4)*(AO$5=$E$5:$AH$5)*(AO$6=$E$6:$AH$6))</f>
        <v>92.919638139555474</v>
      </c>
      <c r="AP24" s="13" cm="1">
        <f t="array" aca="1" ref="AP24" ca="1">SUMPRODUCT(($E24:$AH24)*(AP$3=$E$3:$AH$3)*(AP$4=$E$4:$AH$4)*(AP$5=$E$5:$AH$5)*(AP$6=$E$6:$AH$6))</f>
        <v>92.924911768711041</v>
      </c>
      <c r="AQ24" s="13" cm="1">
        <f t="array" aca="1" ref="AQ24" ca="1">SUMPRODUCT(($E24:$AH24)*(AQ$3=$E$3:$AH$3)*(AQ$4=$E$4:$AH$4)*(AQ$5=$E$5:$AH$5)*(AQ$6=$E$6:$AH$6))</f>
        <v>92.916497463761303</v>
      </c>
      <c r="AR24" s="13" cm="1">
        <f t="array" aca="1" ref="AR24" ca="1">SUMPRODUCT(($E24:$AH24)*(AR$3=$E$3:$AH$3)*(AR$4=$E$4:$AH$4)*(AR$5=$E$5:$AH$5)*(AR$6=$E$6:$AH$6))</f>
        <v>92.917919573345046</v>
      </c>
      <c r="AS24" s="13" cm="1">
        <f t="array" aca="1" ref="AS24" ca="1">SUMPRODUCT(($E24:$AH24)*(AS$3=$E$3:$AH$3)*(AS$4=$E$4:$AH$4)*(AS$5=$E$5:$AH$5)*(AS$6=$E$6:$AH$6))</f>
        <v>92.916591477691739</v>
      </c>
      <c r="AU24" s="13" cm="1">
        <f t="array" aca="1" ref="AU24" ca="1">SUMPRODUCT(($E24:$AH24)*(AU$5=$E$5:$AH$5))</f>
        <v>169.06166258064292</v>
      </c>
      <c r="AV24" s="13" cm="1">
        <f t="array" aca="1" ref="AV24" ca="1">SUMPRODUCT(($E24:$AH24)*(AV$5=$E$5:$AH$5))</f>
        <v>351.77420917557225</v>
      </c>
      <c r="AW24" s="13" cm="1">
        <f t="array" aca="1" ref="AW24" ca="1">SUMPRODUCT(($E24:$AH24)*(AW$5=$E$5:$AH$5))</f>
        <v>371.67592028350913</v>
      </c>
    </row>
    <row r="25" spans="1:49" x14ac:dyDescent="0.25">
      <c r="C25" s="1" t="s">
        <v>464</v>
      </c>
      <c r="E25" s="250">
        <f>E139</f>
        <v>12.185942010647937</v>
      </c>
      <c r="F25" s="250">
        <f t="shared" ref="F25:AH25" si="27">F139</f>
        <v>12.154127233632403</v>
      </c>
      <c r="G25" s="250">
        <f t="shared" si="27"/>
        <v>12.328902667974944</v>
      </c>
      <c r="H25" s="250">
        <f t="shared" si="27"/>
        <v>12.400810951891399</v>
      </c>
      <c r="I25" s="250">
        <f t="shared" si="27"/>
        <v>12.303925584841489</v>
      </c>
      <c r="J25" s="250">
        <f t="shared" si="27"/>
        <v>12.439424274400615</v>
      </c>
      <c r="K25" s="250">
        <f t="shared" si="27"/>
        <v>12.133899957740798</v>
      </c>
      <c r="L25" s="250">
        <f t="shared" si="27"/>
        <v>11.954454082828804</v>
      </c>
      <c r="M25" s="250">
        <f t="shared" si="27"/>
        <v>12.175428824138924</v>
      </c>
      <c r="N25" s="250">
        <f t="shared" si="27"/>
        <v>12.290006021446709</v>
      </c>
      <c r="O25" s="250">
        <f t="shared" si="27"/>
        <v>12.287552615320768</v>
      </c>
      <c r="P25" s="251">
        <f t="shared" si="27"/>
        <v>12.014487223248898</v>
      </c>
      <c r="Q25" s="250">
        <f t="shared" si="27"/>
        <v>12.502927861150672</v>
      </c>
      <c r="R25" s="250">
        <f t="shared" si="27"/>
        <v>12.836725378004083</v>
      </c>
      <c r="S25" s="250">
        <f t="shared" si="27"/>
        <v>13.488623685091827</v>
      </c>
      <c r="T25" s="250">
        <f t="shared" si="27"/>
        <v>13.395502751164264</v>
      </c>
      <c r="U25" s="250">
        <f t="shared" si="27"/>
        <v>13.379288892813278</v>
      </c>
      <c r="V25" s="250">
        <f t="shared" si="27"/>
        <v>13.370571948981249</v>
      </c>
      <c r="W25" s="250">
        <f t="shared" si="27"/>
        <v>13.348754156828482</v>
      </c>
      <c r="X25" s="250">
        <f t="shared" si="27"/>
        <v>13.353020265286903</v>
      </c>
      <c r="Y25" s="250">
        <f t="shared" si="27"/>
        <v>13.37402980182433</v>
      </c>
      <c r="Z25" s="250">
        <f t="shared" si="27"/>
        <v>13.376609584635258</v>
      </c>
      <c r="AA25" s="250">
        <f t="shared" si="27"/>
        <v>13.368940571150336</v>
      </c>
      <c r="AB25" s="250">
        <f t="shared" si="27"/>
        <v>13.360856530857955</v>
      </c>
      <c r="AC25" s="250">
        <f t="shared" si="27"/>
        <v>13.377036554776186</v>
      </c>
      <c r="AD25" s="250">
        <f t="shared" si="27"/>
        <v>13.375576022591504</v>
      </c>
      <c r="AE25" s="250">
        <f t="shared" si="27"/>
        <v>13.373716216095815</v>
      </c>
      <c r="AF25" s="250">
        <f t="shared" si="27"/>
        <v>13.371158608083796</v>
      </c>
      <c r="AG25" s="250">
        <f t="shared" si="27"/>
        <v>13.369129929493756</v>
      </c>
      <c r="AH25" s="250">
        <f t="shared" si="27"/>
        <v>13.36828334921713</v>
      </c>
      <c r="AJ25" s="13" cm="1">
        <f t="array" aca="1" ref="AJ25" ca="1">SUMPRODUCT(($E25:$AH25)*(AJ$3&amp;AJ$4&amp;AJ$5&amp;AJ$6=$E$3:$AH$3&amp;$E$4:$AH$4&amp;$E$5:$AH$5&amp;$E$6:$AH$6))</f>
        <v>36.668971912255287</v>
      </c>
      <c r="AK25" s="13" cm="1">
        <f t="array" aca="1" ref="AK25" ca="1">SUMPRODUCT(($E25:$AH25)*(AK$3=$E$3:$AH$3)*(AK$4=$E$4:$AH$4)*(AK$5=$E$5:$AH$5)*(AK$6=$E$6:$AH$6))</f>
        <v>37.144160811133503</v>
      </c>
      <c r="AL25" s="13" cm="1">
        <f t="array" aca="1" ref="AL25" ca="1">SUMPRODUCT(($E25:$AH25)*(AL$3=$E$3:$AH$3)*(AL$4=$E$4:$AH$4)*(AL$5=$E$5:$AH$5)*(AL$6=$E$6:$AH$6))</f>
        <v>36.263782864708524</v>
      </c>
      <c r="AM25" s="17" cm="1">
        <f t="array" aca="1" ref="AM25" ca="1">SUMPRODUCT(($E25:$AH25)*(AM$3=$E$3:$AH$3)*(AM$4=$E$4:$AH$4)*(AM$5=$E$5:$AH$5)*(AM$6=$E$6:$AH$6))</f>
        <v>36.592045860016377</v>
      </c>
      <c r="AN25" s="13" cm="1">
        <f t="array" aca="1" ref="AN25" ca="1">SUMPRODUCT(($E25:$AH25)*(AN$3=$E$3:$AH$3)*(AN$4=$E$4:$AH$4)*(AN$5=$E$5:$AH$5)*(AN$6=$E$6:$AH$6))</f>
        <v>38.82827692424658</v>
      </c>
      <c r="AO25" s="13" cm="1">
        <f t="array" aca="1" ref="AO25" ca="1">SUMPRODUCT(($E25:$AH25)*(AO$3=$E$3:$AH$3)*(AO$4=$E$4:$AH$4)*(AO$5=$E$5:$AH$5)*(AO$6=$E$6:$AH$6))</f>
        <v>40.145363592958795</v>
      </c>
      <c r="AP25" s="13" cm="1">
        <f t="array" aca="1" ref="AP25" ca="1">SUMPRODUCT(($E25:$AH25)*(AP$3=$E$3:$AH$3)*(AP$4=$E$4:$AH$4)*(AP$5=$E$5:$AH$5)*(AP$6=$E$6:$AH$6))</f>
        <v>40.075804223939713</v>
      </c>
      <c r="AQ25" s="13" cm="1">
        <f t="array" aca="1" ref="AQ25" ca="1">SUMPRODUCT(($E25:$AH25)*(AQ$3=$E$3:$AH$3)*(AQ$4=$E$4:$AH$4)*(AQ$5=$E$5:$AH$5)*(AQ$6=$E$6:$AH$6))</f>
        <v>40.106406686643552</v>
      </c>
      <c r="AR25" s="13" cm="1">
        <f t="array" aca="1" ref="AR25" ca="1">SUMPRODUCT(($E25:$AH25)*(AR$3=$E$3:$AH$3)*(AR$4=$E$4:$AH$4)*(AR$5=$E$5:$AH$5)*(AR$6=$E$6:$AH$6))</f>
        <v>40.126328793463507</v>
      </c>
      <c r="AS25" s="13" cm="1">
        <f t="array" aca="1" ref="AS25" ca="1">SUMPRODUCT(($E25:$AH25)*(AS$3=$E$3:$AH$3)*(AS$4=$E$4:$AH$4)*(AS$5=$E$5:$AH$5)*(AS$6=$E$6:$AH$6))</f>
        <v>40.108571886794678</v>
      </c>
      <c r="AU25" s="13" cm="1">
        <f t="array" aca="1" ref="AU25" ca="1">SUMPRODUCT(($E25:$AH25)*(AU$5=$E$5:$AH$5))</f>
        <v>73.81313272338879</v>
      </c>
      <c r="AV25" s="13" cm="1">
        <f t="array" aca="1" ref="AV25" ca="1">SUMPRODUCT(($E25:$AH25)*(AV$5=$E$5:$AH$5))</f>
        <v>151.82946924193027</v>
      </c>
      <c r="AW25" s="13" cm="1">
        <f t="array" aca="1" ref="AW25" ca="1">SUMPRODUCT(($E25:$AH25)*(AW$5=$E$5:$AH$5))</f>
        <v>160.41711159084147</v>
      </c>
    </row>
    <row r="26" spans="1:49" x14ac:dyDescent="0.25">
      <c r="C26" s="23" t="s">
        <v>58</v>
      </c>
      <c r="D26" s="27"/>
      <c r="E26" s="256">
        <f>E162</f>
        <v>466.33051765939143</v>
      </c>
      <c r="F26" s="256">
        <f t="shared" ref="F26:AH26" si="28">F162</f>
        <v>411.25055864271195</v>
      </c>
      <c r="G26" s="256">
        <f t="shared" si="28"/>
        <v>325.43115049900075</v>
      </c>
      <c r="H26" s="256">
        <f t="shared" si="28"/>
        <v>283.09912311626232</v>
      </c>
      <c r="I26" s="256">
        <f t="shared" si="28"/>
        <v>255.76143729257313</v>
      </c>
      <c r="J26" s="256">
        <f t="shared" si="28"/>
        <v>331.3179786842739</v>
      </c>
      <c r="K26" s="256">
        <f t="shared" si="28"/>
        <v>347.25322529242891</v>
      </c>
      <c r="L26" s="256">
        <f t="shared" si="28"/>
        <v>287.43922102738668</v>
      </c>
      <c r="M26" s="256">
        <f t="shared" si="28"/>
        <v>276.18080868502204</v>
      </c>
      <c r="N26" s="256">
        <f t="shared" si="28"/>
        <v>331.1039208234501</v>
      </c>
      <c r="O26" s="256">
        <f t="shared" si="28"/>
        <v>410.12473139176257</v>
      </c>
      <c r="P26" s="257">
        <f t="shared" si="28"/>
        <v>492.55763835999801</v>
      </c>
      <c r="Q26" s="256">
        <f t="shared" si="28"/>
        <v>432.20772937043762</v>
      </c>
      <c r="R26" s="256">
        <f t="shared" si="28"/>
        <v>383.23952647174065</v>
      </c>
      <c r="S26" s="256">
        <f t="shared" si="28"/>
        <v>316.40296995337928</v>
      </c>
      <c r="T26" s="256">
        <f t="shared" si="28"/>
        <v>295.37424700548763</v>
      </c>
      <c r="U26" s="256">
        <f t="shared" si="28"/>
        <v>266.97544533134896</v>
      </c>
      <c r="V26" s="256">
        <f t="shared" si="28"/>
        <v>333.59895535371396</v>
      </c>
      <c r="W26" s="256">
        <f t="shared" si="28"/>
        <v>380.1638588506043</v>
      </c>
      <c r="X26" s="256">
        <f t="shared" si="28"/>
        <v>316.68053689956969</v>
      </c>
      <c r="Y26" s="256">
        <f t="shared" si="28"/>
        <v>291.68898121936365</v>
      </c>
      <c r="Z26" s="256">
        <f t="shared" si="28"/>
        <v>362.42338948565737</v>
      </c>
      <c r="AA26" s="256">
        <f t="shared" si="28"/>
        <v>410.19191364067774</v>
      </c>
      <c r="AB26" s="256">
        <f t="shared" si="28"/>
        <v>461.76165226450257</v>
      </c>
      <c r="AC26" s="256">
        <f t="shared" si="28"/>
        <v>444.58111164429289</v>
      </c>
      <c r="AD26" s="256">
        <f t="shared" si="28"/>
        <v>394.21537567945734</v>
      </c>
      <c r="AE26" s="256">
        <f t="shared" si="28"/>
        <v>325.89553846687261</v>
      </c>
      <c r="AF26" s="256">
        <f t="shared" si="28"/>
        <v>305.27140096194086</v>
      </c>
      <c r="AG26" s="256">
        <f t="shared" si="28"/>
        <v>275.79428618588832</v>
      </c>
      <c r="AH26" s="256">
        <f t="shared" si="28"/>
        <v>344.02824903576118</v>
      </c>
      <c r="AJ26" s="24" cm="1">
        <f t="array" aca="1" ref="AJ26" ca="1">SUMPRODUCT(($E26:$AH26)*(AJ$3&amp;AJ$4&amp;AJ$5&amp;AJ$6=$E$3:$AH$3&amp;$E$4:$AH$4&amp;$E$5:$AH$5&amp;$E$6:$AH$6))</f>
        <v>1203.0122268011041</v>
      </c>
      <c r="AK26" s="24" cm="1">
        <f t="array" aca="1" ref="AK26" ca="1">SUMPRODUCT(($E26:$AH26)*(AK$3=$E$3:$AH$3)*(AK$4=$E$4:$AH$4)*(AK$5=$E$5:$AH$5)*(AK$6=$E$6:$AH$6))</f>
        <v>870.17853909310929</v>
      </c>
      <c r="AL26" s="24" cm="1">
        <f t="array" aca="1" ref="AL26" ca="1">SUMPRODUCT(($E26:$AH26)*(AL$3=$E$3:$AH$3)*(AL$4=$E$4:$AH$4)*(AL$5=$E$5:$AH$5)*(AL$6=$E$6:$AH$6))</f>
        <v>910.87325500483769</v>
      </c>
      <c r="AM26" s="64" cm="1">
        <f t="array" aca="1" ref="AM26" ca="1">SUMPRODUCT(($E26:$AH26)*(AM$3=$E$3:$AH$3)*(AM$4=$E$4:$AH$4)*(AM$5=$E$5:$AH$5)*(AM$6=$E$6:$AH$6))</f>
        <v>1233.7862905752106</v>
      </c>
      <c r="AN26" s="24" cm="1">
        <f t="array" aca="1" ref="AN26" ca="1">SUMPRODUCT(($E26:$AH26)*(AN$3=$E$3:$AH$3)*(AN$4=$E$4:$AH$4)*(AN$5=$E$5:$AH$5)*(AN$6=$E$6:$AH$6))</f>
        <v>1131.8502257955574</v>
      </c>
      <c r="AO26" s="24" cm="1">
        <f t="array" aca="1" ref="AO26" ca="1">SUMPRODUCT(($E26:$AH26)*(AO$3=$E$3:$AH$3)*(AO$4=$E$4:$AH$4)*(AO$5=$E$5:$AH$5)*(AO$6=$E$6:$AH$6))</f>
        <v>895.94864769055062</v>
      </c>
      <c r="AP26" s="24" cm="1">
        <f t="array" aca="1" ref="AP26" ca="1">SUMPRODUCT(($E26:$AH26)*(AP$3=$E$3:$AH$3)*(AP$4=$E$4:$AH$4)*(AP$5=$E$5:$AH$5)*(AP$6=$E$6:$AH$6))</f>
        <v>988.5333769695377</v>
      </c>
      <c r="AQ26" s="24" cm="1">
        <f t="array" aca="1" ref="AQ26" ca="1">SUMPRODUCT(($E26:$AH26)*(AQ$3=$E$3:$AH$3)*(AQ$4=$E$4:$AH$4)*(AQ$5=$E$5:$AH$5)*(AQ$6=$E$6:$AH$6))</f>
        <v>1234.3769553908378</v>
      </c>
      <c r="AR26" s="24" cm="1">
        <f t="array" aca="1" ref="AR26" ca="1">SUMPRODUCT(($E26:$AH26)*(AR$3=$E$3:$AH$3)*(AR$4=$E$4:$AH$4)*(AR$5=$E$5:$AH$5)*(AR$6=$E$6:$AH$6))</f>
        <v>1164.6920257906227</v>
      </c>
      <c r="AS26" s="24" cm="1">
        <f t="array" aca="1" ref="AS26" ca="1">SUMPRODUCT(($E26:$AH26)*(AS$3=$E$3:$AH$3)*(AS$4=$E$4:$AH$4)*(AS$5=$E$5:$AH$5)*(AS$6=$E$6:$AH$6))</f>
        <v>925.09393618359036</v>
      </c>
      <c r="AU26" s="24" cm="1">
        <f t="array" aca="1" ref="AU26" ca="1">SUMPRODUCT(($E26:$AH26)*(AU$5=$E$5:$AH$5))</f>
        <v>2073.1907658942137</v>
      </c>
      <c r="AV26" s="24" cm="1">
        <f t="array" aca="1" ref="AV26" ca="1">SUMPRODUCT(($E26:$AH26)*(AV$5=$E$5:$AH$5))</f>
        <v>4172.4584190661562</v>
      </c>
      <c r="AW26" s="24" cm="1">
        <f t="array" aca="1" ref="AW26" ca="1">SUMPRODUCT(($E26:$AH26)*(AW$5=$E$5:$AH$5))</f>
        <v>4312.6962943345879</v>
      </c>
    </row>
    <row r="27" spans="1:49" x14ac:dyDescent="0.25">
      <c r="C27" s="11" t="s">
        <v>456</v>
      </c>
      <c r="E27" s="248">
        <f>SUBTOTAL(109,E19:E26)</f>
        <v>841.72949414692289</v>
      </c>
      <c r="F27" s="248">
        <f t="shared" ref="F27:AW27" si="29">SUBTOTAL(109,F19:F26)</f>
        <v>786.46146958319036</v>
      </c>
      <c r="G27" s="248">
        <f t="shared" si="29"/>
        <v>701.40987592587499</v>
      </c>
      <c r="H27" s="248">
        <f t="shared" si="29"/>
        <v>658.77562188306729</v>
      </c>
      <c r="I27" s="248">
        <f t="shared" si="29"/>
        <v>631.24000135017218</v>
      </c>
      <c r="J27" s="248">
        <f t="shared" si="29"/>
        <v>707.36246958821903</v>
      </c>
      <c r="K27" s="248">
        <f t="shared" si="29"/>
        <v>722.83664544934413</v>
      </c>
      <c r="L27" s="248">
        <f t="shared" si="29"/>
        <v>663.05530831139436</v>
      </c>
      <c r="M27" s="248">
        <f t="shared" si="29"/>
        <v>1041.1747055929357</v>
      </c>
      <c r="N27" s="248">
        <f t="shared" si="29"/>
        <v>706.69486546830672</v>
      </c>
      <c r="O27" s="248">
        <f t="shared" si="29"/>
        <v>785.94786176595153</v>
      </c>
      <c r="P27" s="249">
        <f t="shared" si="29"/>
        <v>867.68130182608729</v>
      </c>
      <c r="Q27" s="248">
        <f t="shared" si="29"/>
        <v>815.53488434492124</v>
      </c>
      <c r="R27" s="248">
        <f t="shared" si="29"/>
        <v>774.98018435153358</v>
      </c>
      <c r="S27" s="248">
        <f t="shared" si="29"/>
        <v>725.91941453558888</v>
      </c>
      <c r="T27" s="248">
        <f t="shared" si="29"/>
        <v>702.59761057555875</v>
      </c>
      <c r="U27" s="248">
        <f t="shared" si="29"/>
        <v>674.18599246325959</v>
      </c>
      <c r="V27" s="248">
        <f t="shared" si="29"/>
        <v>740.76173202384734</v>
      </c>
      <c r="W27" s="248">
        <f t="shared" si="29"/>
        <v>787.83742890225403</v>
      </c>
      <c r="X27" s="248">
        <f t="shared" si="29"/>
        <v>724.35180047569656</v>
      </c>
      <c r="Y27" s="248">
        <f t="shared" si="29"/>
        <v>1089.8009658905055</v>
      </c>
      <c r="Z27" s="248">
        <f t="shared" si="29"/>
        <v>785.39840260153744</v>
      </c>
      <c r="AA27" s="248">
        <f t="shared" si="29"/>
        <v>833.15761208401807</v>
      </c>
      <c r="AB27" s="248">
        <f t="shared" si="29"/>
        <v>884.71678049528816</v>
      </c>
      <c r="AC27" s="248">
        <f t="shared" si="29"/>
        <v>867.55602828434814</v>
      </c>
      <c r="AD27" s="248">
        <f t="shared" si="29"/>
        <v>817.18760637462651</v>
      </c>
      <c r="AE27" s="248">
        <f t="shared" si="29"/>
        <v>748.86557513805792</v>
      </c>
      <c r="AF27" s="248">
        <f t="shared" si="29"/>
        <v>728.23927428940942</v>
      </c>
      <c r="AG27" s="248">
        <f t="shared" si="29"/>
        <v>698.75984936612349</v>
      </c>
      <c r="AH27" s="248">
        <f t="shared" si="29"/>
        <v>766.99291153214494</v>
      </c>
      <c r="AJ27" s="248">
        <f t="shared" ca="1" si="29"/>
        <v>2329.6008396559882</v>
      </c>
      <c r="AK27" s="248">
        <f t="shared" ca="1" si="29"/>
        <v>1997.3780928214585</v>
      </c>
      <c r="AL27" s="248">
        <f t="shared" ca="1" si="29"/>
        <v>2427.0666593536739</v>
      </c>
      <c r="AM27" s="334">
        <f t="shared" ca="1" si="29"/>
        <v>2360.3240290603458</v>
      </c>
      <c r="AN27" s="248">
        <f t="shared" ca="1" si="29"/>
        <v>2316.4344832320439</v>
      </c>
      <c r="AO27" s="248">
        <f t="shared" ca="1" si="29"/>
        <v>2117.5453350626658</v>
      </c>
      <c r="AP27" s="248">
        <f t="shared" ca="1" si="29"/>
        <v>2601.9901952684563</v>
      </c>
      <c r="AQ27" s="248">
        <f t="shared" ca="1" si="29"/>
        <v>2503.2727951808438</v>
      </c>
      <c r="AR27" s="248">
        <f t="shared" ca="1" si="29"/>
        <v>2433.6092097970322</v>
      </c>
      <c r="AS27" s="248">
        <f t="shared" ca="1" si="29"/>
        <v>2193.9920351876781</v>
      </c>
      <c r="AU27" s="248">
        <f t="shared" ca="1" si="29"/>
        <v>4326.9789324774465</v>
      </c>
      <c r="AV27" s="248">
        <f t="shared" ca="1" si="29"/>
        <v>9221.3705067087285</v>
      </c>
      <c r="AW27" s="248">
        <f t="shared" ca="1" si="29"/>
        <v>9732.86423543401</v>
      </c>
    </row>
    <row r="28" spans="1:49" x14ac:dyDescent="0.25">
      <c r="C28" t="s">
        <v>457</v>
      </c>
      <c r="E28" s="252">
        <f>E175</f>
        <v>20.029275765633791</v>
      </c>
      <c r="F28" s="252">
        <f t="shared" ref="F28:AH28" si="30">F175</f>
        <v>20.029275765633791</v>
      </c>
      <c r="G28" s="252">
        <f t="shared" si="30"/>
        <v>20.856150765633792</v>
      </c>
      <c r="H28" s="252">
        <f t="shared" si="30"/>
        <v>20.856150765633792</v>
      </c>
      <c r="I28" s="252">
        <f t="shared" si="30"/>
        <v>20.856150765633792</v>
      </c>
      <c r="J28" s="252">
        <f t="shared" si="30"/>
        <v>24.39781743230046</v>
      </c>
      <c r="K28" s="252">
        <f t="shared" si="30"/>
        <v>19.065109098967124</v>
      </c>
      <c r="L28" s="252">
        <f t="shared" si="30"/>
        <v>19.065109098967124</v>
      </c>
      <c r="M28" s="252">
        <f t="shared" si="30"/>
        <v>19.065109098967124</v>
      </c>
      <c r="N28" s="252">
        <f t="shared" si="30"/>
        <v>19.065109098967124</v>
      </c>
      <c r="O28" s="252">
        <f t="shared" si="30"/>
        <v>19.065109098967124</v>
      </c>
      <c r="P28" s="253">
        <f t="shared" si="30"/>
        <v>19.117609098967126</v>
      </c>
      <c r="Q28" s="252">
        <f t="shared" si="30"/>
        <v>19.117609098967126</v>
      </c>
      <c r="R28" s="252">
        <f t="shared" si="30"/>
        <v>19.117609098967126</v>
      </c>
      <c r="S28" s="252">
        <f t="shared" si="30"/>
        <v>19.117609098967126</v>
      </c>
      <c r="T28" s="252">
        <f t="shared" si="30"/>
        <v>19.117609098967126</v>
      </c>
      <c r="U28" s="252">
        <f t="shared" si="30"/>
        <v>19.117609098967126</v>
      </c>
      <c r="V28" s="252">
        <f t="shared" si="30"/>
        <v>19.117609098967126</v>
      </c>
      <c r="W28" s="252">
        <f t="shared" si="30"/>
        <v>19.117609098967126</v>
      </c>
      <c r="X28" s="252">
        <f t="shared" si="30"/>
        <v>19.117609098967126</v>
      </c>
      <c r="Y28" s="252">
        <f t="shared" si="30"/>
        <v>19.117609098967126</v>
      </c>
      <c r="Z28" s="252">
        <f t="shared" si="30"/>
        <v>19.117609098967126</v>
      </c>
      <c r="AA28" s="252">
        <f t="shared" si="30"/>
        <v>19.117609098967126</v>
      </c>
      <c r="AB28" s="252">
        <f t="shared" si="30"/>
        <v>19.117609098967126</v>
      </c>
      <c r="AC28" s="252">
        <f t="shared" si="30"/>
        <v>19.117609098967126</v>
      </c>
      <c r="AD28" s="252">
        <f t="shared" si="30"/>
        <v>19.117609098967126</v>
      </c>
      <c r="AE28" s="252">
        <f t="shared" si="30"/>
        <v>19.117609098967126</v>
      </c>
      <c r="AF28" s="252">
        <f t="shared" si="30"/>
        <v>19.117609098967126</v>
      </c>
      <c r="AG28" s="252">
        <f t="shared" si="30"/>
        <v>19.117609098967126</v>
      </c>
      <c r="AH28" s="252">
        <f t="shared" si="30"/>
        <v>19.117609098967126</v>
      </c>
      <c r="AJ28" s="13" cm="1">
        <f t="array" aca="1" ref="AJ28" ca="1">SUMPRODUCT(($E28:$AH28)*(AJ$3&amp;AJ$4&amp;AJ$5&amp;AJ$6=$E$3:$AH$3&amp;$E$4:$AH$4&amp;$E$5:$AH$5&amp;$E$6:$AH$6))</f>
        <v>60.914702296901375</v>
      </c>
      <c r="AK28" s="13" cm="1">
        <f t="array" aca="1" ref="AK28" ca="1">SUMPRODUCT(($E28:$AH28)*(AK$3=$E$3:$AH$3)*(AK$4=$E$4:$AH$4)*(AK$5=$E$5:$AH$5)*(AK$6=$E$6:$AH$6))</f>
        <v>66.110118963568041</v>
      </c>
      <c r="AL28" s="13" cm="1">
        <f t="array" aca="1" ref="AL28" ca="1">SUMPRODUCT(($E28:$AH28)*(AL$3=$E$3:$AH$3)*(AL$4=$E$4:$AH$4)*(AL$5=$E$5:$AH$5)*(AL$6=$E$6:$AH$6))</f>
        <v>57.195327296901368</v>
      </c>
      <c r="AM28" s="17" cm="1">
        <f t="array" aca="1" ref="AM28" ca="1">SUMPRODUCT(($E28:$AH28)*(AM$3=$E$3:$AH$3)*(AM$4=$E$4:$AH$4)*(AM$5=$E$5:$AH$5)*(AM$6=$E$6:$AH$6))</f>
        <v>57.247827296901377</v>
      </c>
      <c r="AN28" s="13" cm="1">
        <f t="array" aca="1" ref="AN28" ca="1">SUMPRODUCT(($E28:$AH28)*(AN$3=$E$3:$AH$3)*(AN$4=$E$4:$AH$4)*(AN$5=$E$5:$AH$5)*(AN$6=$E$6:$AH$6))</f>
        <v>57.352827296901381</v>
      </c>
      <c r="AO28" s="13" cm="1">
        <f t="array" aca="1" ref="AO28" ca="1">SUMPRODUCT(($E28:$AH28)*(AO$3=$E$3:$AH$3)*(AO$4=$E$4:$AH$4)*(AO$5=$E$5:$AH$5)*(AO$6=$E$6:$AH$6))</f>
        <v>57.352827296901381</v>
      </c>
      <c r="AP28" s="13" cm="1">
        <f t="array" aca="1" ref="AP28" ca="1">SUMPRODUCT(($E28:$AH28)*(AP$3=$E$3:$AH$3)*(AP$4=$E$4:$AH$4)*(AP$5=$E$5:$AH$5)*(AP$6=$E$6:$AH$6))</f>
        <v>57.352827296901381</v>
      </c>
      <c r="AQ28" s="13" cm="1">
        <f t="array" aca="1" ref="AQ28" ca="1">SUMPRODUCT(($E28:$AH28)*(AQ$3=$E$3:$AH$3)*(AQ$4=$E$4:$AH$4)*(AQ$5=$E$5:$AH$5)*(AQ$6=$E$6:$AH$6))</f>
        <v>57.352827296901381</v>
      </c>
      <c r="AR28" s="13" cm="1">
        <f t="array" aca="1" ref="AR28" ca="1">SUMPRODUCT(($E28:$AH28)*(AR$3=$E$3:$AH$3)*(AR$4=$E$4:$AH$4)*(AR$5=$E$5:$AH$5)*(AR$6=$E$6:$AH$6))</f>
        <v>57.352827296901381</v>
      </c>
      <c r="AS28" s="13" cm="1">
        <f t="array" aca="1" ref="AS28" ca="1">SUMPRODUCT(($E28:$AH28)*(AS$3=$E$3:$AH$3)*(AS$4=$E$4:$AH$4)*(AS$5=$E$5:$AH$5)*(AS$6=$E$6:$AH$6))</f>
        <v>57.352827296901381</v>
      </c>
      <c r="AU28" s="13" cm="1">
        <f t="array" aca="1" ref="AU28" ca="1">SUMPRODUCT(($E28:$AH28)*(AU$5=$E$5:$AH$5))</f>
        <v>127.02482126046942</v>
      </c>
      <c r="AV28" s="13" cm="1">
        <f t="array" aca="1" ref="AV28" ca="1">SUMPRODUCT(($E28:$AH28)*(AV$5=$E$5:$AH$5))</f>
        <v>229.14880918760556</v>
      </c>
      <c r="AW28" s="13" cm="1">
        <f t="array" aca="1" ref="AW28" ca="1">SUMPRODUCT(($E28:$AH28)*(AW$5=$E$5:$AH$5))</f>
        <v>229.41130918760555</v>
      </c>
    </row>
    <row r="29" spans="1:49" x14ac:dyDescent="0.25">
      <c r="C29" t="s">
        <v>60</v>
      </c>
      <c r="E29" s="252">
        <f>E180</f>
        <v>7.7421516354157198</v>
      </c>
      <c r="F29" s="252">
        <f t="shared" ref="F29:AH29" si="31">F180</f>
        <v>-21.963393407128883</v>
      </c>
      <c r="G29" s="252">
        <f t="shared" si="31"/>
        <v>-5.7711994128083015</v>
      </c>
      <c r="H29" s="252">
        <f t="shared" si="31"/>
        <v>7.1737120765139561</v>
      </c>
      <c r="I29" s="252">
        <f t="shared" si="31"/>
        <v>15.405349451822646</v>
      </c>
      <c r="J29" s="252">
        <f t="shared" si="31"/>
        <v>62.586579612999735</v>
      </c>
      <c r="K29" s="252">
        <f t="shared" si="31"/>
        <v>14.52854240424319</v>
      </c>
      <c r="L29" s="252">
        <f t="shared" si="31"/>
        <v>5.407872102788402</v>
      </c>
      <c r="M29" s="252">
        <f t="shared" si="31"/>
        <v>-72.079688395221268</v>
      </c>
      <c r="N29" s="252">
        <f t="shared" si="31"/>
        <v>56.773908354049304</v>
      </c>
      <c r="O29" s="252">
        <f t="shared" si="31"/>
        <v>36.826816824970841</v>
      </c>
      <c r="P29" s="253">
        <f t="shared" si="31"/>
        <v>32.056646284226957</v>
      </c>
      <c r="Q29" s="252">
        <f t="shared" si="31"/>
        <v>21.58499303568021</v>
      </c>
      <c r="R29" s="252">
        <f t="shared" si="31"/>
        <v>-8.2866705843963633</v>
      </c>
      <c r="S29" s="252">
        <f t="shared" si="31"/>
        <v>-4.0166065763790026</v>
      </c>
      <c r="T29" s="252">
        <f t="shared" si="31"/>
        <v>4.0778734873360101</v>
      </c>
      <c r="U29" s="252">
        <f t="shared" si="31"/>
        <v>14.369603096713893</v>
      </c>
      <c r="V29" s="252">
        <f t="shared" si="31"/>
        <v>51.703960431934661</v>
      </c>
      <c r="W29" s="252">
        <f t="shared" si="31"/>
        <v>12.284393359800481</v>
      </c>
      <c r="X29" s="252">
        <f t="shared" si="31"/>
        <v>-0.77886972860836157</v>
      </c>
      <c r="Y29" s="252">
        <f t="shared" si="31"/>
        <v>-78.352511585961579</v>
      </c>
      <c r="Z29" s="252">
        <f t="shared" si="31"/>
        <v>54.291956728506747</v>
      </c>
      <c r="AA29" s="252">
        <f t="shared" si="31"/>
        <v>30.950433497367548</v>
      </c>
      <c r="AB29" s="252">
        <f t="shared" si="31"/>
        <v>39.661160734609318</v>
      </c>
      <c r="AC29" s="252">
        <f t="shared" si="31"/>
        <v>20.019197706304155</v>
      </c>
      <c r="AD29" s="252">
        <f t="shared" si="31"/>
        <v>-9.4848917467789899</v>
      </c>
      <c r="AE29" s="252">
        <f t="shared" si="31"/>
        <v>-1.429432158424033</v>
      </c>
      <c r="AF29" s="252">
        <f t="shared" si="31"/>
        <v>6.2809290417376173</v>
      </c>
      <c r="AG29" s="252">
        <f t="shared" si="31"/>
        <v>17.011676086441497</v>
      </c>
      <c r="AH29" s="252">
        <f t="shared" si="31"/>
        <v>56.370665549365306</v>
      </c>
      <c r="AJ29" s="13" cm="1">
        <f t="array" aca="1" ref="AJ29" ca="1">SUMPRODUCT(($E29:$AH29)*(AJ$3&amp;AJ$4&amp;AJ$5&amp;AJ$6=$E$3:$AH$3&amp;$E$4:$AH$4&amp;$E$5:$AH$5&amp;$E$6:$AH$6))</f>
        <v>-19.992441184521464</v>
      </c>
      <c r="AK29" s="13" cm="1">
        <f t="array" aca="1" ref="AK29" ca="1">SUMPRODUCT(($E29:$AH29)*(AK$3=$E$3:$AH$3)*(AK$4=$E$4:$AH$4)*(AK$5=$E$5:$AH$5)*(AK$6=$E$6:$AH$6))</f>
        <v>85.165641141336337</v>
      </c>
      <c r="AL29" s="13" cm="1">
        <f t="array" aca="1" ref="AL29" ca="1">SUMPRODUCT(($E29:$AH29)*(AL$3=$E$3:$AH$3)*(AL$4=$E$4:$AH$4)*(AL$5=$E$5:$AH$5)*(AL$6=$E$6:$AH$6))</f>
        <v>-52.143273888189675</v>
      </c>
      <c r="AM29" s="17" cm="1">
        <f t="array" aca="1" ref="AM29" ca="1">SUMPRODUCT(($E29:$AH29)*(AM$3=$E$3:$AH$3)*(AM$4=$E$4:$AH$4)*(AM$5=$E$5:$AH$5)*(AM$6=$E$6:$AH$6))</f>
        <v>125.6573714632471</v>
      </c>
      <c r="AN29" s="13" cm="1">
        <f t="array" aca="1" ref="AN29" ca="1">SUMPRODUCT(($E29:$AH29)*(AN$3=$E$3:$AH$3)*(AN$4=$E$4:$AH$4)*(AN$5=$E$5:$AH$5)*(AN$6=$E$6:$AH$6))</f>
        <v>9.2817158749048438</v>
      </c>
      <c r="AO29" s="13" cm="1">
        <f t="array" aca="1" ref="AO29" ca="1">SUMPRODUCT(($E29:$AH29)*(AO$3=$E$3:$AH$3)*(AO$4=$E$4:$AH$4)*(AO$5=$E$5:$AH$5)*(AO$6=$E$6:$AH$6))</f>
        <v>70.151437015984556</v>
      </c>
      <c r="AP29" s="13" cm="1">
        <f t="array" aca="1" ref="AP29" ca="1">SUMPRODUCT(($E29:$AH29)*(AP$3=$E$3:$AH$3)*(AP$4=$E$4:$AH$4)*(AP$5=$E$5:$AH$5)*(AP$6=$E$6:$AH$6))</f>
        <v>-66.84698795476946</v>
      </c>
      <c r="AQ29" s="13" cm="1">
        <f t="array" aca="1" ref="AQ29" ca="1">SUMPRODUCT(($E29:$AH29)*(AQ$3=$E$3:$AH$3)*(AQ$4=$E$4:$AH$4)*(AQ$5=$E$5:$AH$5)*(AQ$6=$E$6:$AH$6))</f>
        <v>124.90355096048361</v>
      </c>
      <c r="AR29" s="13" cm="1">
        <f t="array" aca="1" ref="AR29" ca="1">SUMPRODUCT(($E29:$AH29)*(AR$3=$E$3:$AH$3)*(AR$4=$E$4:$AH$4)*(AR$5=$E$5:$AH$5)*(AR$6=$E$6:$AH$6))</f>
        <v>9.1048738011011316</v>
      </c>
      <c r="AS29" s="13" cm="1">
        <f t="array" aca="1" ref="AS29" ca="1">SUMPRODUCT(($E29:$AH29)*(AS$3=$E$3:$AH$3)*(AS$4=$E$4:$AH$4)*(AS$5=$E$5:$AH$5)*(AS$6=$E$6:$AH$6))</f>
        <v>79.663270677544418</v>
      </c>
      <c r="AU29" s="13" cm="1">
        <f t="array" aca="1" ref="AU29" ca="1">SUMPRODUCT(($E29:$AH29)*(AU$5=$E$5:$AH$5))</f>
        <v>65.173199956814869</v>
      </c>
      <c r="AV29" s="13" cm="1">
        <f t="array" aca="1" ref="AV29" ca="1">SUMPRODUCT(($E29:$AH29)*(AV$5=$E$5:$AH$5))</f>
        <v>152.94725046594684</v>
      </c>
      <c r="AW29" s="13" cm="1">
        <f t="array" aca="1" ref="AW29" ca="1">SUMPRODUCT(($E29:$AH29)*(AW$5=$E$5:$AH$5))</f>
        <v>146.82470748435972</v>
      </c>
    </row>
    <row r="30" spans="1:49" ht="15.75" thickBot="1" x14ac:dyDescent="0.3">
      <c r="B30" t="s">
        <v>231</v>
      </c>
      <c r="C30" s="53" t="s">
        <v>80</v>
      </c>
      <c r="D30" s="105"/>
      <c r="E30" s="258">
        <f>SUBTOTAL(109,E15:E29)</f>
        <v>1050.2737856114989</v>
      </c>
      <c r="F30" s="258">
        <f t="shared" ref="F30:AW30" si="32">SUBTOTAL(109,F15:F29)</f>
        <v>945.13847584335701</v>
      </c>
      <c r="G30" s="258">
        <f t="shared" si="32"/>
        <v>861.53087602745484</v>
      </c>
      <c r="H30" s="258">
        <f t="shared" si="32"/>
        <v>832.32449398418623</v>
      </c>
      <c r="I30" s="258">
        <f t="shared" si="32"/>
        <v>812.86883054559758</v>
      </c>
      <c r="J30" s="258">
        <f t="shared" si="32"/>
        <v>971.10387956737429</v>
      </c>
      <c r="K30" s="258">
        <f t="shared" si="32"/>
        <v>947.06806979240173</v>
      </c>
      <c r="L30" s="258">
        <f t="shared" si="32"/>
        <v>854.3027928449078</v>
      </c>
      <c r="M30" s="258">
        <f t="shared" si="32"/>
        <v>1146.5289400693684</v>
      </c>
      <c r="N30" s="258">
        <f t="shared" si="32"/>
        <v>986.43941765934017</v>
      </c>
      <c r="O30" s="258">
        <f t="shared" si="32"/>
        <v>1047.3550965743409</v>
      </c>
      <c r="P30" s="259">
        <f t="shared" si="32"/>
        <v>1132.2595690866453</v>
      </c>
      <c r="Q30" s="258">
        <f t="shared" si="32"/>
        <v>1054.0988264847172</v>
      </c>
      <c r="R30" s="258">
        <f t="shared" si="32"/>
        <v>958.14885789934715</v>
      </c>
      <c r="S30" s="258">
        <f t="shared" si="32"/>
        <v>898.99070901989228</v>
      </c>
      <c r="T30" s="258">
        <f t="shared" si="32"/>
        <v>884.89120308334338</v>
      </c>
      <c r="U30" s="258">
        <f t="shared" si="32"/>
        <v>864.44105746341995</v>
      </c>
      <c r="V30" s="258">
        <f t="shared" si="32"/>
        <v>1012.7088364939532</v>
      </c>
      <c r="W30" s="258">
        <f t="shared" si="32"/>
        <v>1013.101032896878</v>
      </c>
      <c r="X30" s="258">
        <f t="shared" si="32"/>
        <v>914.73335096504479</v>
      </c>
      <c r="Y30" s="258">
        <f t="shared" si="32"/>
        <v>1195.0169985462003</v>
      </c>
      <c r="Z30" s="258">
        <f t="shared" si="32"/>
        <v>1083.9351514127973</v>
      </c>
      <c r="AA30" s="258">
        <f t="shared" si="32"/>
        <v>1091.9351561919875</v>
      </c>
      <c r="AB30" s="258">
        <f t="shared" si="32"/>
        <v>1166.4039957870307</v>
      </c>
      <c r="AC30" s="258">
        <f t="shared" si="32"/>
        <v>1112.7581602523992</v>
      </c>
      <c r="AD30" s="258">
        <f t="shared" si="32"/>
        <v>1006.2200526382793</v>
      </c>
      <c r="AE30" s="258">
        <f t="shared" si="32"/>
        <v>930.92793478475573</v>
      </c>
      <c r="AF30" s="258">
        <f t="shared" si="32"/>
        <v>919.21484886217547</v>
      </c>
      <c r="AG30" s="258">
        <f t="shared" si="32"/>
        <v>898.03493694249914</v>
      </c>
      <c r="AH30" s="258">
        <f t="shared" si="32"/>
        <v>1052.026136897847</v>
      </c>
      <c r="AJ30" s="258">
        <f t="shared" ca="1" si="32"/>
        <v>2856.9431374823112</v>
      </c>
      <c r="AK30" s="258">
        <f t="shared" ca="1" si="32"/>
        <v>2616.2972040971581</v>
      </c>
      <c r="AL30" s="258">
        <f t="shared" ca="1" si="32"/>
        <v>2947.8998027066777</v>
      </c>
      <c r="AM30" s="259">
        <f t="shared" ca="1" si="32"/>
        <v>3166.0540833203268</v>
      </c>
      <c r="AN30" s="258">
        <f t="shared" ca="1" si="32"/>
        <v>2911.2383934039572</v>
      </c>
      <c r="AO30" s="258">
        <f t="shared" ca="1" si="32"/>
        <v>2762.0410970407165</v>
      </c>
      <c r="AP30" s="258">
        <f t="shared" ca="1" si="32"/>
        <v>3122.8513824081233</v>
      </c>
      <c r="AQ30" s="258">
        <f t="shared" ca="1" si="32"/>
        <v>3342.2743033918159</v>
      </c>
      <c r="AR30" s="258">
        <f t="shared" ca="1" si="32"/>
        <v>3049.9061476754346</v>
      </c>
      <c r="AS30" s="258">
        <f t="shared" ca="1" si="32"/>
        <v>2869.2759227025217</v>
      </c>
      <c r="AU30" s="258">
        <f t="shared" ca="1" si="32"/>
        <v>5473.2403415794688</v>
      </c>
      <c r="AV30" s="258">
        <f t="shared" ca="1" si="32"/>
        <v>11787.233376471679</v>
      </c>
      <c r="AW30" s="258">
        <f t="shared" ca="1" si="32"/>
        <v>12384.307756177895</v>
      </c>
    </row>
    <row r="31" spans="1:49" ht="15.75" thickTop="1" x14ac:dyDescent="0.25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</row>
    <row r="32" spans="1:49" ht="18.75" x14ac:dyDescent="0.3">
      <c r="A32" t="s">
        <v>231</v>
      </c>
      <c r="B32" t="s">
        <v>231</v>
      </c>
      <c r="C32" s="181" t="s">
        <v>465</v>
      </c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</row>
    <row r="33" spans="1:51" ht="18.75" x14ac:dyDescent="0.3">
      <c r="C33" s="182" t="s">
        <v>18</v>
      </c>
      <c r="D33" s="179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</row>
    <row r="34" spans="1:51" x14ac:dyDescent="0.25">
      <c r="C34" s="11"/>
      <c r="D34" s="11"/>
    </row>
    <row r="35" spans="1:51" x14ac:dyDescent="0.25">
      <c r="C35" s="30" t="s">
        <v>21</v>
      </c>
      <c r="D35" s="30"/>
      <c r="E35" s="45" t="str">
        <f t="shared" ref="E35:K35" si="33">E$9</f>
        <v>Jul-20A</v>
      </c>
      <c r="F35" s="45" t="str">
        <f t="shared" si="33"/>
        <v>Aug-20A</v>
      </c>
      <c r="G35" s="45" t="str">
        <f t="shared" si="33"/>
        <v>Sep-20A</v>
      </c>
      <c r="H35" s="45" t="str">
        <f t="shared" si="33"/>
        <v>Oct-20A</v>
      </c>
      <c r="I35" s="45" t="str">
        <f t="shared" si="33"/>
        <v>Nov-20A</v>
      </c>
      <c r="J35" s="45" t="str">
        <f t="shared" si="33"/>
        <v>Dec-20A</v>
      </c>
      <c r="K35" s="45" t="str">
        <f t="shared" si="33"/>
        <v>Jan-21A</v>
      </c>
      <c r="L35" s="45" t="str">
        <f t="shared" ref="L35:AH35" si="34">L$9</f>
        <v>Feb-21A</v>
      </c>
      <c r="M35" s="45" t="str">
        <f t="shared" si="34"/>
        <v>Mar-21A</v>
      </c>
      <c r="N35" s="45" t="str">
        <f t="shared" si="34"/>
        <v>Apr-21A</v>
      </c>
      <c r="O35" s="45" t="str">
        <f t="shared" si="34"/>
        <v>May-21A</v>
      </c>
      <c r="P35" s="46" t="str">
        <f t="shared" si="34"/>
        <v>Jun-21A</v>
      </c>
      <c r="Q35" s="45" t="str">
        <f t="shared" si="34"/>
        <v>Jul-21F</v>
      </c>
      <c r="R35" s="45" t="str">
        <f t="shared" si="34"/>
        <v>Aug-21F</v>
      </c>
      <c r="S35" s="45" t="str">
        <f t="shared" si="34"/>
        <v>Sep-21F</v>
      </c>
      <c r="T35" s="45" t="str">
        <f t="shared" si="34"/>
        <v>Oct-21F</v>
      </c>
      <c r="U35" s="45" t="str">
        <f t="shared" si="34"/>
        <v>Nov-21F</v>
      </c>
      <c r="V35" s="45" t="str">
        <f t="shared" si="34"/>
        <v>Dec-21F</v>
      </c>
      <c r="W35" s="45" t="str">
        <f t="shared" si="34"/>
        <v>Jan-22F</v>
      </c>
      <c r="X35" s="45" t="str">
        <f t="shared" si="34"/>
        <v>Feb-22F</v>
      </c>
      <c r="Y35" s="45" t="str">
        <f t="shared" si="34"/>
        <v>Mar-22F</v>
      </c>
      <c r="Z35" s="45" t="str">
        <f t="shared" si="34"/>
        <v>Apr-22F</v>
      </c>
      <c r="AA35" s="45" t="str">
        <f t="shared" si="34"/>
        <v>May-22F</v>
      </c>
      <c r="AB35" s="45" t="str">
        <f t="shared" si="34"/>
        <v>Jun-22F</v>
      </c>
      <c r="AC35" s="45" t="str">
        <f t="shared" si="34"/>
        <v>Jul-22F</v>
      </c>
      <c r="AD35" s="45" t="str">
        <f t="shared" si="34"/>
        <v>Aug-22F</v>
      </c>
      <c r="AE35" s="45" t="str">
        <f t="shared" si="34"/>
        <v>Sep-22F</v>
      </c>
      <c r="AF35" s="45" t="str">
        <f t="shared" si="34"/>
        <v>Oct-22F</v>
      </c>
      <c r="AG35" s="45" t="str">
        <f t="shared" si="34"/>
        <v>Nov-22F</v>
      </c>
      <c r="AH35" s="45" t="str">
        <f t="shared" si="34"/>
        <v>Dec-22F</v>
      </c>
      <c r="AJ35" s="45" t="str">
        <f ca="1">AJ$10</f>
        <v>Q3'20A</v>
      </c>
      <c r="AK35" s="45" t="str">
        <f t="shared" ref="AK35:AW35" ca="1" si="35">AK$10</f>
        <v>Q4'20A</v>
      </c>
      <c r="AL35" s="45" t="str">
        <f t="shared" ca="1" si="35"/>
        <v>Q1'21A</v>
      </c>
      <c r="AM35" s="46" t="str">
        <f t="shared" ca="1" si="35"/>
        <v>Q2'21A</v>
      </c>
      <c r="AN35" s="45" t="str">
        <f t="shared" ca="1" si="35"/>
        <v>Q3'21F</v>
      </c>
      <c r="AO35" s="45" t="str">
        <f t="shared" ca="1" si="35"/>
        <v>Q4'21F</v>
      </c>
      <c r="AP35" s="45" t="str">
        <f t="shared" ca="1" si="35"/>
        <v>Q1'22F</v>
      </c>
      <c r="AQ35" s="45" t="str">
        <f t="shared" ca="1" si="35"/>
        <v>Q2'22F</v>
      </c>
      <c r="AR35" s="45" t="str">
        <f t="shared" ca="1" si="35"/>
        <v>Q3'22F</v>
      </c>
      <c r="AS35" s="45" t="str">
        <f t="shared" ca="1" si="35"/>
        <v>Q4'22F</v>
      </c>
      <c r="AU35" s="45" t="str">
        <f t="shared" ca="1" si="35"/>
        <v>FY20</v>
      </c>
      <c r="AV35" s="45" t="str">
        <f t="shared" ca="1" si="35"/>
        <v>FY21</v>
      </c>
      <c r="AW35" s="45" t="str">
        <f t="shared" ca="1" si="35"/>
        <v>FY22</v>
      </c>
    </row>
    <row r="36" spans="1:51" x14ac:dyDescent="0.25">
      <c r="C36" s="1" t="s">
        <v>22</v>
      </c>
      <c r="D36" s="1"/>
      <c r="E36" s="37">
        <v>1.5</v>
      </c>
      <c r="F36" s="37">
        <v>1.5</v>
      </c>
      <c r="G36" s="37">
        <v>1.5</v>
      </c>
      <c r="H36" s="37">
        <v>1.5</v>
      </c>
      <c r="I36" s="37">
        <v>1.5</v>
      </c>
      <c r="J36" s="37">
        <v>1.5</v>
      </c>
      <c r="K36" s="37">
        <v>1.5</v>
      </c>
      <c r="L36" s="37">
        <v>1.5</v>
      </c>
      <c r="M36" s="37">
        <v>1.5</v>
      </c>
      <c r="N36" s="37">
        <v>1.5</v>
      </c>
      <c r="O36" s="37">
        <v>1.5</v>
      </c>
      <c r="P36" s="32">
        <v>1.5</v>
      </c>
      <c r="Q36" s="13">
        <f>P36</f>
        <v>1.5</v>
      </c>
      <c r="R36" s="13">
        <f t="shared" ref="R36:AH39" si="36">Q36</f>
        <v>1.5</v>
      </c>
      <c r="S36" s="13">
        <f t="shared" si="36"/>
        <v>1.5</v>
      </c>
      <c r="T36" s="13">
        <f t="shared" si="36"/>
        <v>1.5</v>
      </c>
      <c r="U36" s="13">
        <f t="shared" si="36"/>
        <v>1.5</v>
      </c>
      <c r="V36" s="13">
        <f t="shared" si="36"/>
        <v>1.5</v>
      </c>
      <c r="W36" s="166">
        <v>1.75</v>
      </c>
      <c r="X36" s="13">
        <f t="shared" si="36"/>
        <v>1.75</v>
      </c>
      <c r="Y36" s="13">
        <f t="shared" si="36"/>
        <v>1.75</v>
      </c>
      <c r="Z36" s="13">
        <f t="shared" si="36"/>
        <v>1.75</v>
      </c>
      <c r="AA36" s="13">
        <f t="shared" si="36"/>
        <v>1.75</v>
      </c>
      <c r="AB36" s="13">
        <f t="shared" si="36"/>
        <v>1.75</v>
      </c>
      <c r="AC36" s="15">
        <f t="shared" si="36"/>
        <v>1.75</v>
      </c>
      <c r="AD36" s="15">
        <f t="shared" si="36"/>
        <v>1.75</v>
      </c>
      <c r="AE36" s="15">
        <f t="shared" si="36"/>
        <v>1.75</v>
      </c>
      <c r="AF36" s="15">
        <f t="shared" si="36"/>
        <v>1.75</v>
      </c>
      <c r="AG36" s="15">
        <f t="shared" si="36"/>
        <v>1.75</v>
      </c>
      <c r="AH36" s="15">
        <f t="shared" si="36"/>
        <v>1.75</v>
      </c>
      <c r="AJ36" s="13" cm="1">
        <f t="array" aca="1" ref="AJ36" ca="1">SUMPRODUCT(($E36:$AH36)*(AJ$3&amp;AJ$4&amp;AJ$5&amp;AJ$6=$E$3:$AH$3&amp;$E$4:$AH$4&amp;$E$5:$AH$5&amp;$E$6:$AH$6))</f>
        <v>4.5</v>
      </c>
      <c r="AK36" s="13" cm="1">
        <f t="array" aca="1" ref="AK36" ca="1">SUMPRODUCT(($E36:$AH36)*(AK$3=$E$3:$AH$3)*(AK$4=$E$4:$AH$4)*(AK$5=$E$5:$AH$5)*(AK$6=$E$6:$AH$6))</f>
        <v>4.5</v>
      </c>
      <c r="AL36" s="13" cm="1">
        <f t="array" aca="1" ref="AL36" ca="1">SUMPRODUCT(($E36:$AH36)*(AL$3=$E$3:$AH$3)*(AL$4=$E$4:$AH$4)*(AL$5=$E$5:$AH$5)*(AL$6=$E$6:$AH$6))</f>
        <v>4.5</v>
      </c>
      <c r="AM36" s="17" cm="1">
        <f t="array" aca="1" ref="AM36" ca="1">SUMPRODUCT(($E36:$AH36)*(AM$3=$E$3:$AH$3)*(AM$4=$E$4:$AH$4)*(AM$5=$E$5:$AH$5)*(AM$6=$E$6:$AH$6))</f>
        <v>4.5</v>
      </c>
      <c r="AN36" s="13" cm="1">
        <f t="array" aca="1" ref="AN36" ca="1">SUMPRODUCT(($E36:$AH36)*(AN$3=$E$3:$AH$3)*(AN$4=$E$4:$AH$4)*(AN$5=$E$5:$AH$5)*(AN$6=$E$6:$AH$6))</f>
        <v>4.5</v>
      </c>
      <c r="AO36" s="13" cm="1">
        <f t="array" aca="1" ref="AO36" ca="1">SUMPRODUCT(($E36:$AH36)*(AO$3=$E$3:$AH$3)*(AO$4=$E$4:$AH$4)*(AO$5=$E$5:$AH$5)*(AO$6=$E$6:$AH$6))</f>
        <v>4.5</v>
      </c>
      <c r="AP36" s="13" cm="1">
        <f t="array" aca="1" ref="AP36" ca="1">SUMPRODUCT(($E36:$AH36)*(AP$3=$E$3:$AH$3)*(AP$4=$E$4:$AH$4)*(AP$5=$E$5:$AH$5)*(AP$6=$E$6:$AH$6))</f>
        <v>5.25</v>
      </c>
      <c r="AQ36" s="13" cm="1">
        <f t="array" aca="1" ref="AQ36" ca="1">SUMPRODUCT(($E36:$AH36)*(AQ$3=$E$3:$AH$3)*(AQ$4=$E$4:$AH$4)*(AQ$5=$E$5:$AH$5)*(AQ$6=$E$6:$AH$6))</f>
        <v>5.25</v>
      </c>
      <c r="AR36" s="13" cm="1">
        <f t="array" aca="1" ref="AR36" ca="1">SUMPRODUCT(($E36:$AH36)*(AR$3=$E$3:$AH$3)*(AR$4=$E$4:$AH$4)*(AR$5=$E$5:$AH$5)*(AR$6=$E$6:$AH$6))</f>
        <v>5.25</v>
      </c>
      <c r="AS36" s="13" cm="1">
        <f t="array" aca="1" ref="AS36" ca="1">SUMPRODUCT(($E36:$AH36)*(AS$3=$E$3:$AH$3)*(AS$4=$E$4:$AH$4)*(AS$5=$E$5:$AH$5)*(AS$6=$E$6:$AH$6))</f>
        <v>5.25</v>
      </c>
      <c r="AT36" s="13"/>
      <c r="AU36" s="13" cm="1">
        <f t="array" aca="1" ref="AU36" ca="1">SUMPRODUCT(($E36:$AH36)*(AU$5=$E$5:$AH$5))</f>
        <v>9</v>
      </c>
      <c r="AV36" s="13" cm="1">
        <f t="array" aca="1" ref="AV36" ca="1">SUMPRODUCT(($E36:$AH36)*(AV$5=$E$5:$AH$5))</f>
        <v>18</v>
      </c>
      <c r="AW36" s="13" cm="1">
        <f t="array" aca="1" ref="AW36" ca="1">SUMPRODUCT(($E36:$AH36)*(AW$5=$E$5:$AH$5))</f>
        <v>21</v>
      </c>
      <c r="AY36" t="s">
        <v>283</v>
      </c>
    </row>
    <row r="37" spans="1:51" x14ac:dyDescent="0.25">
      <c r="C37" s="1" t="s">
        <v>23</v>
      </c>
      <c r="D37" s="1"/>
      <c r="E37" s="37">
        <v>2.5</v>
      </c>
      <c r="F37" s="37">
        <v>2.5</v>
      </c>
      <c r="G37" s="37">
        <v>2.5</v>
      </c>
      <c r="H37" s="37">
        <v>2.5</v>
      </c>
      <c r="I37" s="37">
        <v>2.5</v>
      </c>
      <c r="J37" s="37">
        <v>2.5</v>
      </c>
      <c r="K37" s="37">
        <v>2.5</v>
      </c>
      <c r="L37" s="37">
        <v>2.5</v>
      </c>
      <c r="M37" s="37">
        <v>2.5</v>
      </c>
      <c r="N37" s="37">
        <v>2.5</v>
      </c>
      <c r="O37" s="37">
        <v>2.5</v>
      </c>
      <c r="P37" s="32">
        <v>2.5</v>
      </c>
      <c r="Q37" s="13">
        <f>P37</f>
        <v>2.5</v>
      </c>
      <c r="R37" s="13">
        <f>Q37</f>
        <v>2.5</v>
      </c>
      <c r="S37" s="13">
        <f>R37</f>
        <v>2.5</v>
      </c>
      <c r="T37" s="13">
        <f>S37</f>
        <v>2.5</v>
      </c>
      <c r="U37" s="13">
        <f>T37</f>
        <v>2.5</v>
      </c>
      <c r="V37" s="13">
        <f>U37</f>
        <v>2.5</v>
      </c>
      <c r="W37" s="166">
        <v>2.75</v>
      </c>
      <c r="X37" s="13">
        <f t="shared" ref="X37:AF37" si="37">W37</f>
        <v>2.75</v>
      </c>
      <c r="Y37" s="13">
        <f t="shared" si="37"/>
        <v>2.75</v>
      </c>
      <c r="Z37" s="13">
        <f t="shared" si="37"/>
        <v>2.75</v>
      </c>
      <c r="AA37" s="13">
        <f t="shared" si="37"/>
        <v>2.75</v>
      </c>
      <c r="AB37" s="13">
        <f t="shared" si="37"/>
        <v>2.75</v>
      </c>
      <c r="AC37" s="15">
        <f t="shared" si="37"/>
        <v>2.75</v>
      </c>
      <c r="AD37" s="15">
        <f t="shared" si="37"/>
        <v>2.75</v>
      </c>
      <c r="AE37" s="15">
        <f t="shared" si="37"/>
        <v>2.75</v>
      </c>
      <c r="AF37" s="15">
        <f t="shared" si="37"/>
        <v>2.75</v>
      </c>
      <c r="AG37" s="15">
        <f t="shared" si="36"/>
        <v>2.75</v>
      </c>
      <c r="AH37" s="15">
        <f t="shared" si="36"/>
        <v>2.75</v>
      </c>
      <c r="AJ37" s="13" cm="1">
        <f t="array" aca="1" ref="AJ37" ca="1">SUMPRODUCT(($E37:$AH37)*(AJ$3&amp;AJ$4&amp;AJ$5&amp;AJ$6=$E$3:$AH$3&amp;$E$4:$AH$4&amp;$E$5:$AH$5&amp;$E$6:$AH$6))</f>
        <v>7.5</v>
      </c>
      <c r="AK37" s="13" cm="1">
        <f t="array" aca="1" ref="AK37" ca="1">SUMPRODUCT(($E37:$AH37)*(AK$3=$E$3:$AH$3)*(AK$4=$E$4:$AH$4)*(AK$5=$E$5:$AH$5)*(AK$6=$E$6:$AH$6))</f>
        <v>7.5</v>
      </c>
      <c r="AL37" s="13" cm="1">
        <f t="array" aca="1" ref="AL37" ca="1">SUMPRODUCT(($E37:$AH37)*(AL$3=$E$3:$AH$3)*(AL$4=$E$4:$AH$4)*(AL$5=$E$5:$AH$5)*(AL$6=$E$6:$AH$6))</f>
        <v>7.5</v>
      </c>
      <c r="AM37" s="17" cm="1">
        <f t="array" aca="1" ref="AM37" ca="1">SUMPRODUCT(($E37:$AH37)*(AM$3=$E$3:$AH$3)*(AM$4=$E$4:$AH$4)*(AM$5=$E$5:$AH$5)*(AM$6=$E$6:$AH$6))</f>
        <v>7.5</v>
      </c>
      <c r="AN37" s="13" cm="1">
        <f t="array" aca="1" ref="AN37" ca="1">SUMPRODUCT(($E37:$AH37)*(AN$3=$E$3:$AH$3)*(AN$4=$E$4:$AH$4)*(AN$5=$E$5:$AH$5)*(AN$6=$E$6:$AH$6))</f>
        <v>7.5</v>
      </c>
      <c r="AO37" s="13" cm="1">
        <f t="array" aca="1" ref="AO37" ca="1">SUMPRODUCT(($E37:$AH37)*(AO$3=$E$3:$AH$3)*(AO$4=$E$4:$AH$4)*(AO$5=$E$5:$AH$5)*(AO$6=$E$6:$AH$6))</f>
        <v>7.5</v>
      </c>
      <c r="AP37" s="13" cm="1">
        <f t="array" aca="1" ref="AP37" ca="1">SUMPRODUCT(($E37:$AH37)*(AP$3=$E$3:$AH$3)*(AP$4=$E$4:$AH$4)*(AP$5=$E$5:$AH$5)*(AP$6=$E$6:$AH$6))</f>
        <v>8.25</v>
      </c>
      <c r="AQ37" s="13" cm="1">
        <f t="array" aca="1" ref="AQ37" ca="1">SUMPRODUCT(($E37:$AH37)*(AQ$3=$E$3:$AH$3)*(AQ$4=$E$4:$AH$4)*(AQ$5=$E$5:$AH$5)*(AQ$6=$E$6:$AH$6))</f>
        <v>8.25</v>
      </c>
      <c r="AR37" s="13" cm="1">
        <f t="array" aca="1" ref="AR37" ca="1">SUMPRODUCT(($E37:$AH37)*(AR$3=$E$3:$AH$3)*(AR$4=$E$4:$AH$4)*(AR$5=$E$5:$AH$5)*(AR$6=$E$6:$AH$6))</f>
        <v>8.25</v>
      </c>
      <c r="AS37" s="13" cm="1">
        <f t="array" aca="1" ref="AS37" ca="1">SUMPRODUCT(($E37:$AH37)*(AS$3=$E$3:$AH$3)*(AS$4=$E$4:$AH$4)*(AS$5=$E$5:$AH$5)*(AS$6=$E$6:$AH$6))</f>
        <v>8.25</v>
      </c>
      <c r="AT37" s="13"/>
      <c r="AU37" s="13" cm="1">
        <f t="array" aca="1" ref="AU37" ca="1">SUMPRODUCT(($E37:$AH37)*(AU$5=$E$5:$AH$5))</f>
        <v>15</v>
      </c>
      <c r="AV37" s="13" cm="1">
        <f t="array" aca="1" ref="AV37" ca="1">SUMPRODUCT(($E37:$AH37)*(AV$5=$E$5:$AH$5))</f>
        <v>30</v>
      </c>
      <c r="AW37" s="13" cm="1">
        <f t="array" aca="1" ref="AW37" ca="1">SUMPRODUCT(($E37:$AH37)*(AW$5=$E$5:$AH$5))</f>
        <v>33</v>
      </c>
      <c r="AY37" t="s">
        <v>284</v>
      </c>
    </row>
    <row r="38" spans="1:51" x14ac:dyDescent="0.25">
      <c r="C38" s="1" t="s">
        <v>24</v>
      </c>
      <c r="D38" s="1"/>
      <c r="E38" s="37">
        <v>0.5</v>
      </c>
      <c r="F38" s="37">
        <v>0.5</v>
      </c>
      <c r="G38" s="37">
        <v>0.5</v>
      </c>
      <c r="H38" s="37">
        <v>0.5</v>
      </c>
      <c r="I38" s="37">
        <v>0.5</v>
      </c>
      <c r="J38" s="37">
        <v>0.5</v>
      </c>
      <c r="K38" s="37">
        <v>0.5</v>
      </c>
      <c r="L38" s="37">
        <v>0.5</v>
      </c>
      <c r="M38" s="37">
        <v>0.5</v>
      </c>
      <c r="N38" s="37">
        <v>0.5</v>
      </c>
      <c r="O38" s="37">
        <v>0.5</v>
      </c>
      <c r="P38" s="32">
        <v>0.5</v>
      </c>
      <c r="Q38" s="13">
        <f>P38</f>
        <v>0.5</v>
      </c>
      <c r="R38" s="13">
        <f t="shared" si="36"/>
        <v>0.5</v>
      </c>
      <c r="S38" s="13">
        <f t="shared" si="36"/>
        <v>0.5</v>
      </c>
      <c r="T38" s="13">
        <f t="shared" si="36"/>
        <v>0.5</v>
      </c>
      <c r="U38" s="13">
        <f t="shared" si="36"/>
        <v>0.5</v>
      </c>
      <c r="V38" s="13">
        <f t="shared" si="36"/>
        <v>0.5</v>
      </c>
      <c r="W38" s="13">
        <f t="shared" si="36"/>
        <v>0.5</v>
      </c>
      <c r="X38" s="13">
        <f t="shared" si="36"/>
        <v>0.5</v>
      </c>
      <c r="Y38" s="13">
        <f t="shared" si="36"/>
        <v>0.5</v>
      </c>
      <c r="Z38" s="13">
        <f t="shared" si="36"/>
        <v>0.5</v>
      </c>
      <c r="AA38" s="13">
        <f t="shared" si="36"/>
        <v>0.5</v>
      </c>
      <c r="AB38" s="13">
        <f t="shared" si="36"/>
        <v>0.5</v>
      </c>
      <c r="AC38" s="15">
        <f t="shared" si="36"/>
        <v>0.5</v>
      </c>
      <c r="AD38" s="15">
        <f t="shared" si="36"/>
        <v>0.5</v>
      </c>
      <c r="AE38" s="15">
        <f t="shared" si="36"/>
        <v>0.5</v>
      </c>
      <c r="AF38" s="15">
        <f t="shared" si="36"/>
        <v>0.5</v>
      </c>
      <c r="AG38" s="15">
        <f t="shared" si="36"/>
        <v>0.5</v>
      </c>
      <c r="AH38" s="15">
        <f t="shared" si="36"/>
        <v>0.5</v>
      </c>
      <c r="AJ38" s="13" cm="1">
        <f t="array" aca="1" ref="AJ38" ca="1">SUMPRODUCT(($E38:$AH38)*(AJ$3&amp;AJ$4&amp;AJ$5&amp;AJ$6=$E$3:$AH$3&amp;$E$4:$AH$4&amp;$E$5:$AH$5&amp;$E$6:$AH$6))</f>
        <v>1.5</v>
      </c>
      <c r="AK38" s="13" cm="1">
        <f t="array" aca="1" ref="AK38" ca="1">SUMPRODUCT(($E38:$AH38)*(AK$3=$E$3:$AH$3)*(AK$4=$E$4:$AH$4)*(AK$5=$E$5:$AH$5)*(AK$6=$E$6:$AH$6))</f>
        <v>1.5</v>
      </c>
      <c r="AL38" s="13" cm="1">
        <f t="array" aca="1" ref="AL38" ca="1">SUMPRODUCT(($E38:$AH38)*(AL$3=$E$3:$AH$3)*(AL$4=$E$4:$AH$4)*(AL$5=$E$5:$AH$5)*(AL$6=$E$6:$AH$6))</f>
        <v>1.5</v>
      </c>
      <c r="AM38" s="17" cm="1">
        <f t="array" aca="1" ref="AM38" ca="1">SUMPRODUCT(($E38:$AH38)*(AM$3=$E$3:$AH$3)*(AM$4=$E$4:$AH$4)*(AM$5=$E$5:$AH$5)*(AM$6=$E$6:$AH$6))</f>
        <v>1.5</v>
      </c>
      <c r="AN38" s="13" cm="1">
        <f t="array" aca="1" ref="AN38" ca="1">SUMPRODUCT(($E38:$AH38)*(AN$3=$E$3:$AH$3)*(AN$4=$E$4:$AH$4)*(AN$5=$E$5:$AH$5)*(AN$6=$E$6:$AH$6))</f>
        <v>1.5</v>
      </c>
      <c r="AO38" s="13" cm="1">
        <f t="array" aca="1" ref="AO38" ca="1">SUMPRODUCT(($E38:$AH38)*(AO$3=$E$3:$AH$3)*(AO$4=$E$4:$AH$4)*(AO$5=$E$5:$AH$5)*(AO$6=$E$6:$AH$6))</f>
        <v>1.5</v>
      </c>
      <c r="AP38" s="13" cm="1">
        <f t="array" aca="1" ref="AP38" ca="1">SUMPRODUCT(($E38:$AH38)*(AP$3=$E$3:$AH$3)*(AP$4=$E$4:$AH$4)*(AP$5=$E$5:$AH$5)*(AP$6=$E$6:$AH$6))</f>
        <v>1.5</v>
      </c>
      <c r="AQ38" s="13" cm="1">
        <f t="array" aca="1" ref="AQ38" ca="1">SUMPRODUCT(($E38:$AH38)*(AQ$3=$E$3:$AH$3)*(AQ$4=$E$4:$AH$4)*(AQ$5=$E$5:$AH$5)*(AQ$6=$E$6:$AH$6))</f>
        <v>1.5</v>
      </c>
      <c r="AR38" s="13" cm="1">
        <f t="array" aca="1" ref="AR38" ca="1">SUMPRODUCT(($E38:$AH38)*(AR$3=$E$3:$AH$3)*(AR$4=$E$4:$AH$4)*(AR$5=$E$5:$AH$5)*(AR$6=$E$6:$AH$6))</f>
        <v>1.5</v>
      </c>
      <c r="AS38" s="13" cm="1">
        <f t="array" aca="1" ref="AS38" ca="1">SUMPRODUCT(($E38:$AH38)*(AS$3=$E$3:$AH$3)*(AS$4=$E$4:$AH$4)*(AS$5=$E$5:$AH$5)*(AS$6=$E$6:$AH$6))</f>
        <v>1.5</v>
      </c>
      <c r="AT38" s="13"/>
      <c r="AU38" s="13" cm="1">
        <f t="array" aca="1" ref="AU38" ca="1">SUMPRODUCT(($E38:$AH38)*(AU$5=$E$5:$AH$5))</f>
        <v>3</v>
      </c>
      <c r="AV38" s="13" cm="1">
        <f t="array" aca="1" ref="AV38" ca="1">SUMPRODUCT(($E38:$AH38)*(AV$5=$E$5:$AH$5))</f>
        <v>6</v>
      </c>
      <c r="AW38" s="13" cm="1">
        <f t="array" aca="1" ref="AW38" ca="1">SUMPRODUCT(($E38:$AH38)*(AW$5=$E$5:$AH$5))</f>
        <v>6</v>
      </c>
    </row>
    <row r="39" spans="1:51" x14ac:dyDescent="0.25">
      <c r="C39" s="23" t="s">
        <v>25</v>
      </c>
      <c r="D39" s="23"/>
      <c r="E39" s="38">
        <v>0.25</v>
      </c>
      <c r="F39" s="38">
        <v>0.25</v>
      </c>
      <c r="G39" s="38">
        <v>0.25</v>
      </c>
      <c r="H39" s="38">
        <v>0.25</v>
      </c>
      <c r="I39" s="38">
        <v>0.25</v>
      </c>
      <c r="J39" s="38">
        <v>0.25</v>
      </c>
      <c r="K39" s="38">
        <v>0.25</v>
      </c>
      <c r="L39" s="38">
        <v>0.25</v>
      </c>
      <c r="M39" s="38">
        <v>0.25</v>
      </c>
      <c r="N39" s="38">
        <v>0.25</v>
      </c>
      <c r="O39" s="38">
        <v>0.25</v>
      </c>
      <c r="P39" s="39">
        <v>0.25</v>
      </c>
      <c r="Q39" s="24">
        <f>P39</f>
        <v>0.25</v>
      </c>
      <c r="R39" s="24">
        <f t="shared" si="36"/>
        <v>0.25</v>
      </c>
      <c r="S39" s="24">
        <f t="shared" si="36"/>
        <v>0.25</v>
      </c>
      <c r="T39" s="24">
        <f t="shared" si="36"/>
        <v>0.25</v>
      </c>
      <c r="U39" s="24">
        <f t="shared" si="36"/>
        <v>0.25</v>
      </c>
      <c r="V39" s="24">
        <f t="shared" si="36"/>
        <v>0.25</v>
      </c>
      <c r="W39" s="24">
        <f t="shared" si="36"/>
        <v>0.25</v>
      </c>
      <c r="X39" s="24">
        <f t="shared" si="36"/>
        <v>0.25</v>
      </c>
      <c r="Y39" s="24">
        <f t="shared" si="36"/>
        <v>0.25</v>
      </c>
      <c r="Z39" s="24">
        <f t="shared" si="36"/>
        <v>0.25</v>
      </c>
      <c r="AA39" s="24">
        <f t="shared" si="36"/>
        <v>0.25</v>
      </c>
      <c r="AB39" s="24">
        <f t="shared" si="36"/>
        <v>0.25</v>
      </c>
      <c r="AC39" s="29">
        <f t="shared" si="36"/>
        <v>0.25</v>
      </c>
      <c r="AD39" s="29">
        <f t="shared" si="36"/>
        <v>0.25</v>
      </c>
      <c r="AE39" s="29">
        <f t="shared" si="36"/>
        <v>0.25</v>
      </c>
      <c r="AF39" s="29">
        <f t="shared" si="36"/>
        <v>0.25</v>
      </c>
      <c r="AG39" s="29">
        <f t="shared" si="36"/>
        <v>0.25</v>
      </c>
      <c r="AH39" s="29">
        <f t="shared" si="36"/>
        <v>0.25</v>
      </c>
      <c r="AJ39" s="29" cm="1">
        <f t="array" aca="1" ref="AJ39" ca="1">SUMPRODUCT(($E39:$AH39)*(AJ$3&amp;AJ$4&amp;AJ$5&amp;AJ$6=$E$3:$AH$3&amp;$E$4:$AH$4&amp;$E$5:$AH$5&amp;$E$6:$AH$6))</f>
        <v>0.75</v>
      </c>
      <c r="AK39" s="29" cm="1">
        <f t="array" aca="1" ref="AK39" ca="1">SUMPRODUCT(($E39:$AH39)*(AK$3=$E$3:$AH$3)*(AK$4=$E$4:$AH$4)*(AK$5=$E$5:$AH$5)*(AK$6=$E$6:$AH$6))</f>
        <v>0.75</v>
      </c>
      <c r="AL39" s="29" cm="1">
        <f t="array" aca="1" ref="AL39" ca="1">SUMPRODUCT(($E39:$AH39)*(AL$3=$E$3:$AH$3)*(AL$4=$E$4:$AH$4)*(AL$5=$E$5:$AH$5)*(AL$6=$E$6:$AH$6))</f>
        <v>0.75</v>
      </c>
      <c r="AM39" s="240" cm="1">
        <f t="array" aca="1" ref="AM39" ca="1">SUMPRODUCT(($E39:$AH39)*(AM$3=$E$3:$AH$3)*(AM$4=$E$4:$AH$4)*(AM$5=$E$5:$AH$5)*(AM$6=$E$6:$AH$6))</f>
        <v>0.75</v>
      </c>
      <c r="AN39" s="29" cm="1">
        <f t="array" aca="1" ref="AN39" ca="1">SUMPRODUCT(($E39:$AH39)*(AN$3=$E$3:$AH$3)*(AN$4=$E$4:$AH$4)*(AN$5=$E$5:$AH$5)*(AN$6=$E$6:$AH$6))</f>
        <v>0.75</v>
      </c>
      <c r="AO39" s="29" cm="1">
        <f t="array" aca="1" ref="AO39" ca="1">SUMPRODUCT(($E39:$AH39)*(AO$3=$E$3:$AH$3)*(AO$4=$E$4:$AH$4)*(AO$5=$E$5:$AH$5)*(AO$6=$E$6:$AH$6))</f>
        <v>0.75</v>
      </c>
      <c r="AP39" s="29" cm="1">
        <f t="array" aca="1" ref="AP39" ca="1">SUMPRODUCT(($E39:$AH39)*(AP$3=$E$3:$AH$3)*(AP$4=$E$4:$AH$4)*(AP$5=$E$5:$AH$5)*(AP$6=$E$6:$AH$6))</f>
        <v>0.75</v>
      </c>
      <c r="AQ39" s="29" cm="1">
        <f t="array" aca="1" ref="AQ39" ca="1">SUMPRODUCT(($E39:$AH39)*(AQ$3=$E$3:$AH$3)*(AQ$4=$E$4:$AH$4)*(AQ$5=$E$5:$AH$5)*(AQ$6=$E$6:$AH$6))</f>
        <v>0.75</v>
      </c>
      <c r="AR39" s="29" cm="1">
        <f t="array" aca="1" ref="AR39" ca="1">SUMPRODUCT(($E39:$AH39)*(AR$3=$E$3:$AH$3)*(AR$4=$E$4:$AH$4)*(AR$5=$E$5:$AH$5)*(AR$6=$E$6:$AH$6))</f>
        <v>0.75</v>
      </c>
      <c r="AS39" s="29" cm="1">
        <f t="array" aca="1" ref="AS39" ca="1">SUMPRODUCT(($E39:$AH39)*(AS$3=$E$3:$AH$3)*(AS$4=$E$4:$AH$4)*(AS$5=$E$5:$AH$5)*(AS$6=$E$6:$AH$6))</f>
        <v>0.75</v>
      </c>
      <c r="AT39" s="13"/>
      <c r="AU39" s="29" cm="1">
        <f t="array" aca="1" ref="AU39" ca="1">SUMPRODUCT(($E39:$AH39)*(AU$5=$E$5:$AH$5))</f>
        <v>1.5</v>
      </c>
      <c r="AV39" s="29" cm="1">
        <f t="array" aca="1" ref="AV39" ca="1">SUMPRODUCT(($E39:$AH39)*(AV$5=$E$5:$AH$5))</f>
        <v>3</v>
      </c>
      <c r="AW39" s="29" cm="1">
        <f t="array" aca="1" ref="AW39" ca="1">SUMPRODUCT(($E39:$AH39)*(AW$5=$E$5:$AH$5))</f>
        <v>3</v>
      </c>
    </row>
    <row r="40" spans="1:51" x14ac:dyDescent="0.25">
      <c r="C40" s="2" t="s">
        <v>26</v>
      </c>
      <c r="D40" s="2"/>
      <c r="E40" s="13">
        <f t="shared" ref="E40:K40" si="38">SUM(E36:E39)</f>
        <v>4.75</v>
      </c>
      <c r="F40" s="15">
        <f t="shared" si="38"/>
        <v>4.75</v>
      </c>
      <c r="G40" s="15">
        <f t="shared" si="38"/>
        <v>4.75</v>
      </c>
      <c r="H40" s="15">
        <f t="shared" si="38"/>
        <v>4.75</v>
      </c>
      <c r="I40" s="15">
        <f t="shared" si="38"/>
        <v>4.75</v>
      </c>
      <c r="J40" s="15">
        <f t="shared" si="38"/>
        <v>4.75</v>
      </c>
      <c r="K40" s="13">
        <f t="shared" si="38"/>
        <v>4.75</v>
      </c>
      <c r="L40" s="15">
        <f t="shared" ref="L40:AW40" si="39">SUM(L36:L39)</f>
        <v>4.75</v>
      </c>
      <c r="M40" s="15">
        <f t="shared" si="39"/>
        <v>4.75</v>
      </c>
      <c r="N40" s="15">
        <f t="shared" si="39"/>
        <v>4.75</v>
      </c>
      <c r="O40" s="15">
        <f t="shared" si="39"/>
        <v>4.75</v>
      </c>
      <c r="P40" s="16">
        <f t="shared" si="39"/>
        <v>4.75</v>
      </c>
      <c r="Q40" s="15">
        <f t="shared" si="39"/>
        <v>4.75</v>
      </c>
      <c r="R40" s="15">
        <f t="shared" si="39"/>
        <v>4.75</v>
      </c>
      <c r="S40" s="15">
        <f t="shared" si="39"/>
        <v>4.75</v>
      </c>
      <c r="T40" s="15">
        <f t="shared" si="39"/>
        <v>4.75</v>
      </c>
      <c r="U40" s="15">
        <f t="shared" si="39"/>
        <v>4.75</v>
      </c>
      <c r="V40" s="15">
        <f t="shared" si="39"/>
        <v>4.75</v>
      </c>
      <c r="W40" s="15">
        <f t="shared" si="39"/>
        <v>5.25</v>
      </c>
      <c r="X40" s="15">
        <f t="shared" si="39"/>
        <v>5.25</v>
      </c>
      <c r="Y40" s="15">
        <f t="shared" si="39"/>
        <v>5.25</v>
      </c>
      <c r="Z40" s="15">
        <f t="shared" si="39"/>
        <v>5.25</v>
      </c>
      <c r="AA40" s="15">
        <f t="shared" si="39"/>
        <v>5.25</v>
      </c>
      <c r="AB40" s="15">
        <f t="shared" si="39"/>
        <v>5.25</v>
      </c>
      <c r="AC40" s="15">
        <f t="shared" si="39"/>
        <v>5.25</v>
      </c>
      <c r="AD40" s="15">
        <f t="shared" si="39"/>
        <v>5.25</v>
      </c>
      <c r="AE40" s="15">
        <f t="shared" si="39"/>
        <v>5.25</v>
      </c>
      <c r="AF40" s="15">
        <f t="shared" si="39"/>
        <v>5.25</v>
      </c>
      <c r="AG40" s="15">
        <f t="shared" si="39"/>
        <v>5.25</v>
      </c>
      <c r="AH40" s="15">
        <f t="shared" si="39"/>
        <v>5.25</v>
      </c>
      <c r="AJ40" s="15">
        <f t="shared" ca="1" si="39"/>
        <v>14.25</v>
      </c>
      <c r="AK40" s="15">
        <f t="shared" ca="1" si="39"/>
        <v>14.25</v>
      </c>
      <c r="AL40" s="15">
        <f t="shared" ca="1" si="39"/>
        <v>14.25</v>
      </c>
      <c r="AM40" s="16">
        <f t="shared" ca="1" si="39"/>
        <v>14.25</v>
      </c>
      <c r="AN40" s="15">
        <f t="shared" ca="1" si="39"/>
        <v>14.25</v>
      </c>
      <c r="AO40" s="15">
        <f t="shared" ca="1" si="39"/>
        <v>14.25</v>
      </c>
      <c r="AP40" s="15">
        <f t="shared" ca="1" si="39"/>
        <v>15.75</v>
      </c>
      <c r="AQ40" s="15">
        <f t="shared" ca="1" si="39"/>
        <v>15.75</v>
      </c>
      <c r="AR40" s="15">
        <f t="shared" ca="1" si="39"/>
        <v>15.75</v>
      </c>
      <c r="AS40" s="15">
        <f t="shared" ca="1" si="39"/>
        <v>15.75</v>
      </c>
      <c r="AT40" s="13"/>
      <c r="AU40" s="15">
        <f t="shared" ca="1" si="39"/>
        <v>28.5</v>
      </c>
      <c r="AV40" s="15">
        <f t="shared" ca="1" si="39"/>
        <v>57</v>
      </c>
      <c r="AW40" s="15">
        <f t="shared" ca="1" si="39"/>
        <v>63</v>
      </c>
    </row>
    <row r="41" spans="1:51" x14ac:dyDescent="0.25">
      <c r="P41" s="8"/>
      <c r="AM41" s="8"/>
      <c r="AT41" s="13"/>
    </row>
    <row r="42" spans="1:51" ht="15.75" thickBot="1" x14ac:dyDescent="0.3">
      <c r="B42" t="s">
        <v>231</v>
      </c>
      <c r="C42" s="50" t="s">
        <v>78</v>
      </c>
      <c r="D42" s="50"/>
      <c r="E42" s="51">
        <f t="shared" ref="E42:K42" si="40">E40</f>
        <v>4.75</v>
      </c>
      <c r="F42" s="51">
        <f t="shared" si="40"/>
        <v>4.75</v>
      </c>
      <c r="G42" s="51">
        <f t="shared" si="40"/>
        <v>4.75</v>
      </c>
      <c r="H42" s="51">
        <f t="shared" si="40"/>
        <v>4.75</v>
      </c>
      <c r="I42" s="51">
        <f t="shared" si="40"/>
        <v>4.75</v>
      </c>
      <c r="J42" s="51">
        <f t="shared" si="40"/>
        <v>4.75</v>
      </c>
      <c r="K42" s="51">
        <f t="shared" si="40"/>
        <v>4.75</v>
      </c>
      <c r="L42" s="51">
        <f t="shared" ref="L42:AW42" si="41">L40</f>
        <v>4.75</v>
      </c>
      <c r="M42" s="51">
        <f t="shared" si="41"/>
        <v>4.75</v>
      </c>
      <c r="N42" s="51">
        <f t="shared" si="41"/>
        <v>4.75</v>
      </c>
      <c r="O42" s="51">
        <f t="shared" si="41"/>
        <v>4.75</v>
      </c>
      <c r="P42" s="52">
        <f t="shared" si="41"/>
        <v>4.75</v>
      </c>
      <c r="Q42" s="51">
        <f t="shared" si="41"/>
        <v>4.75</v>
      </c>
      <c r="R42" s="51">
        <f t="shared" si="41"/>
        <v>4.75</v>
      </c>
      <c r="S42" s="51">
        <f t="shared" si="41"/>
        <v>4.75</v>
      </c>
      <c r="T42" s="51">
        <f t="shared" si="41"/>
        <v>4.75</v>
      </c>
      <c r="U42" s="51">
        <f t="shared" si="41"/>
        <v>4.75</v>
      </c>
      <c r="V42" s="51">
        <f t="shared" si="41"/>
        <v>4.75</v>
      </c>
      <c r="W42" s="51">
        <f t="shared" si="41"/>
        <v>5.25</v>
      </c>
      <c r="X42" s="51">
        <f t="shared" si="41"/>
        <v>5.25</v>
      </c>
      <c r="Y42" s="51">
        <f t="shared" si="41"/>
        <v>5.25</v>
      </c>
      <c r="Z42" s="51">
        <f t="shared" si="41"/>
        <v>5.25</v>
      </c>
      <c r="AA42" s="51">
        <f t="shared" si="41"/>
        <v>5.25</v>
      </c>
      <c r="AB42" s="51">
        <f t="shared" si="41"/>
        <v>5.25</v>
      </c>
      <c r="AC42" s="51">
        <f t="shared" si="41"/>
        <v>5.25</v>
      </c>
      <c r="AD42" s="51">
        <f t="shared" si="41"/>
        <v>5.25</v>
      </c>
      <c r="AE42" s="51">
        <f t="shared" si="41"/>
        <v>5.25</v>
      </c>
      <c r="AF42" s="51">
        <f t="shared" si="41"/>
        <v>5.25</v>
      </c>
      <c r="AG42" s="51">
        <f t="shared" si="41"/>
        <v>5.25</v>
      </c>
      <c r="AH42" s="51">
        <f t="shared" si="41"/>
        <v>5.25</v>
      </c>
      <c r="AJ42" s="51">
        <f t="shared" ca="1" si="41"/>
        <v>14.25</v>
      </c>
      <c r="AK42" s="51">
        <f t="shared" ca="1" si="41"/>
        <v>14.25</v>
      </c>
      <c r="AL42" s="51">
        <f t="shared" ca="1" si="41"/>
        <v>14.25</v>
      </c>
      <c r="AM42" s="52">
        <f t="shared" ca="1" si="41"/>
        <v>14.25</v>
      </c>
      <c r="AN42" s="51">
        <f t="shared" ca="1" si="41"/>
        <v>14.25</v>
      </c>
      <c r="AO42" s="51">
        <f t="shared" ca="1" si="41"/>
        <v>14.25</v>
      </c>
      <c r="AP42" s="51">
        <f t="shared" ca="1" si="41"/>
        <v>15.75</v>
      </c>
      <c r="AQ42" s="51">
        <f t="shared" ca="1" si="41"/>
        <v>15.75</v>
      </c>
      <c r="AR42" s="51">
        <f t="shared" ca="1" si="41"/>
        <v>15.75</v>
      </c>
      <c r="AS42" s="51">
        <f t="shared" ca="1" si="41"/>
        <v>15.75</v>
      </c>
      <c r="AT42" s="13"/>
      <c r="AU42" s="51">
        <f t="shared" ca="1" si="41"/>
        <v>28.5</v>
      </c>
      <c r="AV42" s="51">
        <f t="shared" ca="1" si="41"/>
        <v>57</v>
      </c>
      <c r="AW42" s="51">
        <f t="shared" ca="1" si="41"/>
        <v>63</v>
      </c>
    </row>
    <row r="43" spans="1:51" ht="15.75" thickTop="1" x14ac:dyDescent="0.25"/>
    <row r="44" spans="1:51" ht="18.75" x14ac:dyDescent="0.3">
      <c r="A44" t="s">
        <v>231</v>
      </c>
      <c r="C44" s="182" t="s">
        <v>19</v>
      </c>
      <c r="D44" s="179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</row>
    <row r="46" spans="1:51" x14ac:dyDescent="0.25">
      <c r="C46" s="30" t="s">
        <v>119</v>
      </c>
      <c r="D46" s="30"/>
      <c r="E46" s="45" t="str">
        <f t="shared" ref="E46:AH46" si="42">E$9</f>
        <v>Jul-20A</v>
      </c>
      <c r="F46" s="45" t="str">
        <f t="shared" si="42"/>
        <v>Aug-20A</v>
      </c>
      <c r="G46" s="45" t="str">
        <f t="shared" si="42"/>
        <v>Sep-20A</v>
      </c>
      <c r="H46" s="45" t="str">
        <f t="shared" si="42"/>
        <v>Oct-20A</v>
      </c>
      <c r="I46" s="45" t="str">
        <f t="shared" si="42"/>
        <v>Nov-20A</v>
      </c>
      <c r="J46" s="45" t="str">
        <f t="shared" si="42"/>
        <v>Dec-20A</v>
      </c>
      <c r="K46" s="45" t="str">
        <f t="shared" si="42"/>
        <v>Jan-21A</v>
      </c>
      <c r="L46" s="45" t="str">
        <f t="shared" si="42"/>
        <v>Feb-21A</v>
      </c>
      <c r="M46" s="45" t="str">
        <f t="shared" si="42"/>
        <v>Mar-21A</v>
      </c>
      <c r="N46" s="45" t="str">
        <f t="shared" si="42"/>
        <v>Apr-21A</v>
      </c>
      <c r="O46" s="45" t="str">
        <f t="shared" si="42"/>
        <v>May-21A</v>
      </c>
      <c r="P46" s="46" t="str">
        <f t="shared" si="42"/>
        <v>Jun-21A</v>
      </c>
      <c r="Q46" s="45" t="str">
        <f t="shared" si="42"/>
        <v>Jul-21F</v>
      </c>
      <c r="R46" s="45" t="str">
        <f t="shared" si="42"/>
        <v>Aug-21F</v>
      </c>
      <c r="S46" s="45" t="str">
        <f t="shared" si="42"/>
        <v>Sep-21F</v>
      </c>
      <c r="T46" s="45" t="str">
        <f t="shared" si="42"/>
        <v>Oct-21F</v>
      </c>
      <c r="U46" s="45" t="str">
        <f t="shared" si="42"/>
        <v>Nov-21F</v>
      </c>
      <c r="V46" s="45" t="str">
        <f t="shared" si="42"/>
        <v>Dec-21F</v>
      </c>
      <c r="W46" s="45" t="str">
        <f t="shared" si="42"/>
        <v>Jan-22F</v>
      </c>
      <c r="X46" s="45" t="str">
        <f t="shared" si="42"/>
        <v>Feb-22F</v>
      </c>
      <c r="Y46" s="45" t="str">
        <f t="shared" si="42"/>
        <v>Mar-22F</v>
      </c>
      <c r="Z46" s="45" t="str">
        <f t="shared" si="42"/>
        <v>Apr-22F</v>
      </c>
      <c r="AA46" s="45" t="str">
        <f t="shared" si="42"/>
        <v>May-22F</v>
      </c>
      <c r="AB46" s="45" t="str">
        <f t="shared" si="42"/>
        <v>Jun-22F</v>
      </c>
      <c r="AC46" s="45" t="str">
        <f t="shared" si="42"/>
        <v>Jul-22F</v>
      </c>
      <c r="AD46" s="45" t="str">
        <f t="shared" si="42"/>
        <v>Aug-22F</v>
      </c>
      <c r="AE46" s="45" t="str">
        <f t="shared" si="42"/>
        <v>Sep-22F</v>
      </c>
      <c r="AF46" s="45" t="str">
        <f t="shared" si="42"/>
        <v>Oct-22F</v>
      </c>
      <c r="AG46" s="45" t="str">
        <f t="shared" si="42"/>
        <v>Nov-22F</v>
      </c>
      <c r="AH46" s="45" t="str">
        <f t="shared" si="42"/>
        <v>Dec-22F</v>
      </c>
      <c r="AJ46" s="45" t="str">
        <f ca="1">AJ$10</f>
        <v>Q3'20A</v>
      </c>
      <c r="AK46" s="45" t="str">
        <f t="shared" ref="AK46:AW46" ca="1" si="43">AK$10</f>
        <v>Q4'20A</v>
      </c>
      <c r="AL46" s="45" t="str">
        <f t="shared" ca="1" si="43"/>
        <v>Q1'21A</v>
      </c>
      <c r="AM46" s="46" t="str">
        <f t="shared" ca="1" si="43"/>
        <v>Q2'21A</v>
      </c>
      <c r="AN46" s="45" t="str">
        <f t="shared" ca="1" si="43"/>
        <v>Q3'21F</v>
      </c>
      <c r="AO46" s="45" t="str">
        <f t="shared" ca="1" si="43"/>
        <v>Q4'21F</v>
      </c>
      <c r="AP46" s="45" t="str">
        <f t="shared" ca="1" si="43"/>
        <v>Q1'22F</v>
      </c>
      <c r="AQ46" s="45" t="str">
        <f t="shared" ca="1" si="43"/>
        <v>Q2'22F</v>
      </c>
      <c r="AR46" s="45" t="str">
        <f t="shared" ca="1" si="43"/>
        <v>Q3'22F</v>
      </c>
      <c r="AS46" s="45" t="str">
        <f t="shared" ca="1" si="43"/>
        <v>Q4'22F</v>
      </c>
      <c r="AU46" s="45" t="str">
        <f t="shared" ca="1" si="43"/>
        <v>FY20</v>
      </c>
      <c r="AV46" s="45" t="str">
        <f t="shared" ca="1" si="43"/>
        <v>FY21</v>
      </c>
      <c r="AW46" s="45" t="str">
        <f t="shared" ca="1" si="43"/>
        <v>FY22</v>
      </c>
    </row>
    <row r="47" spans="1:51" x14ac:dyDescent="0.25">
      <c r="C47" s="98" t="s">
        <v>255</v>
      </c>
      <c r="E47" s="33">
        <f>Balance_Sheet!E84</f>
        <v>2841.1877924236569</v>
      </c>
      <c r="F47" s="33">
        <f>Balance_Sheet!F84</f>
        <v>2841.1877924236569</v>
      </c>
      <c r="G47" s="33">
        <f>Balance_Sheet!G84</f>
        <v>2841.1877924236569</v>
      </c>
      <c r="H47" s="33">
        <f>Balance_Sheet!H84</f>
        <v>2841.1877924236569</v>
      </c>
      <c r="I47" s="33">
        <f>Balance_Sheet!I84</f>
        <v>2841.1877924236569</v>
      </c>
      <c r="J47" s="56">
        <f>Balance_Sheet!J84</f>
        <v>2841.1877924236569</v>
      </c>
      <c r="K47" s="33">
        <f>Balance_Sheet!K84</f>
        <v>2841.1877924236569</v>
      </c>
      <c r="L47" s="33">
        <f>Balance_Sheet!L84</f>
        <v>2841.1877924236569</v>
      </c>
      <c r="M47" s="33">
        <f>Balance_Sheet!M84</f>
        <v>2841.1877924236569</v>
      </c>
      <c r="N47" s="33">
        <f>Balance_Sheet!N84</f>
        <v>2841.1877924236569</v>
      </c>
      <c r="O47" s="33">
        <f>Balance_Sheet!O84</f>
        <v>2841.1877924236569</v>
      </c>
      <c r="P47" s="34">
        <f>Balance_Sheet!P84</f>
        <v>2841.1877924236569</v>
      </c>
      <c r="Q47" s="33">
        <f>Balance_Sheet!Q84</f>
        <v>2841.1877924236569</v>
      </c>
      <c r="R47" s="33">
        <f>Balance_Sheet!R84</f>
        <v>2841.1877924236569</v>
      </c>
      <c r="S47" s="33">
        <f>Balance_Sheet!S84</f>
        <v>2841.1877924236569</v>
      </c>
      <c r="T47" s="33">
        <f>Balance_Sheet!T84</f>
        <v>2841.1877924236569</v>
      </c>
      <c r="U47" s="33">
        <f>Balance_Sheet!U84</f>
        <v>2841.1877924236569</v>
      </c>
      <c r="V47" s="33">
        <f>Balance_Sheet!V84</f>
        <v>2841.1877924236569</v>
      </c>
      <c r="W47" s="33">
        <f>Balance_Sheet!W84</f>
        <v>2841.1877924236569</v>
      </c>
      <c r="X47" s="33">
        <f>Balance_Sheet!X84</f>
        <v>2841.1877924236569</v>
      </c>
      <c r="Y47" s="33">
        <f>Balance_Sheet!Y84</f>
        <v>2841.1877924236569</v>
      </c>
      <c r="Z47" s="33">
        <f>Balance_Sheet!Z84</f>
        <v>2841.1877924236569</v>
      </c>
      <c r="AA47" s="33">
        <f>Balance_Sheet!AA84</f>
        <v>2841.1877924236569</v>
      </c>
      <c r="AB47" s="33">
        <f>Balance_Sheet!AB84</f>
        <v>2841.1877924236569</v>
      </c>
      <c r="AC47" s="33">
        <f>Balance_Sheet!AC84</f>
        <v>2841.1877924236569</v>
      </c>
      <c r="AD47" s="33">
        <f>Balance_Sheet!AD84</f>
        <v>2841.1877924236569</v>
      </c>
      <c r="AE47" s="33">
        <f>Balance_Sheet!AE84</f>
        <v>2841.1877924236569</v>
      </c>
      <c r="AF47" s="33">
        <f>Balance_Sheet!AF84</f>
        <v>2841.1877924236569</v>
      </c>
      <c r="AG47" s="33">
        <f>Balance_Sheet!AG84</f>
        <v>2841.1877924236569</v>
      </c>
      <c r="AH47" s="33">
        <f>Balance_Sheet!AH84</f>
        <v>2841.1877924236569</v>
      </c>
      <c r="AM47" s="8"/>
    </row>
    <row r="48" spans="1:51" x14ac:dyDescent="0.25">
      <c r="C48" t="s">
        <v>260</v>
      </c>
      <c r="E48" s="146">
        <v>9.5</v>
      </c>
      <c r="F48" s="33"/>
      <c r="G48" s="33"/>
      <c r="H48" s="33"/>
      <c r="I48" s="33"/>
      <c r="J48" s="56"/>
      <c r="K48" s="33"/>
      <c r="L48" s="33"/>
      <c r="M48" s="33"/>
      <c r="N48" s="33"/>
      <c r="O48" s="33"/>
      <c r="P48" s="34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M48" s="8"/>
    </row>
    <row r="49" spans="1:51" x14ac:dyDescent="0.25">
      <c r="C49" s="23" t="s">
        <v>593</v>
      </c>
      <c r="D49" s="27"/>
      <c r="E49" s="47">
        <f t="shared" ref="E49:P49" si="44">1/$E$48/12</f>
        <v>8.771929824561403E-3</v>
      </c>
      <c r="F49" s="47">
        <f t="shared" si="44"/>
        <v>8.771929824561403E-3</v>
      </c>
      <c r="G49" s="47">
        <f t="shared" si="44"/>
        <v>8.771929824561403E-3</v>
      </c>
      <c r="H49" s="47">
        <f t="shared" si="44"/>
        <v>8.771929824561403E-3</v>
      </c>
      <c r="I49" s="47">
        <f t="shared" si="44"/>
        <v>8.771929824561403E-3</v>
      </c>
      <c r="J49" s="47">
        <f t="shared" si="44"/>
        <v>8.771929824561403E-3</v>
      </c>
      <c r="K49" s="47">
        <f t="shared" si="44"/>
        <v>8.771929824561403E-3</v>
      </c>
      <c r="L49" s="47">
        <f t="shared" si="44"/>
        <v>8.771929824561403E-3</v>
      </c>
      <c r="M49" s="47">
        <f t="shared" si="44"/>
        <v>8.771929824561403E-3</v>
      </c>
      <c r="N49" s="47">
        <f t="shared" si="44"/>
        <v>8.771929824561403E-3</v>
      </c>
      <c r="O49" s="47">
        <f t="shared" si="44"/>
        <v>8.771929824561403E-3</v>
      </c>
      <c r="P49" s="92">
        <f t="shared" si="44"/>
        <v>8.771929824561403E-3</v>
      </c>
      <c r="Q49" s="93">
        <f>AVERAGE(K49:P49)</f>
        <v>8.771929824561403E-3</v>
      </c>
      <c r="R49" s="103">
        <f t="shared" ref="R49:AH49" si="45">AVERAGE(L49:Q49)</f>
        <v>8.771929824561403E-3</v>
      </c>
      <c r="S49" s="103">
        <f t="shared" si="45"/>
        <v>8.771929824561403E-3</v>
      </c>
      <c r="T49" s="103">
        <f t="shared" si="45"/>
        <v>8.771929824561403E-3</v>
      </c>
      <c r="U49" s="103">
        <f t="shared" si="45"/>
        <v>8.771929824561403E-3</v>
      </c>
      <c r="V49" s="103">
        <f t="shared" si="45"/>
        <v>8.771929824561403E-3</v>
      </c>
      <c r="W49" s="103">
        <f t="shared" si="45"/>
        <v>8.771929824561403E-3</v>
      </c>
      <c r="X49" s="103">
        <f t="shared" si="45"/>
        <v>8.771929824561403E-3</v>
      </c>
      <c r="Y49" s="103">
        <f t="shared" si="45"/>
        <v>8.771929824561403E-3</v>
      </c>
      <c r="Z49" s="103">
        <f t="shared" si="45"/>
        <v>8.771929824561403E-3</v>
      </c>
      <c r="AA49" s="103">
        <f t="shared" si="45"/>
        <v>8.771929824561403E-3</v>
      </c>
      <c r="AB49" s="103">
        <f t="shared" si="45"/>
        <v>8.771929824561403E-3</v>
      </c>
      <c r="AC49" s="103">
        <f t="shared" si="45"/>
        <v>8.771929824561403E-3</v>
      </c>
      <c r="AD49" s="103">
        <f t="shared" si="45"/>
        <v>8.771929824561403E-3</v>
      </c>
      <c r="AE49" s="103">
        <f t="shared" si="45"/>
        <v>8.771929824561403E-3</v>
      </c>
      <c r="AF49" s="103">
        <f t="shared" si="45"/>
        <v>8.771929824561403E-3</v>
      </c>
      <c r="AG49" s="103">
        <f t="shared" si="45"/>
        <v>8.771929824561403E-3</v>
      </c>
      <c r="AH49" s="103">
        <f t="shared" si="45"/>
        <v>8.771929824561403E-3</v>
      </c>
      <c r="AJ49" s="27"/>
      <c r="AK49" s="27"/>
      <c r="AL49" s="27"/>
      <c r="AM49" s="28"/>
      <c r="AN49" s="27"/>
      <c r="AO49" s="27"/>
      <c r="AP49" s="27"/>
      <c r="AQ49" s="27"/>
      <c r="AR49" s="27"/>
      <c r="AS49" s="27"/>
      <c r="AU49" s="27"/>
      <c r="AV49" s="27"/>
      <c r="AW49" s="27"/>
    </row>
    <row r="50" spans="1:51" x14ac:dyDescent="0.25">
      <c r="B50" t="s">
        <v>231</v>
      </c>
      <c r="C50" t="s">
        <v>124</v>
      </c>
      <c r="E50" s="31">
        <f>E47*E49</f>
        <v>24.922699933540848</v>
      </c>
      <c r="F50" s="31">
        <f t="shared" ref="F50:P50" si="46">F47*F49</f>
        <v>24.922699933540848</v>
      </c>
      <c r="G50" s="31">
        <f t="shared" si="46"/>
        <v>24.922699933540848</v>
      </c>
      <c r="H50" s="31">
        <f t="shared" si="46"/>
        <v>24.922699933540848</v>
      </c>
      <c r="I50" s="31">
        <f t="shared" si="46"/>
        <v>24.922699933540848</v>
      </c>
      <c r="J50" s="37">
        <f t="shared" si="46"/>
        <v>24.922699933540848</v>
      </c>
      <c r="K50" s="31">
        <f t="shared" si="46"/>
        <v>24.922699933540848</v>
      </c>
      <c r="L50" s="31">
        <f t="shared" si="46"/>
        <v>24.922699933540848</v>
      </c>
      <c r="M50" s="31">
        <f t="shared" si="46"/>
        <v>24.922699933540848</v>
      </c>
      <c r="N50" s="31">
        <f t="shared" si="46"/>
        <v>24.922699933540848</v>
      </c>
      <c r="O50" s="31">
        <f t="shared" si="46"/>
        <v>24.922699933540848</v>
      </c>
      <c r="P50" s="32">
        <f t="shared" si="46"/>
        <v>24.922699933540848</v>
      </c>
      <c r="Q50" s="13">
        <f>Q47*Q49</f>
        <v>24.922699933540848</v>
      </c>
      <c r="R50" s="13">
        <f t="shared" ref="R50:AH50" si="47">R47*R49</f>
        <v>24.922699933540848</v>
      </c>
      <c r="S50" s="13">
        <f t="shared" si="47"/>
        <v>24.922699933540848</v>
      </c>
      <c r="T50" s="13">
        <f t="shared" si="47"/>
        <v>24.922699933540848</v>
      </c>
      <c r="U50" s="13">
        <f t="shared" si="47"/>
        <v>24.922699933540848</v>
      </c>
      <c r="V50" s="13">
        <f t="shared" si="47"/>
        <v>24.922699933540848</v>
      </c>
      <c r="W50" s="13">
        <f t="shared" si="47"/>
        <v>24.922699933540848</v>
      </c>
      <c r="X50" s="13">
        <f t="shared" si="47"/>
        <v>24.922699933540848</v>
      </c>
      <c r="Y50" s="13">
        <f t="shared" si="47"/>
        <v>24.922699933540848</v>
      </c>
      <c r="Z50" s="13">
        <f t="shared" si="47"/>
        <v>24.922699933540848</v>
      </c>
      <c r="AA50" s="13">
        <f t="shared" si="47"/>
        <v>24.922699933540848</v>
      </c>
      <c r="AB50" s="13">
        <f t="shared" si="47"/>
        <v>24.922699933540848</v>
      </c>
      <c r="AC50" s="13">
        <f t="shared" si="47"/>
        <v>24.922699933540848</v>
      </c>
      <c r="AD50" s="13">
        <f t="shared" si="47"/>
        <v>24.922699933540848</v>
      </c>
      <c r="AE50" s="13">
        <f t="shared" si="47"/>
        <v>24.922699933540848</v>
      </c>
      <c r="AF50" s="13">
        <f t="shared" si="47"/>
        <v>24.922699933540848</v>
      </c>
      <c r="AG50" s="13">
        <f t="shared" si="47"/>
        <v>24.922699933540848</v>
      </c>
      <c r="AH50" s="13">
        <f t="shared" si="47"/>
        <v>24.922699933540848</v>
      </c>
      <c r="AJ50" s="13" cm="1">
        <f t="array" aca="1" ref="AJ50" ca="1">SUMPRODUCT(($E50:$AH50)*(AJ$3&amp;AJ$4&amp;AJ$5&amp;AJ$6=$E$3:$AH$3&amp;$E$4:$AH$4&amp;$E$5:$AH$5&amp;$E$6:$AH$6))</f>
        <v>74.768099800622537</v>
      </c>
      <c r="AK50" s="13" cm="1">
        <f t="array" aca="1" ref="AK50" ca="1">SUMPRODUCT(($E50:$AH50)*(AK$3=$E$3:$AH$3)*(AK$4=$E$4:$AH$4)*(AK$5=$E$5:$AH$5)*(AK$6=$E$6:$AH$6))</f>
        <v>74.768099800622537</v>
      </c>
      <c r="AL50" s="13" cm="1">
        <f t="array" aca="1" ref="AL50" ca="1">SUMPRODUCT(($E50:$AH50)*(AL$3=$E$3:$AH$3)*(AL$4=$E$4:$AH$4)*(AL$5=$E$5:$AH$5)*(AL$6=$E$6:$AH$6))</f>
        <v>74.768099800622537</v>
      </c>
      <c r="AM50" s="17" cm="1">
        <f t="array" aca="1" ref="AM50" ca="1">SUMPRODUCT(($E50:$AH50)*(AM$3=$E$3:$AH$3)*(AM$4=$E$4:$AH$4)*(AM$5=$E$5:$AH$5)*(AM$6=$E$6:$AH$6))</f>
        <v>74.768099800622537</v>
      </c>
      <c r="AN50" s="13" cm="1">
        <f t="array" aca="1" ref="AN50" ca="1">SUMPRODUCT(($E50:$AH50)*(AN$3=$E$3:$AH$3)*(AN$4=$E$4:$AH$4)*(AN$5=$E$5:$AH$5)*(AN$6=$E$6:$AH$6))</f>
        <v>74.768099800622537</v>
      </c>
      <c r="AO50" s="13" cm="1">
        <f t="array" aca="1" ref="AO50" ca="1">SUMPRODUCT(($E50:$AH50)*(AO$3=$E$3:$AH$3)*(AO$4=$E$4:$AH$4)*(AO$5=$E$5:$AH$5)*(AO$6=$E$6:$AH$6))</f>
        <v>74.768099800622537</v>
      </c>
      <c r="AP50" s="13" cm="1">
        <f t="array" aca="1" ref="AP50" ca="1">SUMPRODUCT(($E50:$AH50)*(AP$3=$E$3:$AH$3)*(AP$4=$E$4:$AH$4)*(AP$5=$E$5:$AH$5)*(AP$6=$E$6:$AH$6))</f>
        <v>74.768099800622537</v>
      </c>
      <c r="AQ50" s="13" cm="1">
        <f t="array" aca="1" ref="AQ50" ca="1">SUMPRODUCT(($E50:$AH50)*(AQ$3=$E$3:$AH$3)*(AQ$4=$E$4:$AH$4)*(AQ$5=$E$5:$AH$5)*(AQ$6=$E$6:$AH$6))</f>
        <v>74.768099800622537</v>
      </c>
      <c r="AR50" s="13" cm="1">
        <f t="array" aca="1" ref="AR50" ca="1">SUMPRODUCT(($E50:$AH50)*(AR$3=$E$3:$AH$3)*(AR$4=$E$4:$AH$4)*(AR$5=$E$5:$AH$5)*(AR$6=$E$6:$AH$6))</f>
        <v>74.768099800622537</v>
      </c>
      <c r="AS50" s="13" cm="1">
        <f t="array" aca="1" ref="AS50" ca="1">SUMPRODUCT(($E50:$AH50)*(AS$3=$E$3:$AH$3)*(AS$4=$E$4:$AH$4)*(AS$5=$E$5:$AH$5)*(AS$6=$E$6:$AH$6))</f>
        <v>74.768099800622537</v>
      </c>
      <c r="AU50" s="13" cm="1">
        <f t="array" aca="1" ref="AU50" ca="1">SUMPRODUCT(($E50:$AH50)*(AU$5=$E$5:$AH$5))</f>
        <v>149.5361996012451</v>
      </c>
      <c r="AV50" s="13" cm="1">
        <f t="array" aca="1" ref="AV50" ca="1">SUMPRODUCT(($E50:$AH50)*(AV$5=$E$5:$AH$5))</f>
        <v>299.0723992024902</v>
      </c>
      <c r="AW50" s="13" cm="1">
        <f t="array" aca="1" ref="AW50" ca="1">SUMPRODUCT(($E50:$AH50)*(AW$5=$E$5:$AH$5))</f>
        <v>299.0723992024902</v>
      </c>
    </row>
    <row r="51" spans="1:51" x14ac:dyDescent="0.25">
      <c r="P51" s="8"/>
      <c r="AM51" s="8"/>
    </row>
    <row r="52" spans="1:51" x14ac:dyDescent="0.25">
      <c r="C52" s="30" t="s">
        <v>39</v>
      </c>
      <c r="D52" s="30"/>
      <c r="E52" s="45" t="str">
        <f t="shared" ref="E52:K52" si="48">E$9</f>
        <v>Jul-20A</v>
      </c>
      <c r="F52" s="45" t="str">
        <f t="shared" si="48"/>
        <v>Aug-20A</v>
      </c>
      <c r="G52" s="45" t="str">
        <f t="shared" si="48"/>
        <v>Sep-20A</v>
      </c>
      <c r="H52" s="45" t="str">
        <f t="shared" si="48"/>
        <v>Oct-20A</v>
      </c>
      <c r="I52" s="45" t="str">
        <f t="shared" si="48"/>
        <v>Nov-20A</v>
      </c>
      <c r="J52" s="45" t="str">
        <f t="shared" si="48"/>
        <v>Dec-20A</v>
      </c>
      <c r="K52" s="45" t="str">
        <f t="shared" si="48"/>
        <v>Jan-21A</v>
      </c>
      <c r="L52" s="45" t="str">
        <f t="shared" ref="L52:AH52" si="49">L$9</f>
        <v>Feb-21A</v>
      </c>
      <c r="M52" s="45" t="str">
        <f t="shared" si="49"/>
        <v>Mar-21A</v>
      </c>
      <c r="N52" s="45" t="str">
        <f t="shared" si="49"/>
        <v>Apr-21A</v>
      </c>
      <c r="O52" s="45" t="str">
        <f t="shared" si="49"/>
        <v>May-21A</v>
      </c>
      <c r="P52" s="46" t="str">
        <f t="shared" si="49"/>
        <v>Jun-21A</v>
      </c>
      <c r="Q52" s="45" t="str">
        <f t="shared" si="49"/>
        <v>Jul-21F</v>
      </c>
      <c r="R52" s="45" t="str">
        <f t="shared" si="49"/>
        <v>Aug-21F</v>
      </c>
      <c r="S52" s="45" t="str">
        <f t="shared" si="49"/>
        <v>Sep-21F</v>
      </c>
      <c r="T52" s="45" t="str">
        <f t="shared" si="49"/>
        <v>Oct-21F</v>
      </c>
      <c r="U52" s="45" t="str">
        <f t="shared" si="49"/>
        <v>Nov-21F</v>
      </c>
      <c r="V52" s="45" t="str">
        <f t="shared" si="49"/>
        <v>Dec-21F</v>
      </c>
      <c r="W52" s="45" t="str">
        <f t="shared" si="49"/>
        <v>Jan-22F</v>
      </c>
      <c r="X52" s="45" t="str">
        <f t="shared" si="49"/>
        <v>Feb-22F</v>
      </c>
      <c r="Y52" s="45" t="str">
        <f t="shared" si="49"/>
        <v>Mar-22F</v>
      </c>
      <c r="Z52" s="45" t="str">
        <f t="shared" si="49"/>
        <v>Apr-22F</v>
      </c>
      <c r="AA52" s="45" t="str">
        <f t="shared" si="49"/>
        <v>May-22F</v>
      </c>
      <c r="AB52" s="45" t="str">
        <f t="shared" si="49"/>
        <v>Jun-22F</v>
      </c>
      <c r="AC52" s="45" t="str">
        <f t="shared" si="49"/>
        <v>Jul-22F</v>
      </c>
      <c r="AD52" s="45" t="str">
        <f t="shared" si="49"/>
        <v>Aug-22F</v>
      </c>
      <c r="AE52" s="45" t="str">
        <f t="shared" si="49"/>
        <v>Sep-22F</v>
      </c>
      <c r="AF52" s="45" t="str">
        <f t="shared" si="49"/>
        <v>Oct-22F</v>
      </c>
      <c r="AG52" s="45" t="str">
        <f t="shared" si="49"/>
        <v>Nov-22F</v>
      </c>
      <c r="AH52" s="45" t="str">
        <f t="shared" si="49"/>
        <v>Dec-22F</v>
      </c>
      <c r="AJ52" s="45" t="str">
        <f ca="1">AJ$10</f>
        <v>Q3'20A</v>
      </c>
      <c r="AK52" s="45" t="str">
        <f t="shared" ref="AK52:AW52" ca="1" si="50">AK$10</f>
        <v>Q4'20A</v>
      </c>
      <c r="AL52" s="45" t="str">
        <f t="shared" ca="1" si="50"/>
        <v>Q1'21A</v>
      </c>
      <c r="AM52" s="46" t="str">
        <f t="shared" ca="1" si="50"/>
        <v>Q2'21A</v>
      </c>
      <c r="AN52" s="45" t="str">
        <f t="shared" ca="1" si="50"/>
        <v>Q3'21F</v>
      </c>
      <c r="AO52" s="45" t="str">
        <f t="shared" ca="1" si="50"/>
        <v>Q4'21F</v>
      </c>
      <c r="AP52" s="45" t="str">
        <f t="shared" ca="1" si="50"/>
        <v>Q1'22F</v>
      </c>
      <c r="AQ52" s="45" t="str">
        <f t="shared" ca="1" si="50"/>
        <v>Q2'22F</v>
      </c>
      <c r="AR52" s="45" t="str">
        <f t="shared" ca="1" si="50"/>
        <v>Q3'22F</v>
      </c>
      <c r="AS52" s="45" t="str">
        <f t="shared" ca="1" si="50"/>
        <v>Q4'22F</v>
      </c>
      <c r="AU52" s="45" t="str">
        <f t="shared" ca="1" si="50"/>
        <v>FY20</v>
      </c>
      <c r="AV52" s="45" t="str">
        <f t="shared" ca="1" si="50"/>
        <v>FY21</v>
      </c>
      <c r="AW52" s="45" t="str">
        <f t="shared" ca="1" si="50"/>
        <v>FY22</v>
      </c>
    </row>
    <row r="53" spans="1:51" x14ac:dyDescent="0.25">
      <c r="C53" s="1" t="s">
        <v>254</v>
      </c>
      <c r="D53" s="1"/>
      <c r="E53" s="33">
        <f>Balance_Sheet!E105</f>
        <v>2741.3151503386998</v>
      </c>
      <c r="F53" s="33">
        <f>Balance_Sheet!F105</f>
        <v>2741.3151503386998</v>
      </c>
      <c r="G53" s="33">
        <f>Balance_Sheet!G105</f>
        <v>2741.3151503386998</v>
      </c>
      <c r="H53" s="33">
        <f>Balance_Sheet!H105</f>
        <v>2741.3151503386998</v>
      </c>
      <c r="I53" s="33">
        <f>Balance_Sheet!I105</f>
        <v>2741.3151503386998</v>
      </c>
      <c r="J53" s="56">
        <f>Balance_Sheet!J105</f>
        <v>2741.3151503386998</v>
      </c>
      <c r="K53" s="33">
        <f>Balance_Sheet!K105</f>
        <v>2741.3151503386998</v>
      </c>
      <c r="L53" s="33">
        <f>Balance_Sheet!L105</f>
        <v>2741.3151503386998</v>
      </c>
      <c r="M53" s="33">
        <f>Balance_Sheet!M105</f>
        <v>2741.3151503386998</v>
      </c>
      <c r="N53" s="33">
        <f>Balance_Sheet!N105</f>
        <v>2741.3151503386998</v>
      </c>
      <c r="O53" s="33">
        <f>Balance_Sheet!O105</f>
        <v>2741.3151503386998</v>
      </c>
      <c r="P53" s="34">
        <f>Balance_Sheet!P105</f>
        <v>2741.3151503386998</v>
      </c>
      <c r="Q53" s="33">
        <f>Balance_Sheet!Q105</f>
        <v>2741.3151503386998</v>
      </c>
      <c r="R53" s="33">
        <f>Balance_Sheet!R105</f>
        <v>2741.3151503386998</v>
      </c>
      <c r="S53" s="33">
        <f>Balance_Sheet!S105</f>
        <v>2741.3151503386998</v>
      </c>
      <c r="T53" s="33">
        <f>Balance_Sheet!T105</f>
        <v>2741.3151503386998</v>
      </c>
      <c r="U53" s="33">
        <f>Balance_Sheet!U105</f>
        <v>2741.3151503386998</v>
      </c>
      <c r="V53" s="33">
        <f>Balance_Sheet!V105</f>
        <v>2741.3151503386998</v>
      </c>
      <c r="W53" s="33">
        <f>Balance_Sheet!W105</f>
        <v>2741.3151503386998</v>
      </c>
      <c r="X53" s="33">
        <f>Balance_Sheet!X105</f>
        <v>2741.3151503386998</v>
      </c>
      <c r="Y53" s="33">
        <f>Balance_Sheet!Y105</f>
        <v>2741.3151503386998</v>
      </c>
      <c r="Z53" s="33">
        <f>Balance_Sheet!Z105</f>
        <v>2741.3151503386998</v>
      </c>
      <c r="AA53" s="33">
        <f>Balance_Sheet!AA105</f>
        <v>2741.3151503386998</v>
      </c>
      <c r="AB53" s="33">
        <f>Balance_Sheet!AB105</f>
        <v>2741.3151503386998</v>
      </c>
      <c r="AC53" s="33">
        <f>Balance_Sheet!AC105</f>
        <v>2741.3151503386998</v>
      </c>
      <c r="AD53" s="33">
        <f>Balance_Sheet!AD105</f>
        <v>2741.3151503386998</v>
      </c>
      <c r="AE53" s="33">
        <f>Balance_Sheet!AE105</f>
        <v>2741.3151503386998</v>
      </c>
      <c r="AF53" s="33">
        <f>Balance_Sheet!AF105</f>
        <v>2741.3151503386998</v>
      </c>
      <c r="AG53" s="33">
        <f>Balance_Sheet!AG105</f>
        <v>2741.3151503386998</v>
      </c>
      <c r="AH53" s="33">
        <f>Balance_Sheet!AH105</f>
        <v>2741.3151503386998</v>
      </c>
      <c r="AM53" s="8"/>
    </row>
    <row r="54" spans="1:51" x14ac:dyDescent="0.25">
      <c r="C54" s="1" t="s">
        <v>260</v>
      </c>
      <c r="D54" s="1"/>
      <c r="E54" s="146">
        <v>15</v>
      </c>
      <c r="F54" s="33"/>
      <c r="G54" s="33"/>
      <c r="H54" s="33"/>
      <c r="I54" s="33"/>
      <c r="J54" s="56"/>
      <c r="K54" s="33"/>
      <c r="L54" s="33"/>
      <c r="M54" s="33"/>
      <c r="N54" s="33"/>
      <c r="O54" s="33"/>
      <c r="P54" s="34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M54" s="8"/>
    </row>
    <row r="55" spans="1:51" x14ac:dyDescent="0.25">
      <c r="C55" s="23" t="s">
        <v>259</v>
      </c>
      <c r="D55" s="23"/>
      <c r="E55" s="47">
        <f>1/$E$54/12</f>
        <v>5.5555555555555558E-3</v>
      </c>
      <c r="F55" s="48">
        <f t="shared" ref="F55:P55" si="51">1/$E$54/12</f>
        <v>5.5555555555555558E-3</v>
      </c>
      <c r="G55" s="48">
        <f t="shared" si="51"/>
        <v>5.5555555555555558E-3</v>
      </c>
      <c r="H55" s="48">
        <f t="shared" si="51"/>
        <v>5.5555555555555558E-3</v>
      </c>
      <c r="I55" s="48">
        <f t="shared" si="51"/>
        <v>5.5555555555555558E-3</v>
      </c>
      <c r="J55" s="48">
        <f t="shared" si="51"/>
        <v>5.5555555555555558E-3</v>
      </c>
      <c r="K55" s="47">
        <f t="shared" si="51"/>
        <v>5.5555555555555558E-3</v>
      </c>
      <c r="L55" s="48">
        <f t="shared" si="51"/>
        <v>5.5555555555555558E-3</v>
      </c>
      <c r="M55" s="48">
        <f t="shared" si="51"/>
        <v>5.5555555555555558E-3</v>
      </c>
      <c r="N55" s="48">
        <f t="shared" si="51"/>
        <v>5.5555555555555558E-3</v>
      </c>
      <c r="O55" s="48">
        <f t="shared" si="51"/>
        <v>5.5555555555555558E-3</v>
      </c>
      <c r="P55" s="49">
        <f t="shared" si="51"/>
        <v>5.5555555555555558E-3</v>
      </c>
      <c r="Q55" s="48">
        <f>P55</f>
        <v>5.5555555555555558E-3</v>
      </c>
      <c r="R55" s="48">
        <f>Q55</f>
        <v>5.5555555555555558E-3</v>
      </c>
      <c r="S55" s="48">
        <f t="shared" ref="S55:AH55" si="52">R55</f>
        <v>5.5555555555555558E-3</v>
      </c>
      <c r="T55" s="48">
        <f t="shared" si="52"/>
        <v>5.5555555555555558E-3</v>
      </c>
      <c r="U55" s="48">
        <f t="shared" si="52"/>
        <v>5.5555555555555558E-3</v>
      </c>
      <c r="V55" s="48">
        <f t="shared" si="52"/>
        <v>5.5555555555555558E-3</v>
      </c>
      <c r="W55" s="48">
        <f t="shared" si="52"/>
        <v>5.5555555555555558E-3</v>
      </c>
      <c r="X55" s="48">
        <f t="shared" si="52"/>
        <v>5.5555555555555558E-3</v>
      </c>
      <c r="Y55" s="48">
        <f t="shared" si="52"/>
        <v>5.5555555555555558E-3</v>
      </c>
      <c r="Z55" s="48">
        <f t="shared" si="52"/>
        <v>5.5555555555555558E-3</v>
      </c>
      <c r="AA55" s="48">
        <f t="shared" si="52"/>
        <v>5.5555555555555558E-3</v>
      </c>
      <c r="AB55" s="48">
        <f t="shared" si="52"/>
        <v>5.5555555555555558E-3</v>
      </c>
      <c r="AC55" s="48">
        <f t="shared" si="52"/>
        <v>5.5555555555555558E-3</v>
      </c>
      <c r="AD55" s="48">
        <f t="shared" si="52"/>
        <v>5.5555555555555558E-3</v>
      </c>
      <c r="AE55" s="48">
        <f t="shared" si="52"/>
        <v>5.5555555555555558E-3</v>
      </c>
      <c r="AF55" s="48">
        <f t="shared" si="52"/>
        <v>5.5555555555555558E-3</v>
      </c>
      <c r="AG55" s="48">
        <f t="shared" si="52"/>
        <v>5.5555555555555558E-3</v>
      </c>
      <c r="AH55" s="48">
        <f t="shared" si="52"/>
        <v>5.5555555555555558E-3</v>
      </c>
      <c r="AM55" s="8"/>
      <c r="AY55" t="s">
        <v>41</v>
      </c>
    </row>
    <row r="56" spans="1:51" x14ac:dyDescent="0.25">
      <c r="B56" t="s">
        <v>231</v>
      </c>
      <c r="C56" t="s">
        <v>40</v>
      </c>
      <c r="E56" s="31">
        <f>E53*E55</f>
        <v>15.229528612992777</v>
      </c>
      <c r="F56" s="31">
        <f t="shared" ref="F56:P56" si="53">F53*F55</f>
        <v>15.229528612992777</v>
      </c>
      <c r="G56" s="31">
        <f t="shared" si="53"/>
        <v>15.229528612992777</v>
      </c>
      <c r="H56" s="31">
        <f t="shared" si="53"/>
        <v>15.229528612992777</v>
      </c>
      <c r="I56" s="31">
        <f t="shared" si="53"/>
        <v>15.229528612992777</v>
      </c>
      <c r="J56" s="37">
        <f t="shared" si="53"/>
        <v>15.229528612992777</v>
      </c>
      <c r="K56" s="31">
        <f t="shared" si="53"/>
        <v>15.229528612992777</v>
      </c>
      <c r="L56" s="31">
        <f t="shared" si="53"/>
        <v>15.229528612992777</v>
      </c>
      <c r="M56" s="31">
        <f t="shared" si="53"/>
        <v>15.229528612992777</v>
      </c>
      <c r="N56" s="31">
        <f t="shared" si="53"/>
        <v>15.229528612992777</v>
      </c>
      <c r="O56" s="31">
        <f t="shared" si="53"/>
        <v>15.229528612992777</v>
      </c>
      <c r="P56" s="32">
        <f t="shared" si="53"/>
        <v>15.229528612992777</v>
      </c>
      <c r="Q56" s="13">
        <f t="shared" ref="Q56:AH56" si="54">Q53*Q55</f>
        <v>15.229528612992777</v>
      </c>
      <c r="R56" s="13">
        <f t="shared" si="54"/>
        <v>15.229528612992777</v>
      </c>
      <c r="S56" s="13">
        <f t="shared" si="54"/>
        <v>15.229528612992777</v>
      </c>
      <c r="T56" s="13">
        <f t="shared" si="54"/>
        <v>15.229528612992777</v>
      </c>
      <c r="U56" s="13">
        <f t="shared" si="54"/>
        <v>15.229528612992777</v>
      </c>
      <c r="V56" s="13">
        <f t="shared" si="54"/>
        <v>15.229528612992777</v>
      </c>
      <c r="W56" s="13">
        <f t="shared" si="54"/>
        <v>15.229528612992777</v>
      </c>
      <c r="X56" s="13">
        <f t="shared" si="54"/>
        <v>15.229528612992777</v>
      </c>
      <c r="Y56" s="13">
        <f t="shared" si="54"/>
        <v>15.229528612992777</v>
      </c>
      <c r="Z56" s="13">
        <f t="shared" si="54"/>
        <v>15.229528612992777</v>
      </c>
      <c r="AA56" s="13">
        <f t="shared" si="54"/>
        <v>15.229528612992777</v>
      </c>
      <c r="AB56" s="13">
        <f t="shared" si="54"/>
        <v>15.229528612992777</v>
      </c>
      <c r="AC56" s="13">
        <f t="shared" si="54"/>
        <v>15.229528612992777</v>
      </c>
      <c r="AD56" s="13">
        <f t="shared" si="54"/>
        <v>15.229528612992777</v>
      </c>
      <c r="AE56" s="13">
        <f t="shared" si="54"/>
        <v>15.229528612992777</v>
      </c>
      <c r="AF56" s="13">
        <f t="shared" si="54"/>
        <v>15.229528612992777</v>
      </c>
      <c r="AG56" s="13">
        <f t="shared" si="54"/>
        <v>15.229528612992777</v>
      </c>
      <c r="AH56" s="13">
        <f t="shared" si="54"/>
        <v>15.229528612992777</v>
      </c>
      <c r="AJ56" s="13" cm="1">
        <f t="array" aca="1" ref="AJ56" ca="1">SUMPRODUCT(($E56:$AH56)*(AJ$3&amp;AJ$4&amp;AJ$5&amp;AJ$6=$E$3:$AH$3&amp;$E$4:$AH$4&amp;$E$5:$AH$5&amp;$E$6:$AH$6))</f>
        <v>45.688585838978327</v>
      </c>
      <c r="AK56" s="13" cm="1">
        <f t="array" aca="1" ref="AK56" ca="1">SUMPRODUCT(($E56:$AH56)*(AK$3=$E$3:$AH$3)*(AK$4=$E$4:$AH$4)*(AK$5=$E$5:$AH$5)*(AK$6=$E$6:$AH$6))</f>
        <v>45.688585838978327</v>
      </c>
      <c r="AL56" s="13" cm="1">
        <f t="array" aca="1" ref="AL56" ca="1">SUMPRODUCT(($E56:$AH56)*(AL$3=$E$3:$AH$3)*(AL$4=$E$4:$AH$4)*(AL$5=$E$5:$AH$5)*(AL$6=$E$6:$AH$6))</f>
        <v>45.688585838978327</v>
      </c>
      <c r="AM56" s="17" cm="1">
        <f t="array" aca="1" ref="AM56" ca="1">SUMPRODUCT(($E56:$AH56)*(AM$3=$E$3:$AH$3)*(AM$4=$E$4:$AH$4)*(AM$5=$E$5:$AH$5)*(AM$6=$E$6:$AH$6))</f>
        <v>45.688585838978327</v>
      </c>
      <c r="AN56" s="13" cm="1">
        <f t="array" aca="1" ref="AN56" ca="1">SUMPRODUCT(($E56:$AH56)*(AN$3=$E$3:$AH$3)*(AN$4=$E$4:$AH$4)*(AN$5=$E$5:$AH$5)*(AN$6=$E$6:$AH$6))</f>
        <v>45.688585838978327</v>
      </c>
      <c r="AO56" s="13" cm="1">
        <f t="array" aca="1" ref="AO56" ca="1">SUMPRODUCT(($E56:$AH56)*(AO$3=$E$3:$AH$3)*(AO$4=$E$4:$AH$4)*(AO$5=$E$5:$AH$5)*(AO$6=$E$6:$AH$6))</f>
        <v>45.688585838978327</v>
      </c>
      <c r="AP56" s="13" cm="1">
        <f t="array" aca="1" ref="AP56" ca="1">SUMPRODUCT(($E56:$AH56)*(AP$3=$E$3:$AH$3)*(AP$4=$E$4:$AH$4)*(AP$5=$E$5:$AH$5)*(AP$6=$E$6:$AH$6))</f>
        <v>45.688585838978327</v>
      </c>
      <c r="AQ56" s="13" cm="1">
        <f t="array" aca="1" ref="AQ56" ca="1">SUMPRODUCT(($E56:$AH56)*(AQ$3=$E$3:$AH$3)*(AQ$4=$E$4:$AH$4)*(AQ$5=$E$5:$AH$5)*(AQ$6=$E$6:$AH$6))</f>
        <v>45.688585838978327</v>
      </c>
      <c r="AR56" s="13" cm="1">
        <f t="array" aca="1" ref="AR56" ca="1">SUMPRODUCT(($E56:$AH56)*(AR$3=$E$3:$AH$3)*(AR$4=$E$4:$AH$4)*(AR$5=$E$5:$AH$5)*(AR$6=$E$6:$AH$6))</f>
        <v>45.688585838978327</v>
      </c>
      <c r="AS56" s="13" cm="1">
        <f t="array" aca="1" ref="AS56" ca="1">SUMPRODUCT(($E56:$AH56)*(AS$3=$E$3:$AH$3)*(AS$4=$E$4:$AH$4)*(AS$5=$E$5:$AH$5)*(AS$6=$E$6:$AH$6))</f>
        <v>45.688585838978327</v>
      </c>
      <c r="AT56" s="13"/>
      <c r="AU56" s="13" cm="1">
        <f t="array" aca="1" ref="AU56" ca="1">SUMPRODUCT(($E56:$AH56)*(AU$5=$E$5:$AH$5))</f>
        <v>91.377171677956667</v>
      </c>
      <c r="AV56" s="13" cm="1">
        <f t="array" aca="1" ref="AV56" ca="1">SUMPRODUCT(($E56:$AH56)*(AV$5=$E$5:$AH$5))</f>
        <v>182.75434335591331</v>
      </c>
      <c r="AW56" s="13" cm="1">
        <f t="array" aca="1" ref="AW56" ca="1">SUMPRODUCT(($E56:$AH56)*(AW$5=$E$5:$AH$5))</f>
        <v>182.75434335591331</v>
      </c>
    </row>
    <row r="57" spans="1:51" x14ac:dyDescent="0.25"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8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M57" s="8"/>
      <c r="AT57" s="13"/>
    </row>
    <row r="58" spans="1:51" ht="15.75" thickBot="1" x14ac:dyDescent="0.3">
      <c r="B58" t="s">
        <v>231</v>
      </c>
      <c r="C58" s="53" t="s">
        <v>42</v>
      </c>
      <c r="D58" s="53"/>
      <c r="E58" s="54">
        <f>E50+E56</f>
        <v>40.152228546533621</v>
      </c>
      <c r="F58" s="54">
        <f t="shared" ref="F58:AH58" si="55">F50+F56</f>
        <v>40.152228546533621</v>
      </c>
      <c r="G58" s="54">
        <f t="shared" si="55"/>
        <v>40.152228546533621</v>
      </c>
      <c r="H58" s="54">
        <f t="shared" si="55"/>
        <v>40.152228546533621</v>
      </c>
      <c r="I58" s="54">
        <f t="shared" si="55"/>
        <v>40.152228546533621</v>
      </c>
      <c r="J58" s="54">
        <f t="shared" si="55"/>
        <v>40.152228546533621</v>
      </c>
      <c r="K58" s="54">
        <f t="shared" si="55"/>
        <v>40.152228546533621</v>
      </c>
      <c r="L58" s="54">
        <f t="shared" si="55"/>
        <v>40.152228546533621</v>
      </c>
      <c r="M58" s="54">
        <f t="shared" si="55"/>
        <v>40.152228546533621</v>
      </c>
      <c r="N58" s="54">
        <f t="shared" si="55"/>
        <v>40.152228546533621</v>
      </c>
      <c r="O58" s="54">
        <f t="shared" si="55"/>
        <v>40.152228546533621</v>
      </c>
      <c r="P58" s="55">
        <f t="shared" si="55"/>
        <v>40.152228546533621</v>
      </c>
      <c r="Q58" s="54">
        <f t="shared" si="55"/>
        <v>40.152228546533621</v>
      </c>
      <c r="R58" s="54">
        <f t="shared" si="55"/>
        <v>40.152228546533621</v>
      </c>
      <c r="S58" s="54">
        <f t="shared" si="55"/>
        <v>40.152228546533621</v>
      </c>
      <c r="T58" s="54">
        <f t="shared" si="55"/>
        <v>40.152228546533621</v>
      </c>
      <c r="U58" s="54">
        <f t="shared" si="55"/>
        <v>40.152228546533621</v>
      </c>
      <c r="V58" s="54">
        <f t="shared" si="55"/>
        <v>40.152228546533621</v>
      </c>
      <c r="W58" s="54">
        <f t="shared" si="55"/>
        <v>40.152228546533621</v>
      </c>
      <c r="X58" s="54">
        <f t="shared" si="55"/>
        <v>40.152228546533621</v>
      </c>
      <c r="Y58" s="54">
        <f t="shared" si="55"/>
        <v>40.152228546533621</v>
      </c>
      <c r="Z58" s="54">
        <f t="shared" si="55"/>
        <v>40.152228546533621</v>
      </c>
      <c r="AA58" s="54">
        <f t="shared" si="55"/>
        <v>40.152228546533621</v>
      </c>
      <c r="AB58" s="54">
        <f t="shared" si="55"/>
        <v>40.152228546533621</v>
      </c>
      <c r="AC58" s="54">
        <f t="shared" si="55"/>
        <v>40.152228546533621</v>
      </c>
      <c r="AD58" s="54">
        <f t="shared" si="55"/>
        <v>40.152228546533621</v>
      </c>
      <c r="AE58" s="54">
        <f t="shared" si="55"/>
        <v>40.152228546533621</v>
      </c>
      <c r="AF58" s="54">
        <f t="shared" si="55"/>
        <v>40.152228546533621</v>
      </c>
      <c r="AG58" s="54">
        <f t="shared" si="55"/>
        <v>40.152228546533621</v>
      </c>
      <c r="AH58" s="54">
        <f t="shared" si="55"/>
        <v>40.152228546533621</v>
      </c>
      <c r="AJ58" s="54">
        <f t="shared" ref="AJ58:AW58" ca="1" si="56">AJ50+AJ56</f>
        <v>120.45668563960086</v>
      </c>
      <c r="AK58" s="54">
        <f t="shared" ca="1" si="56"/>
        <v>120.45668563960086</v>
      </c>
      <c r="AL58" s="54">
        <f t="shared" ca="1" si="56"/>
        <v>120.45668563960086</v>
      </c>
      <c r="AM58" s="55">
        <f t="shared" ca="1" si="56"/>
        <v>120.45668563960086</v>
      </c>
      <c r="AN58" s="54">
        <f t="shared" ca="1" si="56"/>
        <v>120.45668563960086</v>
      </c>
      <c r="AO58" s="54">
        <f t="shared" ca="1" si="56"/>
        <v>120.45668563960086</v>
      </c>
      <c r="AP58" s="54">
        <f t="shared" ca="1" si="56"/>
        <v>120.45668563960086</v>
      </c>
      <c r="AQ58" s="54">
        <f t="shared" ca="1" si="56"/>
        <v>120.45668563960086</v>
      </c>
      <c r="AR58" s="54">
        <f t="shared" ca="1" si="56"/>
        <v>120.45668563960086</v>
      </c>
      <c r="AS58" s="54">
        <f t="shared" ca="1" si="56"/>
        <v>120.45668563960086</v>
      </c>
      <c r="AT58" s="13"/>
      <c r="AU58" s="54">
        <f t="shared" ca="1" si="56"/>
        <v>240.91337127920178</v>
      </c>
      <c r="AV58" s="54">
        <f t="shared" ca="1" si="56"/>
        <v>481.82674255840351</v>
      </c>
      <c r="AW58" s="54">
        <f t="shared" ca="1" si="56"/>
        <v>481.82674255840351</v>
      </c>
    </row>
    <row r="59" spans="1:51" ht="15.75" thickTop="1" x14ac:dyDescent="0.25">
      <c r="AT59" s="13"/>
    </row>
    <row r="60" spans="1:51" ht="18.75" x14ac:dyDescent="0.3">
      <c r="A60" t="s">
        <v>231</v>
      </c>
      <c r="C60" s="182" t="s">
        <v>274</v>
      </c>
      <c r="D60" s="179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J60" s="180"/>
      <c r="AK60" s="180"/>
      <c r="AL60" s="180"/>
      <c r="AM60" s="180"/>
      <c r="AN60" s="180"/>
      <c r="AO60" s="180"/>
      <c r="AP60" s="180"/>
      <c r="AQ60" s="180"/>
      <c r="AR60" s="180"/>
      <c r="AS60" s="180"/>
      <c r="AT60" s="180"/>
      <c r="AU60" s="180"/>
      <c r="AV60" s="180"/>
      <c r="AW60" s="180"/>
    </row>
    <row r="61" spans="1:51" x14ac:dyDescent="0.25">
      <c r="C61" s="11"/>
      <c r="D61" s="11"/>
    </row>
    <row r="62" spans="1:51" x14ac:dyDescent="0.25">
      <c r="C62" s="30" t="s">
        <v>27</v>
      </c>
      <c r="D62" s="30"/>
      <c r="E62" s="45" t="str">
        <f t="shared" ref="E62:K62" si="57">E$9</f>
        <v>Jul-20A</v>
      </c>
      <c r="F62" s="45" t="str">
        <f t="shared" si="57"/>
        <v>Aug-20A</v>
      </c>
      <c r="G62" s="45" t="str">
        <f t="shared" si="57"/>
        <v>Sep-20A</v>
      </c>
      <c r="H62" s="45" t="str">
        <f t="shared" si="57"/>
        <v>Oct-20A</v>
      </c>
      <c r="I62" s="45" t="str">
        <f t="shared" si="57"/>
        <v>Nov-20A</v>
      </c>
      <c r="J62" s="45" t="str">
        <f t="shared" si="57"/>
        <v>Dec-20A</v>
      </c>
      <c r="K62" s="45" t="str">
        <f t="shared" si="57"/>
        <v>Jan-21A</v>
      </c>
      <c r="L62" s="45" t="str">
        <f t="shared" ref="L62:AH62" si="58">L$9</f>
        <v>Feb-21A</v>
      </c>
      <c r="M62" s="45" t="str">
        <f t="shared" si="58"/>
        <v>Mar-21A</v>
      </c>
      <c r="N62" s="45" t="str">
        <f t="shared" si="58"/>
        <v>Apr-21A</v>
      </c>
      <c r="O62" s="45" t="str">
        <f t="shared" si="58"/>
        <v>May-21A</v>
      </c>
      <c r="P62" s="46" t="str">
        <f t="shared" si="58"/>
        <v>Jun-21A</v>
      </c>
      <c r="Q62" s="45" t="str">
        <f t="shared" si="58"/>
        <v>Jul-21F</v>
      </c>
      <c r="R62" s="45" t="str">
        <f t="shared" si="58"/>
        <v>Aug-21F</v>
      </c>
      <c r="S62" s="45" t="str">
        <f t="shared" si="58"/>
        <v>Sep-21F</v>
      </c>
      <c r="T62" s="45" t="str">
        <f t="shared" si="58"/>
        <v>Oct-21F</v>
      </c>
      <c r="U62" s="45" t="str">
        <f t="shared" si="58"/>
        <v>Nov-21F</v>
      </c>
      <c r="V62" s="45" t="str">
        <f t="shared" si="58"/>
        <v>Dec-21F</v>
      </c>
      <c r="W62" s="45" t="str">
        <f t="shared" si="58"/>
        <v>Jan-22F</v>
      </c>
      <c r="X62" s="45" t="str">
        <f t="shared" si="58"/>
        <v>Feb-22F</v>
      </c>
      <c r="Y62" s="45" t="str">
        <f t="shared" si="58"/>
        <v>Mar-22F</v>
      </c>
      <c r="Z62" s="45" t="str">
        <f t="shared" si="58"/>
        <v>Apr-22F</v>
      </c>
      <c r="AA62" s="45" t="str">
        <f t="shared" si="58"/>
        <v>May-22F</v>
      </c>
      <c r="AB62" s="45" t="str">
        <f t="shared" si="58"/>
        <v>Jun-22F</v>
      </c>
      <c r="AC62" s="45" t="str">
        <f t="shared" si="58"/>
        <v>Jul-22F</v>
      </c>
      <c r="AD62" s="45" t="str">
        <f t="shared" si="58"/>
        <v>Aug-22F</v>
      </c>
      <c r="AE62" s="45" t="str">
        <f t="shared" si="58"/>
        <v>Sep-22F</v>
      </c>
      <c r="AF62" s="45" t="str">
        <f t="shared" si="58"/>
        <v>Oct-22F</v>
      </c>
      <c r="AG62" s="45" t="str">
        <f t="shared" si="58"/>
        <v>Nov-22F</v>
      </c>
      <c r="AH62" s="45" t="str">
        <f t="shared" si="58"/>
        <v>Dec-22F</v>
      </c>
      <c r="AJ62" s="45" t="str">
        <f ca="1">AJ$10</f>
        <v>Q3'20A</v>
      </c>
      <c r="AK62" s="45" t="str">
        <f t="shared" ref="AK62:AW62" ca="1" si="59">AK$10</f>
        <v>Q4'20A</v>
      </c>
      <c r="AL62" s="45" t="str">
        <f t="shared" ca="1" si="59"/>
        <v>Q1'21A</v>
      </c>
      <c r="AM62" s="46" t="str">
        <f t="shared" ca="1" si="59"/>
        <v>Q2'21A</v>
      </c>
      <c r="AN62" s="45" t="str">
        <f t="shared" ca="1" si="59"/>
        <v>Q3'21F</v>
      </c>
      <c r="AO62" s="45" t="str">
        <f t="shared" ca="1" si="59"/>
        <v>Q4'21F</v>
      </c>
      <c r="AP62" s="45" t="str">
        <f t="shared" ca="1" si="59"/>
        <v>Q1'22F</v>
      </c>
      <c r="AQ62" s="45" t="str">
        <f t="shared" ca="1" si="59"/>
        <v>Q2'22F</v>
      </c>
      <c r="AR62" s="45" t="str">
        <f t="shared" ca="1" si="59"/>
        <v>Q3'22F</v>
      </c>
      <c r="AS62" s="45" t="str">
        <f t="shared" ca="1" si="59"/>
        <v>Q4'22F</v>
      </c>
      <c r="AU62" s="45" t="str">
        <f t="shared" ca="1" si="59"/>
        <v>FY20</v>
      </c>
      <c r="AV62" s="45" t="str">
        <f t="shared" ca="1" si="59"/>
        <v>FY21</v>
      </c>
      <c r="AW62" s="45" t="str">
        <f t="shared" ca="1" si="59"/>
        <v>FY22</v>
      </c>
    </row>
    <row r="63" spans="1:51" x14ac:dyDescent="0.25">
      <c r="C63" s="1" t="s">
        <v>32</v>
      </c>
      <c r="D63" s="1"/>
      <c r="E63" s="37">
        <v>20</v>
      </c>
      <c r="F63" s="37">
        <v>20</v>
      </c>
      <c r="G63" s="37">
        <v>20</v>
      </c>
      <c r="H63" s="37">
        <v>20</v>
      </c>
      <c r="I63" s="37">
        <v>20</v>
      </c>
      <c r="J63" s="37">
        <v>20</v>
      </c>
      <c r="K63" s="37">
        <v>20</v>
      </c>
      <c r="L63" s="37">
        <v>20</v>
      </c>
      <c r="M63" s="37">
        <v>20</v>
      </c>
      <c r="N63" s="37">
        <v>20</v>
      </c>
      <c r="O63" s="37">
        <v>20</v>
      </c>
      <c r="P63" s="32">
        <v>20</v>
      </c>
      <c r="Q63" s="37">
        <v>20</v>
      </c>
      <c r="R63" s="37">
        <v>20</v>
      </c>
      <c r="S63" s="37">
        <v>20</v>
      </c>
      <c r="T63" s="37">
        <v>20</v>
      </c>
      <c r="U63" s="37">
        <v>20</v>
      </c>
      <c r="V63" s="37">
        <v>20</v>
      </c>
      <c r="W63" s="37">
        <v>20</v>
      </c>
      <c r="X63" s="37">
        <v>20</v>
      </c>
      <c r="Y63" s="37">
        <v>20</v>
      </c>
      <c r="Z63" s="37">
        <v>20</v>
      </c>
      <c r="AA63" s="37">
        <v>20</v>
      </c>
      <c r="AB63" s="37">
        <v>20</v>
      </c>
      <c r="AC63" s="37">
        <v>20</v>
      </c>
      <c r="AD63" s="37">
        <v>20</v>
      </c>
      <c r="AE63" s="37">
        <v>20</v>
      </c>
      <c r="AF63" s="37">
        <v>20</v>
      </c>
      <c r="AG63" s="37">
        <v>20</v>
      </c>
      <c r="AH63" s="37">
        <v>20</v>
      </c>
      <c r="AJ63" s="13" cm="1">
        <f t="array" aca="1" ref="AJ63" ca="1">SUMPRODUCT(($E63:$AH63)*(AJ$3&amp;AJ$4&amp;AJ$5&amp;AJ$6=$E$3:$AH$3&amp;$E$4:$AH$4&amp;$E$5:$AH$5&amp;$E$6:$AH$6))</f>
        <v>60</v>
      </c>
      <c r="AK63" s="13" cm="1">
        <f t="array" aca="1" ref="AK63" ca="1">SUMPRODUCT(($E63:$AH63)*(AK$3=$E$3:$AH$3)*(AK$4=$E$4:$AH$4)*(AK$5=$E$5:$AH$5)*(AK$6=$E$6:$AH$6))</f>
        <v>60</v>
      </c>
      <c r="AL63" s="13" cm="1">
        <f t="array" aca="1" ref="AL63" ca="1">SUMPRODUCT(($E63:$AH63)*(AL$3=$E$3:$AH$3)*(AL$4=$E$4:$AH$4)*(AL$5=$E$5:$AH$5)*(AL$6=$E$6:$AH$6))</f>
        <v>60</v>
      </c>
      <c r="AM63" s="17" cm="1">
        <f t="array" aca="1" ref="AM63" ca="1">SUMPRODUCT(($E63:$AH63)*(AM$3=$E$3:$AH$3)*(AM$4=$E$4:$AH$4)*(AM$5=$E$5:$AH$5)*(AM$6=$E$6:$AH$6))</f>
        <v>60</v>
      </c>
      <c r="AN63" s="13" cm="1">
        <f t="array" aca="1" ref="AN63" ca="1">SUMPRODUCT(($E63:$AH63)*(AN$3=$E$3:$AH$3)*(AN$4=$E$4:$AH$4)*(AN$5=$E$5:$AH$5)*(AN$6=$E$6:$AH$6))</f>
        <v>60</v>
      </c>
      <c r="AO63" s="13" cm="1">
        <f t="array" aca="1" ref="AO63" ca="1">SUMPRODUCT(($E63:$AH63)*(AO$3=$E$3:$AH$3)*(AO$4=$E$4:$AH$4)*(AO$5=$E$5:$AH$5)*(AO$6=$E$6:$AH$6))</f>
        <v>60</v>
      </c>
      <c r="AP63" s="13" cm="1">
        <f t="array" aca="1" ref="AP63" ca="1">SUMPRODUCT(($E63:$AH63)*(AP$3=$E$3:$AH$3)*(AP$4=$E$4:$AH$4)*(AP$5=$E$5:$AH$5)*(AP$6=$E$6:$AH$6))</f>
        <v>60</v>
      </c>
      <c r="AQ63" s="13" cm="1">
        <f t="array" aca="1" ref="AQ63" ca="1">SUMPRODUCT(($E63:$AH63)*(AQ$3=$E$3:$AH$3)*(AQ$4=$E$4:$AH$4)*(AQ$5=$E$5:$AH$5)*(AQ$6=$E$6:$AH$6))</f>
        <v>60</v>
      </c>
      <c r="AR63" s="13" cm="1">
        <f t="array" aca="1" ref="AR63" ca="1">SUMPRODUCT(($E63:$AH63)*(AR$3=$E$3:$AH$3)*(AR$4=$E$4:$AH$4)*(AR$5=$E$5:$AH$5)*(AR$6=$E$6:$AH$6))</f>
        <v>60</v>
      </c>
      <c r="AS63" s="13" cm="1">
        <f t="array" aca="1" ref="AS63" ca="1">SUMPRODUCT(($E63:$AH63)*(AS$3=$E$3:$AH$3)*(AS$4=$E$4:$AH$4)*(AS$5=$E$5:$AH$5)*(AS$6=$E$6:$AH$6))</f>
        <v>60</v>
      </c>
      <c r="AT63" s="13"/>
      <c r="AU63" s="13" cm="1">
        <f t="array" aca="1" ref="AU63" ca="1">SUMPRODUCT(($E63:$AH63)*(AU$5=$E$5:$AH$5))</f>
        <v>120</v>
      </c>
      <c r="AV63" s="13" cm="1">
        <f t="array" aca="1" ref="AV63" ca="1">SUMPRODUCT(($E63:$AH63)*(AV$5=$E$5:$AH$5))</f>
        <v>240</v>
      </c>
      <c r="AW63" s="13" cm="1">
        <f t="array" aca="1" ref="AW63" ca="1">SUMPRODUCT(($E63:$AH63)*(AW$5=$E$5:$AH$5))</f>
        <v>240</v>
      </c>
      <c r="AY63" t="s">
        <v>37</v>
      </c>
    </row>
    <row r="64" spans="1:51" x14ac:dyDescent="0.25">
      <c r="C64" s="1"/>
      <c r="D64" s="1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3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M64" s="8"/>
    </row>
    <row r="65" spans="2:51" x14ac:dyDescent="0.25">
      <c r="C65" s="42" t="s">
        <v>603</v>
      </c>
      <c r="D65" s="42"/>
      <c r="E65" s="80">
        <f>Revenue!E48</f>
        <v>562156.14399295638</v>
      </c>
      <c r="F65" s="80">
        <f>Revenue!F48</f>
        <v>510019.4799592988</v>
      </c>
      <c r="G65" s="80">
        <f>Revenue!G48</f>
        <v>445820.06756894174</v>
      </c>
      <c r="H65" s="80">
        <f>Revenue!H48</f>
        <v>482398.56433098071</v>
      </c>
      <c r="I65" s="80">
        <f>Revenue!I48</f>
        <v>436327.2045244457</v>
      </c>
      <c r="J65" s="81">
        <f>Revenue!J48</f>
        <v>499924.43905241793</v>
      </c>
      <c r="K65" s="80">
        <f>Revenue!K48</f>
        <v>552765.61098046007</v>
      </c>
      <c r="L65" s="80">
        <f>Revenue!L48</f>
        <v>501178.11713189777</v>
      </c>
      <c r="M65" s="80">
        <f>Revenue!M48</f>
        <v>446926.32853247412</v>
      </c>
      <c r="N65" s="80">
        <f>Revenue!N48</f>
        <v>547431.37831900653</v>
      </c>
      <c r="O65" s="80">
        <f>Revenue!O48</f>
        <v>528162.20087648602</v>
      </c>
      <c r="P65" s="82">
        <f>Revenue!P48</f>
        <v>564446.39314614469</v>
      </c>
      <c r="Q65" s="81">
        <f>Revenue!Q48</f>
        <v>587994.52948646969</v>
      </c>
      <c r="R65" s="81">
        <f>Revenue!R48</f>
        <v>533577.84208116191</v>
      </c>
      <c r="S65" s="81">
        <f>Revenue!S48</f>
        <v>466438.41506550455</v>
      </c>
      <c r="T65" s="81">
        <f>Revenue!T48</f>
        <v>504788.95606071199</v>
      </c>
      <c r="U65" s="81">
        <f>Revenue!U48</f>
        <v>456603.6797789869</v>
      </c>
      <c r="V65" s="81">
        <f>Revenue!V48</f>
        <v>523079.80223329831</v>
      </c>
      <c r="W65" s="81">
        <f>Revenue!W48</f>
        <v>578335.72805929102</v>
      </c>
      <c r="X65" s="81">
        <f>Revenue!X48</f>
        <v>524334.7196004251</v>
      </c>
      <c r="Y65" s="81">
        <f>Revenue!Y48</f>
        <v>467560.13096466631</v>
      </c>
      <c r="Z65" s="81">
        <f>Revenue!Z48</f>
        <v>572773.8595834733</v>
      </c>
      <c r="AA65" s="81">
        <f>Revenue!AA48</f>
        <v>552512.38495409349</v>
      </c>
      <c r="AB65" s="81">
        <f>Revenue!AB48</f>
        <v>590538.35370230279</v>
      </c>
      <c r="AC65" s="81">
        <f>Revenue!AC48</f>
        <v>615115.67559824907</v>
      </c>
      <c r="AD65" s="81">
        <f>Revenue!AD48</f>
        <v>558311.92250331491</v>
      </c>
      <c r="AE65" s="81">
        <f>Revenue!AE48</f>
        <v>488088.28604118986</v>
      </c>
      <c r="AF65" s="81">
        <f>Revenue!AF48</f>
        <v>528301.08785546653</v>
      </c>
      <c r="AG65" s="81">
        <f>Revenue!AG48</f>
        <v>477897.25248702377</v>
      </c>
      <c r="AH65" s="81">
        <f>Revenue!AH48</f>
        <v>547393.92870528845</v>
      </c>
      <c r="AM65" s="8"/>
      <c r="AY65" t="s">
        <v>36</v>
      </c>
    </row>
    <row r="66" spans="2:51" x14ac:dyDescent="0.25">
      <c r="C66" s="42" t="s">
        <v>34</v>
      </c>
      <c r="D66" s="42"/>
      <c r="E66" s="142">
        <f>E67*1000/E65</f>
        <v>3.0000000000000002E-2</v>
      </c>
      <c r="F66" s="143">
        <f t="shared" ref="F66:P66" si="60">F67*1000/F65</f>
        <v>0.03</v>
      </c>
      <c r="G66" s="143">
        <f t="shared" si="60"/>
        <v>0.03</v>
      </c>
      <c r="H66" s="143">
        <f t="shared" si="60"/>
        <v>0.03</v>
      </c>
      <c r="I66" s="143">
        <f t="shared" si="60"/>
        <v>0.03</v>
      </c>
      <c r="J66" s="143">
        <f t="shared" si="60"/>
        <v>0.03</v>
      </c>
      <c r="K66" s="142">
        <f t="shared" si="60"/>
        <v>0.03</v>
      </c>
      <c r="L66" s="143">
        <f t="shared" si="60"/>
        <v>0.03</v>
      </c>
      <c r="M66" s="143">
        <f t="shared" si="60"/>
        <v>0.03</v>
      </c>
      <c r="N66" s="143">
        <f t="shared" si="60"/>
        <v>0.03</v>
      </c>
      <c r="O66" s="143">
        <f t="shared" si="60"/>
        <v>0.03</v>
      </c>
      <c r="P66" s="144">
        <f t="shared" si="60"/>
        <v>0.03</v>
      </c>
      <c r="Q66" s="145">
        <f>AVERAGE(K66:P66)</f>
        <v>0.03</v>
      </c>
      <c r="R66" s="145">
        <f>Q66</f>
        <v>0.03</v>
      </c>
      <c r="S66" s="145">
        <f t="shared" ref="S66:AH66" si="61">R66</f>
        <v>0.03</v>
      </c>
      <c r="T66" s="145">
        <f t="shared" si="61"/>
        <v>0.03</v>
      </c>
      <c r="U66" s="145">
        <f t="shared" si="61"/>
        <v>0.03</v>
      </c>
      <c r="V66" s="145">
        <f t="shared" si="61"/>
        <v>0.03</v>
      </c>
      <c r="W66" s="145">
        <f t="shared" si="61"/>
        <v>0.03</v>
      </c>
      <c r="X66" s="145">
        <f t="shared" si="61"/>
        <v>0.03</v>
      </c>
      <c r="Y66" s="145">
        <f t="shared" si="61"/>
        <v>0.03</v>
      </c>
      <c r="Z66" s="145">
        <f t="shared" si="61"/>
        <v>0.03</v>
      </c>
      <c r="AA66" s="145">
        <f t="shared" si="61"/>
        <v>0.03</v>
      </c>
      <c r="AB66" s="145">
        <f t="shared" si="61"/>
        <v>0.03</v>
      </c>
      <c r="AC66" s="145">
        <f t="shared" si="61"/>
        <v>0.03</v>
      </c>
      <c r="AD66" s="145">
        <f t="shared" si="61"/>
        <v>0.03</v>
      </c>
      <c r="AE66" s="145">
        <f t="shared" si="61"/>
        <v>0.03</v>
      </c>
      <c r="AF66" s="145">
        <f t="shared" si="61"/>
        <v>0.03</v>
      </c>
      <c r="AG66" s="145">
        <f t="shared" si="61"/>
        <v>0.03</v>
      </c>
      <c r="AH66" s="145">
        <f t="shared" si="61"/>
        <v>0.03</v>
      </c>
      <c r="AM66" s="8"/>
      <c r="AY66" t="s">
        <v>38</v>
      </c>
    </row>
    <row r="67" spans="2:51" x14ac:dyDescent="0.25">
      <c r="C67" s="1" t="s">
        <v>33</v>
      </c>
      <c r="D67" s="1"/>
      <c r="E67" s="37">
        <f>E65*0.03/1000</f>
        <v>16.86468431978869</v>
      </c>
      <c r="F67" s="37">
        <f t="shared" ref="F67:P67" si="62">F65*0.03/1000</f>
        <v>15.300584398778962</v>
      </c>
      <c r="G67" s="37">
        <f t="shared" si="62"/>
        <v>13.374602027068251</v>
      </c>
      <c r="H67" s="37">
        <f t="shared" si="62"/>
        <v>14.471956929929419</v>
      </c>
      <c r="I67" s="37">
        <f t="shared" si="62"/>
        <v>13.08981613573337</v>
      </c>
      <c r="J67" s="37">
        <f t="shared" si="62"/>
        <v>14.997733171572538</v>
      </c>
      <c r="K67" s="37">
        <f t="shared" si="62"/>
        <v>16.582968329413802</v>
      </c>
      <c r="L67" s="37">
        <f t="shared" si="62"/>
        <v>15.035343513956931</v>
      </c>
      <c r="M67" s="37">
        <f t="shared" si="62"/>
        <v>13.407789855974222</v>
      </c>
      <c r="N67" s="37">
        <f t="shared" si="62"/>
        <v>16.422941349570195</v>
      </c>
      <c r="O67" s="37">
        <f t="shared" si="62"/>
        <v>15.84486602629458</v>
      </c>
      <c r="P67" s="32">
        <f t="shared" si="62"/>
        <v>16.933391794384342</v>
      </c>
      <c r="Q67" s="13">
        <f>Q65*Q66/1000</f>
        <v>17.639835884594088</v>
      </c>
      <c r="R67" s="13">
        <f t="shared" ref="R67:AH67" si="63">R65*R66/1000</f>
        <v>16.007335262434857</v>
      </c>
      <c r="S67" s="13">
        <f t="shared" si="63"/>
        <v>13.993152451965136</v>
      </c>
      <c r="T67" s="13">
        <f t="shared" si="63"/>
        <v>15.143668681821358</v>
      </c>
      <c r="U67" s="13">
        <f t="shared" si="63"/>
        <v>13.698110393369607</v>
      </c>
      <c r="V67" s="13">
        <f t="shared" si="63"/>
        <v>15.692394066998947</v>
      </c>
      <c r="W67" s="13">
        <f t="shared" si="63"/>
        <v>17.350071841778728</v>
      </c>
      <c r="X67" s="13">
        <f t="shared" si="63"/>
        <v>15.730041588012753</v>
      </c>
      <c r="Y67" s="13">
        <f t="shared" si="63"/>
        <v>14.026803928939989</v>
      </c>
      <c r="Z67" s="13">
        <f t="shared" si="63"/>
        <v>17.183215787504199</v>
      </c>
      <c r="AA67" s="13">
        <f t="shared" si="63"/>
        <v>16.575371548622805</v>
      </c>
      <c r="AB67" s="13">
        <f t="shared" si="63"/>
        <v>17.716150611069082</v>
      </c>
      <c r="AC67" s="13">
        <f t="shared" si="63"/>
        <v>18.453470267947473</v>
      </c>
      <c r="AD67" s="13">
        <f t="shared" si="63"/>
        <v>16.749357675099446</v>
      </c>
      <c r="AE67" s="13">
        <f t="shared" si="63"/>
        <v>14.642648581235695</v>
      </c>
      <c r="AF67" s="13">
        <f t="shared" si="63"/>
        <v>15.849032635663994</v>
      </c>
      <c r="AG67" s="13">
        <f t="shared" si="63"/>
        <v>14.336917574610712</v>
      </c>
      <c r="AH67" s="13">
        <f t="shared" si="63"/>
        <v>16.421817861158651</v>
      </c>
      <c r="AJ67" s="13" cm="1">
        <f t="array" aca="1" ref="AJ67" ca="1">SUMPRODUCT(($E67:$AH67)*(AJ$3&amp;AJ$4&amp;AJ$5&amp;AJ$6=$E$3:$AH$3&amp;$E$4:$AH$4&amp;$E$5:$AH$5&amp;$E$6:$AH$6))</f>
        <v>45.539870745635902</v>
      </c>
      <c r="AK67" s="13" cm="1">
        <f t="array" aca="1" ref="AK67" ca="1">SUMPRODUCT(($E67:$AH67)*(AK$3=$E$3:$AH$3)*(AK$4=$E$4:$AH$4)*(AK$5=$E$5:$AH$5)*(AK$6=$E$6:$AH$6))</f>
        <v>42.559506237235325</v>
      </c>
      <c r="AL67" s="13" cm="1">
        <f t="array" aca="1" ref="AL67" ca="1">SUMPRODUCT(($E67:$AH67)*(AL$3=$E$3:$AH$3)*(AL$4=$E$4:$AH$4)*(AL$5=$E$5:$AH$5)*(AL$6=$E$6:$AH$6))</f>
        <v>45.026101699344956</v>
      </c>
      <c r="AM67" s="17" cm="1">
        <f t="array" aca="1" ref="AM67" ca="1">SUMPRODUCT(($E67:$AH67)*(AM$3=$E$3:$AH$3)*(AM$4=$E$4:$AH$4)*(AM$5=$E$5:$AH$5)*(AM$6=$E$6:$AH$6))</f>
        <v>49.201199170249119</v>
      </c>
      <c r="AN67" s="13" cm="1">
        <f t="array" aca="1" ref="AN67" ca="1">SUMPRODUCT(($E67:$AH67)*(AN$3=$E$3:$AH$3)*(AN$4=$E$4:$AH$4)*(AN$5=$E$5:$AH$5)*(AN$6=$E$6:$AH$6))</f>
        <v>47.64032359899408</v>
      </c>
      <c r="AO67" s="13" cm="1">
        <f t="array" aca="1" ref="AO67" ca="1">SUMPRODUCT(($E67:$AH67)*(AO$3=$E$3:$AH$3)*(AO$4=$E$4:$AH$4)*(AO$5=$E$5:$AH$5)*(AO$6=$E$6:$AH$6))</f>
        <v>44.534173142189914</v>
      </c>
      <c r="AP67" s="13" cm="1">
        <f t="array" aca="1" ref="AP67" ca="1">SUMPRODUCT(($E67:$AH67)*(AP$3=$E$3:$AH$3)*(AP$4=$E$4:$AH$4)*(AP$5=$E$5:$AH$5)*(AP$6=$E$6:$AH$6))</f>
        <v>47.106917358731472</v>
      </c>
      <c r="AQ67" s="13" cm="1">
        <f t="array" aca="1" ref="AQ67" ca="1">SUMPRODUCT(($E67:$AH67)*(AQ$3=$E$3:$AH$3)*(AQ$4=$E$4:$AH$4)*(AQ$5=$E$5:$AH$5)*(AQ$6=$E$6:$AH$6))</f>
        <v>51.47473794719609</v>
      </c>
      <c r="AR67" s="13" cm="1">
        <f t="array" aca="1" ref="AR67" ca="1">SUMPRODUCT(($E67:$AH67)*(AR$3=$E$3:$AH$3)*(AR$4=$E$4:$AH$4)*(AR$5=$E$5:$AH$5)*(AR$6=$E$6:$AH$6))</f>
        <v>49.845476524282617</v>
      </c>
      <c r="AS67" s="13" cm="1">
        <f t="array" aca="1" ref="AS67" ca="1">SUMPRODUCT(($E67:$AH67)*(AS$3=$E$3:$AH$3)*(AS$4=$E$4:$AH$4)*(AS$5=$E$5:$AH$5)*(AS$6=$E$6:$AH$6))</f>
        <v>46.607768071433355</v>
      </c>
      <c r="AU67" s="13" cm="1">
        <f t="array" aca="1" ref="AU67" ca="1">SUMPRODUCT(($E67:$AH67)*(AU$5=$E$5:$AH$5))</f>
        <v>88.09937698287122</v>
      </c>
      <c r="AV67" s="13" cm="1">
        <f t="array" aca="1" ref="AV67" ca="1">SUMPRODUCT(($E67:$AH67)*(AV$5=$E$5:$AH$5))</f>
        <v>186.40179761077809</v>
      </c>
      <c r="AW67" s="13" cm="1">
        <f t="array" aca="1" ref="AW67" ca="1">SUMPRODUCT(($E67:$AH67)*(AW$5=$E$5:$AH$5))</f>
        <v>195.03489990164354</v>
      </c>
    </row>
    <row r="68" spans="2:51" x14ac:dyDescent="0.25"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8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J68" s="27"/>
      <c r="AK68" s="27"/>
      <c r="AL68" s="27"/>
      <c r="AM68" s="28"/>
      <c r="AN68" s="27"/>
      <c r="AO68" s="27"/>
      <c r="AP68" s="27"/>
      <c r="AQ68" s="27"/>
      <c r="AR68" s="27"/>
      <c r="AS68" s="27"/>
      <c r="AU68" s="27"/>
      <c r="AV68" s="27"/>
      <c r="AW68" s="27"/>
    </row>
    <row r="69" spans="2:51" x14ac:dyDescent="0.25">
      <c r="B69" t="s">
        <v>231</v>
      </c>
      <c r="C69" t="s">
        <v>35</v>
      </c>
      <c r="E69" s="231">
        <f t="shared" ref="E69:AH69" si="64">E63+E67</f>
        <v>36.864684319788694</v>
      </c>
      <c r="F69" s="231">
        <f t="shared" si="64"/>
        <v>35.300584398778966</v>
      </c>
      <c r="G69" s="231">
        <f t="shared" si="64"/>
        <v>33.374602027068249</v>
      </c>
      <c r="H69" s="231">
        <f t="shared" si="64"/>
        <v>34.471956929929419</v>
      </c>
      <c r="I69" s="231">
        <f t="shared" si="64"/>
        <v>33.089816135733372</v>
      </c>
      <c r="J69" s="231">
        <f t="shared" si="64"/>
        <v>34.997733171572534</v>
      </c>
      <c r="K69" s="231">
        <f t="shared" si="64"/>
        <v>36.582968329413802</v>
      </c>
      <c r="L69" s="231">
        <f t="shared" si="64"/>
        <v>35.035343513956931</v>
      </c>
      <c r="M69" s="231">
        <f t="shared" si="64"/>
        <v>33.407789855974222</v>
      </c>
      <c r="N69" s="231">
        <f t="shared" si="64"/>
        <v>36.422941349570195</v>
      </c>
      <c r="O69" s="231">
        <f t="shared" si="64"/>
        <v>35.844866026294582</v>
      </c>
      <c r="P69" s="301">
        <f t="shared" si="64"/>
        <v>36.933391794384342</v>
      </c>
      <c r="Q69" s="231">
        <f t="shared" si="64"/>
        <v>37.639835884594092</v>
      </c>
      <c r="R69" s="231">
        <f t="shared" si="64"/>
        <v>36.007335262434857</v>
      </c>
      <c r="S69" s="231">
        <f t="shared" si="64"/>
        <v>33.993152451965138</v>
      </c>
      <c r="T69" s="231">
        <f t="shared" si="64"/>
        <v>35.14366868182136</v>
      </c>
      <c r="U69" s="231">
        <f t="shared" si="64"/>
        <v>33.698110393369603</v>
      </c>
      <c r="V69" s="231">
        <f t="shared" si="64"/>
        <v>35.692394066998943</v>
      </c>
      <c r="W69" s="231">
        <f t="shared" si="64"/>
        <v>37.350071841778728</v>
      </c>
      <c r="X69" s="231">
        <f t="shared" si="64"/>
        <v>35.730041588012753</v>
      </c>
      <c r="Y69" s="231">
        <f t="shared" si="64"/>
        <v>34.026803928939991</v>
      </c>
      <c r="Z69" s="231">
        <f t="shared" si="64"/>
        <v>37.183215787504196</v>
      </c>
      <c r="AA69" s="231">
        <f t="shared" si="64"/>
        <v>36.575371548622805</v>
      </c>
      <c r="AB69" s="231">
        <f t="shared" si="64"/>
        <v>37.716150611069082</v>
      </c>
      <c r="AC69" s="231">
        <f t="shared" si="64"/>
        <v>38.453470267947473</v>
      </c>
      <c r="AD69" s="231">
        <f t="shared" si="64"/>
        <v>36.749357675099446</v>
      </c>
      <c r="AE69" s="231">
        <f t="shared" si="64"/>
        <v>34.642648581235697</v>
      </c>
      <c r="AF69" s="231">
        <f t="shared" si="64"/>
        <v>35.849032635663995</v>
      </c>
      <c r="AG69" s="231">
        <f t="shared" si="64"/>
        <v>34.336917574610709</v>
      </c>
      <c r="AH69" s="231">
        <f t="shared" si="64"/>
        <v>36.421817861158651</v>
      </c>
      <c r="AJ69" s="159">
        <f t="shared" ref="AJ69:AW69" ca="1" si="65">AJ63+AJ67</f>
        <v>105.53987074563591</v>
      </c>
      <c r="AK69" s="159">
        <f t="shared" ca="1" si="65"/>
        <v>102.55950623723533</v>
      </c>
      <c r="AL69" s="159">
        <f t="shared" ca="1" si="65"/>
        <v>105.02610169934496</v>
      </c>
      <c r="AM69" s="160">
        <f t="shared" ca="1" si="65"/>
        <v>109.20119917024911</v>
      </c>
      <c r="AN69" s="159">
        <f t="shared" ca="1" si="65"/>
        <v>107.64032359899409</v>
      </c>
      <c r="AO69" s="159">
        <f t="shared" ca="1" si="65"/>
        <v>104.53417314218991</v>
      </c>
      <c r="AP69" s="159">
        <f t="shared" ca="1" si="65"/>
        <v>107.10691735873147</v>
      </c>
      <c r="AQ69" s="159">
        <f t="shared" ca="1" si="65"/>
        <v>111.47473794719609</v>
      </c>
      <c r="AR69" s="159">
        <f t="shared" ca="1" si="65"/>
        <v>109.84547652428262</v>
      </c>
      <c r="AS69" s="159">
        <f t="shared" ca="1" si="65"/>
        <v>106.60776807143336</v>
      </c>
      <c r="AU69" s="159">
        <f t="shared" ca="1" si="65"/>
        <v>208.09937698287121</v>
      </c>
      <c r="AV69" s="159">
        <f t="shared" ca="1" si="65"/>
        <v>426.40179761077809</v>
      </c>
      <c r="AW69" s="159">
        <f t="shared" ca="1" si="65"/>
        <v>435.03489990164354</v>
      </c>
    </row>
    <row r="70" spans="2:51" x14ac:dyDescent="0.25">
      <c r="P70" s="8"/>
      <c r="AM70" s="8"/>
    </row>
    <row r="71" spans="2:51" x14ac:dyDescent="0.25">
      <c r="C71" s="30" t="s">
        <v>28</v>
      </c>
      <c r="D71" s="30"/>
      <c r="E71" s="45" t="str">
        <f t="shared" ref="E71:AH71" si="66">E$9</f>
        <v>Jul-20A</v>
      </c>
      <c r="F71" s="45" t="str">
        <f t="shared" si="66"/>
        <v>Aug-20A</v>
      </c>
      <c r="G71" s="45" t="str">
        <f t="shared" si="66"/>
        <v>Sep-20A</v>
      </c>
      <c r="H71" s="45" t="str">
        <f t="shared" si="66"/>
        <v>Oct-20A</v>
      </c>
      <c r="I71" s="45" t="str">
        <f t="shared" si="66"/>
        <v>Nov-20A</v>
      </c>
      <c r="J71" s="45" t="str">
        <f t="shared" si="66"/>
        <v>Dec-20A</v>
      </c>
      <c r="K71" s="45" t="str">
        <f t="shared" si="66"/>
        <v>Jan-21A</v>
      </c>
      <c r="L71" s="45" t="str">
        <f t="shared" si="66"/>
        <v>Feb-21A</v>
      </c>
      <c r="M71" s="45" t="str">
        <f t="shared" si="66"/>
        <v>Mar-21A</v>
      </c>
      <c r="N71" s="45" t="str">
        <f t="shared" si="66"/>
        <v>Apr-21A</v>
      </c>
      <c r="O71" s="45" t="str">
        <f t="shared" si="66"/>
        <v>May-21A</v>
      </c>
      <c r="P71" s="46" t="str">
        <f t="shared" si="66"/>
        <v>Jun-21A</v>
      </c>
      <c r="Q71" s="45" t="str">
        <f t="shared" si="66"/>
        <v>Jul-21F</v>
      </c>
      <c r="R71" s="45" t="str">
        <f t="shared" si="66"/>
        <v>Aug-21F</v>
      </c>
      <c r="S71" s="45" t="str">
        <f t="shared" si="66"/>
        <v>Sep-21F</v>
      </c>
      <c r="T71" s="45" t="str">
        <f t="shared" si="66"/>
        <v>Oct-21F</v>
      </c>
      <c r="U71" s="45" t="str">
        <f t="shared" si="66"/>
        <v>Nov-21F</v>
      </c>
      <c r="V71" s="45" t="str">
        <f t="shared" si="66"/>
        <v>Dec-21F</v>
      </c>
      <c r="W71" s="45" t="str">
        <f t="shared" si="66"/>
        <v>Jan-22F</v>
      </c>
      <c r="X71" s="45" t="str">
        <f t="shared" si="66"/>
        <v>Feb-22F</v>
      </c>
      <c r="Y71" s="45" t="str">
        <f t="shared" si="66"/>
        <v>Mar-22F</v>
      </c>
      <c r="Z71" s="45" t="str">
        <f t="shared" si="66"/>
        <v>Apr-22F</v>
      </c>
      <c r="AA71" s="45" t="str">
        <f t="shared" si="66"/>
        <v>May-22F</v>
      </c>
      <c r="AB71" s="45" t="str">
        <f t="shared" si="66"/>
        <v>Jun-22F</v>
      </c>
      <c r="AC71" s="45" t="str">
        <f t="shared" si="66"/>
        <v>Jul-22F</v>
      </c>
      <c r="AD71" s="45" t="str">
        <f t="shared" si="66"/>
        <v>Aug-22F</v>
      </c>
      <c r="AE71" s="45" t="str">
        <f t="shared" si="66"/>
        <v>Sep-22F</v>
      </c>
      <c r="AF71" s="45" t="str">
        <f t="shared" si="66"/>
        <v>Oct-22F</v>
      </c>
      <c r="AG71" s="45" t="str">
        <f t="shared" si="66"/>
        <v>Nov-22F</v>
      </c>
      <c r="AH71" s="45" t="str">
        <f t="shared" si="66"/>
        <v>Dec-22F</v>
      </c>
      <c r="AJ71" s="45" t="str">
        <f ca="1">AJ$10</f>
        <v>Q3'20A</v>
      </c>
      <c r="AK71" s="45" t="str">
        <f t="shared" ref="AK71:AW71" ca="1" si="67">AK$10</f>
        <v>Q4'20A</v>
      </c>
      <c r="AL71" s="45" t="str">
        <f t="shared" ca="1" si="67"/>
        <v>Q1'21A</v>
      </c>
      <c r="AM71" s="46" t="str">
        <f t="shared" ca="1" si="67"/>
        <v>Q2'21A</v>
      </c>
      <c r="AN71" s="45" t="str">
        <f t="shared" ca="1" si="67"/>
        <v>Q3'21F</v>
      </c>
      <c r="AO71" s="45" t="str">
        <f t="shared" ca="1" si="67"/>
        <v>Q4'21F</v>
      </c>
      <c r="AP71" s="45" t="str">
        <f t="shared" ca="1" si="67"/>
        <v>Q1'22F</v>
      </c>
      <c r="AQ71" s="45" t="str">
        <f t="shared" ca="1" si="67"/>
        <v>Q2'22F</v>
      </c>
      <c r="AR71" s="45" t="str">
        <f t="shared" ca="1" si="67"/>
        <v>Q3'22F</v>
      </c>
      <c r="AS71" s="45" t="str">
        <f t="shared" ca="1" si="67"/>
        <v>Q4'22F</v>
      </c>
      <c r="AU71" s="45" t="str">
        <f t="shared" ca="1" si="67"/>
        <v>FY20</v>
      </c>
      <c r="AV71" s="45" t="str">
        <f t="shared" ca="1" si="67"/>
        <v>FY21</v>
      </c>
      <c r="AW71" s="45" t="str">
        <f t="shared" ca="1" si="67"/>
        <v>FY22</v>
      </c>
    </row>
    <row r="72" spans="2:51" x14ac:dyDescent="0.25">
      <c r="C72" s="1" t="s">
        <v>147</v>
      </c>
      <c r="E72" s="33">
        <f>Revenue!E102</f>
        <v>11800.861025656588</v>
      </c>
      <c r="F72" s="33">
        <f>Revenue!F102</f>
        <v>10190.120500067982</v>
      </c>
      <c r="G72" s="33">
        <f>Revenue!G102</f>
        <v>9110.0208712018284</v>
      </c>
      <c r="H72" s="33">
        <f>Revenue!H102</f>
        <v>9044.183038694553</v>
      </c>
      <c r="I72" s="33">
        <f>Revenue!I102</f>
        <v>8440.3097831778141</v>
      </c>
      <c r="J72" s="56">
        <f>Revenue!J102</f>
        <v>10898.81272312327</v>
      </c>
      <c r="K72" s="33">
        <f>Revenue!K102</f>
        <v>11713.015390582983</v>
      </c>
      <c r="L72" s="33">
        <f>Revenue!L102</f>
        <v>10245.271619090556</v>
      </c>
      <c r="M72" s="33">
        <f>Revenue!M102</f>
        <v>9698.6496421278625</v>
      </c>
      <c r="N72" s="33">
        <f>Revenue!N102</f>
        <v>12671.502680935422</v>
      </c>
      <c r="O72" s="33">
        <f>Revenue!O102</f>
        <v>11507.663891162467</v>
      </c>
      <c r="P72" s="34">
        <f>Revenue!P102</f>
        <v>12325.312466077157</v>
      </c>
      <c r="Q72" s="33">
        <f>Revenue!Q102</f>
        <v>12343.264056548505</v>
      </c>
      <c r="R72" s="33">
        <f>Revenue!R102</f>
        <v>10660.813401494373</v>
      </c>
      <c r="S72" s="33">
        <f>Revenue!S102</f>
        <v>9531.3423631831938</v>
      </c>
      <c r="T72" s="33">
        <f>Revenue!T102</f>
        <v>9463.9662140292585</v>
      </c>
      <c r="U72" s="33">
        <f>Revenue!U102</f>
        <v>8832.5377503654036</v>
      </c>
      <c r="V72" s="33">
        <f>Revenue!V102</f>
        <v>11403.620944387001</v>
      </c>
      <c r="W72" s="33">
        <f>Revenue!W102</f>
        <v>12254.842105077967</v>
      </c>
      <c r="X72" s="33">
        <f>Revenue!X102</f>
        <v>10718.647598518899</v>
      </c>
      <c r="Y72" s="33">
        <f>Revenue!Y102</f>
        <v>10146.419235903713</v>
      </c>
      <c r="Z72" s="33">
        <f>Revenue!Z102</f>
        <v>13258.110120703179</v>
      </c>
      <c r="AA72" s="33">
        <f>Revenue!AA102</f>
        <v>12038.208738158386</v>
      </c>
      <c r="AB72" s="33">
        <f>Revenue!AB102</f>
        <v>12895.059337723731</v>
      </c>
      <c r="AC72" s="33">
        <f>Revenue!AC102</f>
        <v>12912.594979178508</v>
      </c>
      <c r="AD72" s="33">
        <f>Revenue!AD102</f>
        <v>11154.996996168495</v>
      </c>
      <c r="AE72" s="33">
        <f>Revenue!AE102</f>
        <v>9973.7423150804207</v>
      </c>
      <c r="AF72" s="33">
        <f>Revenue!AF102</f>
        <v>9904.7801784667026</v>
      </c>
      <c r="AG72" s="33">
        <f>Revenue!AG102</f>
        <v>9244.4404421591335</v>
      </c>
      <c r="AH72" s="33">
        <f>Revenue!AH102</f>
        <v>11933.691271508513</v>
      </c>
      <c r="AJ72" s="13" cm="1">
        <f t="array" aca="1" ref="AJ72" ca="1">SUMPRODUCT(($E72:$AH72)*(AJ$3&amp;AJ$4&amp;AJ$5&amp;AJ$6=$E$3:$AH$3&amp;$E$4:$AH$4&amp;$E$5:$AH$5&amp;$E$6:$AH$6))</f>
        <v>31101.0023969264</v>
      </c>
      <c r="AK72" s="13" cm="1">
        <f t="array" aca="1" ref="AK72" ca="1">SUMPRODUCT(($E72:$AH72)*(AK$3=$E$3:$AH$3)*(AK$4=$E$4:$AH$4)*(AK$5=$E$5:$AH$5)*(AK$6=$E$6:$AH$6))</f>
        <v>28383.305544995637</v>
      </c>
      <c r="AL72" s="13" cm="1">
        <f t="array" aca="1" ref="AL72" ca="1">SUMPRODUCT(($E72:$AH72)*(AL$3=$E$3:$AH$3)*(AL$4=$E$4:$AH$4)*(AL$5=$E$5:$AH$5)*(AL$6=$E$6:$AH$6))</f>
        <v>31656.936651801399</v>
      </c>
      <c r="AM72" s="17" cm="1">
        <f t="array" aca="1" ref="AM72" ca="1">SUMPRODUCT(($E72:$AH72)*(AM$3=$E$3:$AH$3)*(AM$4=$E$4:$AH$4)*(AM$5=$E$5:$AH$5)*(AM$6=$E$6:$AH$6))</f>
        <v>36504.47903817505</v>
      </c>
      <c r="AN72" s="13" cm="1">
        <f t="array" aca="1" ref="AN72" ca="1">SUMPRODUCT(($E72:$AH72)*(AN$3=$E$3:$AH$3)*(AN$4=$E$4:$AH$4)*(AN$5=$E$5:$AH$5)*(AN$6=$E$6:$AH$6))</f>
        <v>32535.419821226071</v>
      </c>
      <c r="AO72" s="13" cm="1">
        <f t="array" aca="1" ref="AO72" ca="1">SUMPRODUCT(($E72:$AH72)*(AO$3=$E$3:$AH$3)*(AO$4=$E$4:$AH$4)*(AO$5=$E$5:$AH$5)*(AO$6=$E$6:$AH$6))</f>
        <v>29700.124908781661</v>
      </c>
      <c r="AP72" s="13" cm="1">
        <f t="array" aca="1" ref="AP72" ca="1">SUMPRODUCT(($E72:$AH72)*(AP$3=$E$3:$AH$3)*(AP$4=$E$4:$AH$4)*(AP$5=$E$5:$AH$5)*(AP$6=$E$6:$AH$6))</f>
        <v>33119.908939500579</v>
      </c>
      <c r="AQ72" s="13" cm="1">
        <f t="array" aca="1" ref="AQ72" ca="1">SUMPRODUCT(($E72:$AH72)*(AQ$3=$E$3:$AH$3)*(AQ$4=$E$4:$AH$4)*(AQ$5=$E$5:$AH$5)*(AQ$6=$E$6:$AH$6))</f>
        <v>38191.378196585298</v>
      </c>
      <c r="AR72" s="13" cm="1">
        <f t="array" aca="1" ref="AR72" ca="1">SUMPRODUCT(($E72:$AH72)*(AR$3=$E$3:$AH$3)*(AR$4=$E$4:$AH$4)*(AR$5=$E$5:$AH$5)*(AR$6=$E$6:$AH$6))</f>
        <v>34041.334290427418</v>
      </c>
      <c r="AS72" s="13" cm="1">
        <f t="array" aca="1" ref="AS72" ca="1">SUMPRODUCT(($E72:$AH72)*(AS$3=$E$3:$AH$3)*(AS$4=$E$4:$AH$4)*(AS$5=$E$5:$AH$5)*(AS$6=$E$6:$AH$6))</f>
        <v>31082.911892134347</v>
      </c>
      <c r="AU72" s="13" cm="1">
        <f t="array" aca="1" ref="AU72" ca="1">SUMPRODUCT(($E72:$AH72)*(AU$5=$E$5:$AH$5))</f>
        <v>59484.307941922038</v>
      </c>
      <c r="AV72" s="13" cm="1">
        <f t="array" aca="1" ref="AV72" ca="1">SUMPRODUCT(($E72:$AH72)*(AV$5=$E$5:$AH$5))</f>
        <v>130396.9604199842</v>
      </c>
      <c r="AW72" s="13" cm="1">
        <f t="array" aca="1" ref="AW72" ca="1">SUMPRODUCT(($E72:$AH72)*(AW$5=$E$5:$AH$5))</f>
        <v>136435.53331864768</v>
      </c>
    </row>
    <row r="73" spans="2:51" x14ac:dyDescent="0.25">
      <c r="C73" s="23" t="s">
        <v>148</v>
      </c>
      <c r="D73" s="27"/>
      <c r="E73" s="47">
        <f>E74/E72</f>
        <v>9.4999999999999998E-3</v>
      </c>
      <c r="F73" s="47">
        <f t="shared" ref="F73:P73" si="68">F74/F72</f>
        <v>9.4999999999999998E-3</v>
      </c>
      <c r="G73" s="47">
        <f t="shared" si="68"/>
        <v>9.4999999999999998E-3</v>
      </c>
      <c r="H73" s="47">
        <f t="shared" si="68"/>
        <v>9.4999999999999998E-3</v>
      </c>
      <c r="I73" s="47">
        <f t="shared" si="68"/>
        <v>0.01</v>
      </c>
      <c r="J73" s="47">
        <f t="shared" si="68"/>
        <v>1.0500000000000001E-2</v>
      </c>
      <c r="K73" s="47">
        <f t="shared" si="68"/>
        <v>9.4999999999999998E-3</v>
      </c>
      <c r="L73" s="47">
        <f t="shared" si="68"/>
        <v>9.4999999999999998E-3</v>
      </c>
      <c r="M73" s="47">
        <f t="shared" si="68"/>
        <v>9.4999999999999998E-3</v>
      </c>
      <c r="N73" s="47">
        <f t="shared" si="68"/>
        <v>1.0500000000000001E-2</v>
      </c>
      <c r="O73" s="47">
        <f t="shared" si="68"/>
        <v>1.0500000000000001E-2</v>
      </c>
      <c r="P73" s="92">
        <f t="shared" si="68"/>
        <v>1.0500000000000001E-2</v>
      </c>
      <c r="Q73" s="93">
        <f>E73</f>
        <v>9.4999999999999998E-3</v>
      </c>
      <c r="R73" s="93">
        <f t="shared" ref="R73:AH73" si="69">F73</f>
        <v>9.4999999999999998E-3</v>
      </c>
      <c r="S73" s="93">
        <f t="shared" si="69"/>
        <v>9.4999999999999998E-3</v>
      </c>
      <c r="T73" s="93">
        <f t="shared" si="69"/>
        <v>9.4999999999999998E-3</v>
      </c>
      <c r="U73" s="93">
        <f t="shared" si="69"/>
        <v>0.01</v>
      </c>
      <c r="V73" s="93">
        <f t="shared" si="69"/>
        <v>1.0500000000000001E-2</v>
      </c>
      <c r="W73" s="93">
        <f t="shared" si="69"/>
        <v>9.4999999999999998E-3</v>
      </c>
      <c r="X73" s="93">
        <f t="shared" si="69"/>
        <v>9.4999999999999998E-3</v>
      </c>
      <c r="Y73" s="93">
        <f t="shared" si="69"/>
        <v>9.4999999999999998E-3</v>
      </c>
      <c r="Z73" s="93">
        <f t="shared" si="69"/>
        <v>1.0500000000000001E-2</v>
      </c>
      <c r="AA73" s="93">
        <f t="shared" si="69"/>
        <v>1.0500000000000001E-2</v>
      </c>
      <c r="AB73" s="93">
        <f t="shared" si="69"/>
        <v>1.0500000000000001E-2</v>
      </c>
      <c r="AC73" s="93">
        <f t="shared" si="69"/>
        <v>9.4999999999999998E-3</v>
      </c>
      <c r="AD73" s="93">
        <f t="shared" si="69"/>
        <v>9.4999999999999998E-3</v>
      </c>
      <c r="AE73" s="93">
        <f t="shared" si="69"/>
        <v>9.4999999999999998E-3</v>
      </c>
      <c r="AF73" s="93">
        <f t="shared" si="69"/>
        <v>9.4999999999999998E-3</v>
      </c>
      <c r="AG73" s="93">
        <f t="shared" si="69"/>
        <v>0.01</v>
      </c>
      <c r="AH73" s="93">
        <f t="shared" si="69"/>
        <v>1.0500000000000001E-2</v>
      </c>
      <c r="AM73" s="8"/>
    </row>
    <row r="74" spans="2:51" x14ac:dyDescent="0.25">
      <c r="B74" t="s">
        <v>231</v>
      </c>
      <c r="C74" t="s">
        <v>122</v>
      </c>
      <c r="E74" s="31">
        <v>112.10817974373758</v>
      </c>
      <c r="F74" s="31">
        <v>96.806144750645828</v>
      </c>
      <c r="G74" s="31">
        <v>86.545198276417366</v>
      </c>
      <c r="H74" s="31">
        <v>85.919738867598255</v>
      </c>
      <c r="I74" s="31">
        <v>84.40309783177814</v>
      </c>
      <c r="J74" s="37">
        <v>114.43753359279434</v>
      </c>
      <c r="K74" s="31">
        <v>111.27364621053833</v>
      </c>
      <c r="L74" s="31">
        <v>97.330080381360276</v>
      </c>
      <c r="M74" s="31">
        <v>92.137171600214685</v>
      </c>
      <c r="N74" s="31">
        <v>133.05077814982195</v>
      </c>
      <c r="O74" s="31">
        <v>120.83047085720591</v>
      </c>
      <c r="P74" s="32">
        <v>129.41578089381017</v>
      </c>
      <c r="Q74" s="13">
        <f>Q72*Q73</f>
        <v>117.2610085372108</v>
      </c>
      <c r="R74" s="13">
        <f t="shared" ref="R74:AH74" si="70">R72*R73</f>
        <v>101.27772731419654</v>
      </c>
      <c r="S74" s="13">
        <f t="shared" si="70"/>
        <v>90.547752450240338</v>
      </c>
      <c r="T74" s="13">
        <f t="shared" si="70"/>
        <v>89.907679033277958</v>
      </c>
      <c r="U74" s="13">
        <f t="shared" si="70"/>
        <v>88.325377503654039</v>
      </c>
      <c r="V74" s="13">
        <f t="shared" si="70"/>
        <v>119.73801991606352</v>
      </c>
      <c r="W74" s="13">
        <f t="shared" si="70"/>
        <v>116.42099999824069</v>
      </c>
      <c r="X74" s="13">
        <f t="shared" si="70"/>
        <v>101.82715218592953</v>
      </c>
      <c r="Y74" s="13">
        <f t="shared" si="70"/>
        <v>96.390982741085281</v>
      </c>
      <c r="Z74" s="13">
        <f t="shared" si="70"/>
        <v>139.21015626738338</v>
      </c>
      <c r="AA74" s="13">
        <f t="shared" si="70"/>
        <v>126.40119175066306</v>
      </c>
      <c r="AB74" s="13">
        <f t="shared" si="70"/>
        <v>135.39812304609919</v>
      </c>
      <c r="AC74" s="13">
        <f t="shared" si="70"/>
        <v>122.66965230219583</v>
      </c>
      <c r="AD74" s="13">
        <f t="shared" si="70"/>
        <v>105.9724714636007</v>
      </c>
      <c r="AE74" s="13">
        <f t="shared" si="70"/>
        <v>94.750551993263997</v>
      </c>
      <c r="AF74" s="13">
        <f t="shared" si="70"/>
        <v>94.095411695433668</v>
      </c>
      <c r="AG74" s="13">
        <f t="shared" si="70"/>
        <v>92.444404421591329</v>
      </c>
      <c r="AH74" s="13">
        <f t="shared" si="70"/>
        <v>125.30375835083939</v>
      </c>
      <c r="AJ74" s="13" cm="1">
        <f t="array" aca="1" ref="AJ74" ca="1">SUMPRODUCT(($E74:$AH74)*(AJ$3&amp;AJ$4&amp;AJ$5&amp;AJ$6=$E$3:$AH$3&amp;$E$4:$AH$4&amp;$E$5:$AH$5&amp;$E$6:$AH$6))</f>
        <v>295.45952277080079</v>
      </c>
      <c r="AK74" s="13" cm="1">
        <f t="array" aca="1" ref="AK74" ca="1">SUMPRODUCT(($E74:$AH74)*(AK$3=$E$3:$AH$3)*(AK$4=$E$4:$AH$4)*(AK$5=$E$5:$AH$5)*(AK$6=$E$6:$AH$6))</f>
        <v>284.76037029217076</v>
      </c>
      <c r="AL74" s="13" cm="1">
        <f t="array" aca="1" ref="AL74" ca="1">SUMPRODUCT(($E74:$AH74)*(AL$3=$E$3:$AH$3)*(AL$4=$E$4:$AH$4)*(AL$5=$E$5:$AH$5)*(AL$6=$E$6:$AH$6))</f>
        <v>300.74089819211326</v>
      </c>
      <c r="AM74" s="17" cm="1">
        <f t="array" aca="1" ref="AM74" ca="1">SUMPRODUCT(($E74:$AH74)*(AM$3=$E$3:$AH$3)*(AM$4=$E$4:$AH$4)*(AM$5=$E$5:$AH$5)*(AM$6=$E$6:$AH$6))</f>
        <v>383.29702990083803</v>
      </c>
      <c r="AN74" s="13" cm="1">
        <f t="array" aca="1" ref="AN74" ca="1">SUMPRODUCT(($E74:$AH74)*(AN$3=$E$3:$AH$3)*(AN$4=$E$4:$AH$4)*(AN$5=$E$5:$AH$5)*(AN$6=$E$6:$AH$6))</f>
        <v>309.08648830164771</v>
      </c>
      <c r="AO74" s="13" cm="1">
        <f t="array" aca="1" ref="AO74" ca="1">SUMPRODUCT(($E74:$AH74)*(AO$3=$E$3:$AH$3)*(AO$4=$E$4:$AH$4)*(AO$5=$E$5:$AH$5)*(AO$6=$E$6:$AH$6))</f>
        <v>297.97107645299553</v>
      </c>
      <c r="AP74" s="13" cm="1">
        <f t="array" aca="1" ref="AP74" ca="1">SUMPRODUCT(($E74:$AH74)*(AP$3=$E$3:$AH$3)*(AP$4=$E$4:$AH$4)*(AP$5=$E$5:$AH$5)*(AP$6=$E$6:$AH$6))</f>
        <v>314.63913492525552</v>
      </c>
      <c r="AQ74" s="13" cm="1">
        <f t="array" aca="1" ref="AQ74" ca="1">SUMPRODUCT(($E74:$AH74)*(AQ$3=$E$3:$AH$3)*(AQ$4=$E$4:$AH$4)*(AQ$5=$E$5:$AH$5)*(AQ$6=$E$6:$AH$6))</f>
        <v>401.0094710641456</v>
      </c>
      <c r="AR74" s="13" cm="1">
        <f t="array" aca="1" ref="AR74" ca="1">SUMPRODUCT(($E74:$AH74)*(AR$3=$E$3:$AH$3)*(AR$4=$E$4:$AH$4)*(AR$5=$E$5:$AH$5)*(AR$6=$E$6:$AH$6))</f>
        <v>323.39267575906052</v>
      </c>
      <c r="AS74" s="13" cm="1">
        <f t="array" aca="1" ref="AS74" ca="1">SUMPRODUCT(($E74:$AH74)*(AS$3=$E$3:$AH$3)*(AS$4=$E$4:$AH$4)*(AS$5=$E$5:$AH$5)*(AS$6=$E$6:$AH$6))</f>
        <v>311.84357446786441</v>
      </c>
      <c r="AU74" s="13" cm="1">
        <f t="array" aca="1" ref="AU74" ca="1">SUMPRODUCT(($E74:$AH74)*(AU$5=$E$5:$AH$5))</f>
        <v>580.21989306297155</v>
      </c>
      <c r="AV74" s="13" cm="1">
        <f t="array" aca="1" ref="AV74" ca="1">SUMPRODUCT(($E74:$AH74)*(AV$5=$E$5:$AH$5))</f>
        <v>1291.0954928475944</v>
      </c>
      <c r="AW74" s="13" cm="1">
        <f t="array" aca="1" ref="AW74" ca="1">SUMPRODUCT(($E74:$AH74)*(AW$5=$E$5:$AH$5))</f>
        <v>1350.8848562163262</v>
      </c>
    </row>
    <row r="75" spans="2:51" x14ac:dyDescent="0.25">
      <c r="P75" s="8"/>
      <c r="AM75" s="8"/>
    </row>
    <row r="76" spans="2:51" x14ac:dyDescent="0.25">
      <c r="C76" s="30" t="s">
        <v>118</v>
      </c>
      <c r="D76" s="30"/>
      <c r="E76" s="45" t="str">
        <f t="shared" ref="E76:AH76" si="71">E$9</f>
        <v>Jul-20A</v>
      </c>
      <c r="F76" s="45" t="str">
        <f t="shared" si="71"/>
        <v>Aug-20A</v>
      </c>
      <c r="G76" s="45" t="str">
        <f t="shared" si="71"/>
        <v>Sep-20A</v>
      </c>
      <c r="H76" s="45" t="str">
        <f t="shared" si="71"/>
        <v>Oct-20A</v>
      </c>
      <c r="I76" s="45" t="str">
        <f t="shared" si="71"/>
        <v>Nov-20A</v>
      </c>
      <c r="J76" s="45" t="str">
        <f t="shared" si="71"/>
        <v>Dec-20A</v>
      </c>
      <c r="K76" s="45" t="str">
        <f t="shared" si="71"/>
        <v>Jan-21A</v>
      </c>
      <c r="L76" s="45" t="str">
        <f t="shared" si="71"/>
        <v>Feb-21A</v>
      </c>
      <c r="M76" s="45" t="str">
        <f t="shared" si="71"/>
        <v>Mar-21A</v>
      </c>
      <c r="N76" s="45" t="str">
        <f t="shared" si="71"/>
        <v>Apr-21A</v>
      </c>
      <c r="O76" s="45" t="str">
        <f t="shared" si="71"/>
        <v>May-21A</v>
      </c>
      <c r="P76" s="46" t="str">
        <f t="shared" si="71"/>
        <v>Jun-21A</v>
      </c>
      <c r="Q76" s="45" t="str">
        <f t="shared" si="71"/>
        <v>Jul-21F</v>
      </c>
      <c r="R76" s="45" t="str">
        <f t="shared" si="71"/>
        <v>Aug-21F</v>
      </c>
      <c r="S76" s="45" t="str">
        <f t="shared" si="71"/>
        <v>Sep-21F</v>
      </c>
      <c r="T76" s="45" t="str">
        <f t="shared" si="71"/>
        <v>Oct-21F</v>
      </c>
      <c r="U76" s="45" t="str">
        <f t="shared" si="71"/>
        <v>Nov-21F</v>
      </c>
      <c r="V76" s="45" t="str">
        <f t="shared" si="71"/>
        <v>Dec-21F</v>
      </c>
      <c r="W76" s="45" t="str">
        <f t="shared" si="71"/>
        <v>Jan-22F</v>
      </c>
      <c r="X76" s="45" t="str">
        <f t="shared" si="71"/>
        <v>Feb-22F</v>
      </c>
      <c r="Y76" s="45" t="str">
        <f t="shared" si="71"/>
        <v>Mar-22F</v>
      </c>
      <c r="Z76" s="45" t="str">
        <f t="shared" si="71"/>
        <v>Apr-22F</v>
      </c>
      <c r="AA76" s="45" t="str">
        <f t="shared" si="71"/>
        <v>May-22F</v>
      </c>
      <c r="AB76" s="45" t="str">
        <f t="shared" si="71"/>
        <v>Jun-22F</v>
      </c>
      <c r="AC76" s="45" t="str">
        <f t="shared" si="71"/>
        <v>Jul-22F</v>
      </c>
      <c r="AD76" s="45" t="str">
        <f t="shared" si="71"/>
        <v>Aug-22F</v>
      </c>
      <c r="AE76" s="45" t="str">
        <f t="shared" si="71"/>
        <v>Sep-22F</v>
      </c>
      <c r="AF76" s="45" t="str">
        <f t="shared" si="71"/>
        <v>Oct-22F</v>
      </c>
      <c r="AG76" s="45" t="str">
        <f t="shared" si="71"/>
        <v>Nov-22F</v>
      </c>
      <c r="AH76" s="45" t="str">
        <f t="shared" si="71"/>
        <v>Dec-22F</v>
      </c>
      <c r="AJ76" s="45" t="str">
        <f ca="1">AJ$10</f>
        <v>Q3'20A</v>
      </c>
      <c r="AK76" s="45" t="str">
        <f t="shared" ref="AK76:AW76" ca="1" si="72">AK$10</f>
        <v>Q4'20A</v>
      </c>
      <c r="AL76" s="45" t="str">
        <f t="shared" ca="1" si="72"/>
        <v>Q1'21A</v>
      </c>
      <c r="AM76" s="46" t="str">
        <f t="shared" ca="1" si="72"/>
        <v>Q2'21A</v>
      </c>
      <c r="AN76" s="45" t="str">
        <f t="shared" ca="1" si="72"/>
        <v>Q3'21F</v>
      </c>
      <c r="AO76" s="45" t="str">
        <f t="shared" ca="1" si="72"/>
        <v>Q4'21F</v>
      </c>
      <c r="AP76" s="45" t="str">
        <f t="shared" ca="1" si="72"/>
        <v>Q1'22F</v>
      </c>
      <c r="AQ76" s="45" t="str">
        <f t="shared" ca="1" si="72"/>
        <v>Q2'22F</v>
      </c>
      <c r="AR76" s="45" t="str">
        <f t="shared" ca="1" si="72"/>
        <v>Q3'22F</v>
      </c>
      <c r="AS76" s="45" t="str">
        <f t="shared" ca="1" si="72"/>
        <v>Q4'22F</v>
      </c>
      <c r="AU76" s="45" t="str">
        <f t="shared" ca="1" si="72"/>
        <v>FY20</v>
      </c>
      <c r="AV76" s="45" t="str">
        <f t="shared" ca="1" si="72"/>
        <v>FY21</v>
      </c>
      <c r="AW76" s="45" t="str">
        <f t="shared" ca="1" si="72"/>
        <v>FY22</v>
      </c>
    </row>
    <row r="77" spans="2:51" x14ac:dyDescent="0.25">
      <c r="C77" s="1" t="s">
        <v>405</v>
      </c>
      <c r="E77" s="33">
        <f>Revenue!E145</f>
        <v>927.93095274981602</v>
      </c>
      <c r="F77" s="33">
        <f>Revenue!F145</f>
        <v>735.34790537528625</v>
      </c>
      <c r="G77" s="33">
        <f>Revenue!G145</f>
        <v>715.08736984533709</v>
      </c>
      <c r="H77" s="33">
        <f>Revenue!H145</f>
        <v>737.79236606337486</v>
      </c>
      <c r="I77" s="33">
        <f>Revenue!I145</f>
        <v>727.34673636500895</v>
      </c>
      <c r="J77" s="56">
        <f>Revenue!J145</f>
        <v>1012.467363759772</v>
      </c>
      <c r="K77" s="33">
        <f>Revenue!K145</f>
        <v>858.15818043072909</v>
      </c>
      <c r="L77" s="33">
        <f>Revenue!L145</f>
        <v>733.61037718247314</v>
      </c>
      <c r="M77" s="33">
        <f>Revenue!M145</f>
        <v>752.34942815532486</v>
      </c>
      <c r="N77" s="33">
        <f>Revenue!N145</f>
        <v>1014.6717284322399</v>
      </c>
      <c r="O77" s="33">
        <f>Revenue!O145</f>
        <v>997.40795983870771</v>
      </c>
      <c r="P77" s="34">
        <f>Revenue!P145</f>
        <v>1055.3928137161713</v>
      </c>
      <c r="Q77" s="33">
        <f>Revenue!Q145</f>
        <v>962.26710504664845</v>
      </c>
      <c r="R77" s="33">
        <f>Revenue!R145</f>
        <v>785.14070172991967</v>
      </c>
      <c r="S77" s="33">
        <f>Revenue!S145</f>
        <v>748.78092239024659</v>
      </c>
      <c r="T77" s="33">
        <f>Revenue!T145</f>
        <v>762.60943594070318</v>
      </c>
      <c r="U77" s="33">
        <f>Revenue!U145</f>
        <v>778.23495707400616</v>
      </c>
      <c r="V77" s="33">
        <f>Revenue!V145</f>
        <v>1023.5196582385447</v>
      </c>
      <c r="W77" s="33">
        <f>Revenue!W145</f>
        <v>897.98307552943243</v>
      </c>
      <c r="X77" s="33">
        <f>Revenue!X145</f>
        <v>772.4393007521719</v>
      </c>
      <c r="Y77" s="33">
        <f>Revenue!Y145</f>
        <v>762.30450351485899</v>
      </c>
      <c r="Z77" s="33">
        <f>Revenue!Z145</f>
        <v>1091.5829187646336</v>
      </c>
      <c r="AA77" s="33">
        <f>Revenue!AA145</f>
        <v>1024.3667225276668</v>
      </c>
      <c r="AB77" s="33">
        <f>Revenue!AB145</f>
        <v>1115.3338176508103</v>
      </c>
      <c r="AC77" s="33">
        <f>Revenue!AC145</f>
        <v>1006.6551280661511</v>
      </c>
      <c r="AD77" s="33">
        <f>Revenue!AD145</f>
        <v>821.54397788681172</v>
      </c>
      <c r="AE77" s="33">
        <f>Revenue!AE145</f>
        <v>783.53491854425556</v>
      </c>
      <c r="AF77" s="33">
        <f>Revenue!AF145</f>
        <v>798.13025386969878</v>
      </c>
      <c r="AG77" s="33">
        <f>Revenue!AG145</f>
        <v>814.5237339757989</v>
      </c>
      <c r="AH77" s="33">
        <f>Revenue!AH145</f>
        <v>1071.1005644978077</v>
      </c>
      <c r="AJ77" s="13" cm="1">
        <f t="array" aca="1" ref="AJ77" ca="1">SUMPRODUCT(($E77:$AH77)*(AJ$3&amp;AJ$4&amp;AJ$5&amp;AJ$6=$E$3:$AH$3&amp;$E$4:$AH$4&amp;$E$5:$AH$5&amp;$E$6:$AH$6))</f>
        <v>2378.3662279704395</v>
      </c>
      <c r="AK77" s="13" cm="1">
        <f t="array" aca="1" ref="AK77" ca="1">SUMPRODUCT(($E77:$AH77)*(AK$3=$E$3:$AH$3)*(AK$4=$E$4:$AH$4)*(AK$5=$E$5:$AH$5)*(AK$6=$E$6:$AH$6))</f>
        <v>2477.606466188156</v>
      </c>
      <c r="AL77" s="13" cm="1">
        <f t="array" aca="1" ref="AL77" ca="1">SUMPRODUCT(($E77:$AH77)*(AL$3=$E$3:$AH$3)*(AL$4=$E$4:$AH$4)*(AL$5=$E$5:$AH$5)*(AL$6=$E$6:$AH$6))</f>
        <v>2344.117985768527</v>
      </c>
      <c r="AM77" s="17" cm="1">
        <f t="array" aca="1" ref="AM77" ca="1">SUMPRODUCT(($E77:$AH77)*(AM$3=$E$3:$AH$3)*(AM$4=$E$4:$AH$4)*(AM$5=$E$5:$AH$5)*(AM$6=$E$6:$AH$6))</f>
        <v>3067.4725019871189</v>
      </c>
      <c r="AN77" s="13" cm="1">
        <f t="array" aca="1" ref="AN77" ca="1">SUMPRODUCT(($E77:$AH77)*(AN$3=$E$3:$AH$3)*(AN$4=$E$4:$AH$4)*(AN$5=$E$5:$AH$5)*(AN$6=$E$6:$AH$6))</f>
        <v>2496.1887291668145</v>
      </c>
      <c r="AO77" s="13" cm="1">
        <f t="array" aca="1" ref="AO77" ca="1">SUMPRODUCT(($E77:$AH77)*(AO$3=$E$3:$AH$3)*(AO$4=$E$4:$AH$4)*(AO$5=$E$5:$AH$5)*(AO$6=$E$6:$AH$6))</f>
        <v>2564.3640512532538</v>
      </c>
      <c r="AP77" s="13" cm="1">
        <f t="array" aca="1" ref="AP77" ca="1">SUMPRODUCT(($E77:$AH77)*(AP$3=$E$3:$AH$3)*(AP$4=$E$4:$AH$4)*(AP$5=$E$5:$AH$5)*(AP$6=$E$6:$AH$6))</f>
        <v>2432.7268797964634</v>
      </c>
      <c r="AQ77" s="13" cm="1">
        <f t="array" aca="1" ref="AQ77" ca="1">SUMPRODUCT(($E77:$AH77)*(AQ$3=$E$3:$AH$3)*(AQ$4=$E$4:$AH$4)*(AQ$5=$E$5:$AH$5)*(AQ$6=$E$6:$AH$6))</f>
        <v>3231.2834589431104</v>
      </c>
      <c r="AR77" s="13" cm="1">
        <f t="array" aca="1" ref="AR77" ca="1">SUMPRODUCT(($E77:$AH77)*(AR$3=$E$3:$AH$3)*(AR$4=$E$4:$AH$4)*(AR$5=$E$5:$AH$5)*(AR$6=$E$6:$AH$6))</f>
        <v>2611.7340244972183</v>
      </c>
      <c r="AS77" s="13" cm="1">
        <f t="array" aca="1" ref="AS77" ca="1">SUMPRODUCT(($E77:$AH77)*(AS$3=$E$3:$AH$3)*(AS$4=$E$4:$AH$4)*(AS$5=$E$5:$AH$5)*(AS$6=$E$6:$AH$6))</f>
        <v>2683.7545523433055</v>
      </c>
      <c r="AU77" s="13" cm="1">
        <f t="array" aca="1" ref="AU77" ca="1">SUMPRODUCT(($E77:$AH77)*(AU$5=$E$5:$AH$5))</f>
        <v>4855.972694158595</v>
      </c>
      <c r="AV77" s="13" cm="1">
        <f t="array" aca="1" ref="AV77" ca="1">SUMPRODUCT(($E77:$AH77)*(AV$5=$E$5:$AH$5))</f>
        <v>10472.143268175716</v>
      </c>
      <c r="AW77" s="13" cm="1">
        <f t="array" aca="1" ref="AW77" ca="1">SUMPRODUCT(($E77:$AH77)*(AW$5=$E$5:$AH$5))</f>
        <v>10959.498915580098</v>
      </c>
    </row>
    <row r="78" spans="2:51" x14ac:dyDescent="0.25">
      <c r="C78" s="23" t="s">
        <v>442</v>
      </c>
      <c r="D78" s="27"/>
      <c r="E78" s="47">
        <f>E79/E77</f>
        <v>3.4269791201343568E-2</v>
      </c>
      <c r="F78" s="47">
        <f t="shared" ref="F78:P78" si="73">F79/F77</f>
        <v>3.8763141288462297E-2</v>
      </c>
      <c r="G78" s="47">
        <f t="shared" si="73"/>
        <v>3.51233282874246E-2</v>
      </c>
      <c r="H78" s="47">
        <f t="shared" si="73"/>
        <v>3.4057432168232947E-2</v>
      </c>
      <c r="I78" s="47">
        <f t="shared" si="73"/>
        <v>3.8323420752202492E-2</v>
      </c>
      <c r="J78" s="47">
        <f t="shared" si="73"/>
        <v>2.6985310487470469E-2</v>
      </c>
      <c r="K78" s="47">
        <f t="shared" si="73"/>
        <v>4.9852299116256618E-2</v>
      </c>
      <c r="L78" s="47">
        <f t="shared" si="73"/>
        <v>4.6903752327759334E-2</v>
      </c>
      <c r="M78" s="47">
        <f t="shared" si="73"/>
        <v>4.3628467156515631E-2</v>
      </c>
      <c r="N78" s="47">
        <f t="shared" si="73"/>
        <v>3.3933945604087065E-2</v>
      </c>
      <c r="O78" s="47">
        <f t="shared" si="73"/>
        <v>4.896689616237751E-2</v>
      </c>
      <c r="P78" s="92">
        <f t="shared" si="73"/>
        <v>4.4585142685862784E-2</v>
      </c>
      <c r="Q78" s="93">
        <f>AVERAGE(K78:P78)</f>
        <v>4.4645083842143163E-2</v>
      </c>
      <c r="R78" s="93">
        <f>Q78</f>
        <v>4.4645083842143163E-2</v>
      </c>
      <c r="S78" s="93">
        <f t="shared" ref="S78:AH78" si="74">R78</f>
        <v>4.4645083842143163E-2</v>
      </c>
      <c r="T78" s="93">
        <f t="shared" si="74"/>
        <v>4.4645083842143163E-2</v>
      </c>
      <c r="U78" s="93">
        <f t="shared" si="74"/>
        <v>4.4645083842143163E-2</v>
      </c>
      <c r="V78" s="93">
        <f t="shared" si="74"/>
        <v>4.4645083842143163E-2</v>
      </c>
      <c r="W78" s="93">
        <f t="shared" si="74"/>
        <v>4.4645083842143163E-2</v>
      </c>
      <c r="X78" s="93">
        <f t="shared" si="74"/>
        <v>4.4645083842143163E-2</v>
      </c>
      <c r="Y78" s="93">
        <f t="shared" si="74"/>
        <v>4.4645083842143163E-2</v>
      </c>
      <c r="Z78" s="93">
        <f t="shared" si="74"/>
        <v>4.4645083842143163E-2</v>
      </c>
      <c r="AA78" s="93">
        <f t="shared" si="74"/>
        <v>4.4645083842143163E-2</v>
      </c>
      <c r="AB78" s="93">
        <f t="shared" si="74"/>
        <v>4.4645083842143163E-2</v>
      </c>
      <c r="AC78" s="93">
        <f t="shared" si="74"/>
        <v>4.4645083842143163E-2</v>
      </c>
      <c r="AD78" s="93">
        <f t="shared" si="74"/>
        <v>4.4645083842143163E-2</v>
      </c>
      <c r="AE78" s="93">
        <f t="shared" si="74"/>
        <v>4.4645083842143163E-2</v>
      </c>
      <c r="AF78" s="93">
        <f t="shared" si="74"/>
        <v>4.4645083842143163E-2</v>
      </c>
      <c r="AG78" s="93">
        <f t="shared" si="74"/>
        <v>4.4645083842143163E-2</v>
      </c>
      <c r="AH78" s="93">
        <f t="shared" si="74"/>
        <v>4.4645083842143163E-2</v>
      </c>
      <c r="AM78" s="8"/>
    </row>
    <row r="79" spans="2:51" x14ac:dyDescent="0.25">
      <c r="B79" t="s">
        <v>231</v>
      </c>
      <c r="C79" t="s">
        <v>123</v>
      </c>
      <c r="E79" s="31">
        <v>31.8</v>
      </c>
      <c r="F79" s="31">
        <v>28.504394752237022</v>
      </c>
      <c r="G79" s="31">
        <v>25.116248445268788</v>
      </c>
      <c r="H79" s="31">
        <v>25.127313461443482</v>
      </c>
      <c r="I79" s="31">
        <v>27.87441501045754</v>
      </c>
      <c r="J79" s="37">
        <v>27.321746169488151</v>
      </c>
      <c r="K79" s="31">
        <v>42.781158299895225</v>
      </c>
      <c r="L79" s="31">
        <v>34.409079436440827</v>
      </c>
      <c r="M79" s="31">
        <v>32.823852316497906</v>
      </c>
      <c r="N79" s="31">
        <v>34.43181523862463</v>
      </c>
      <c r="O79" s="31">
        <v>48.839972000950802</v>
      </c>
      <c r="P79" s="32">
        <v>47.054839189169698</v>
      </c>
      <c r="Q79" s="13">
        <f>Q77*Q78</f>
        <v>42.960495583344006</v>
      </c>
      <c r="R79" s="13">
        <f t="shared" ref="R79:AH79" si="75">R77*R78</f>
        <v>35.052672456611383</v>
      </c>
      <c r="S79" s="13">
        <f t="shared" si="75"/>
        <v>33.42938705950985</v>
      </c>
      <c r="T79" s="13">
        <f t="shared" si="75"/>
        <v>34.046762206382198</v>
      </c>
      <c r="U79" s="13">
        <f t="shared" si="75"/>
        <v>34.74436490745569</v>
      </c>
      <c r="V79" s="13">
        <f t="shared" si="75"/>
        <v>45.695120956141544</v>
      </c>
      <c r="W79" s="13">
        <f t="shared" si="75"/>
        <v>40.090529695837084</v>
      </c>
      <c r="X79" s="13">
        <f t="shared" si="75"/>
        <v>34.485617345047153</v>
      </c>
      <c r="Y79" s="13">
        <f t="shared" si="75"/>
        <v>34.033148472664195</v>
      </c>
      <c r="Z79" s="13">
        <f t="shared" si="75"/>
        <v>48.733810928898414</v>
      </c>
      <c r="AA79" s="13">
        <f t="shared" si="75"/>
        <v>45.732938212349083</v>
      </c>
      <c r="AB79" s="13">
        <f t="shared" si="75"/>
        <v>49.794171800998036</v>
      </c>
      <c r="AC79" s="13">
        <f t="shared" si="75"/>
        <v>44.942202592636676</v>
      </c>
      <c r="AD79" s="13">
        <f t="shared" si="75"/>
        <v>36.677899772764519</v>
      </c>
      <c r="AE79" s="13">
        <f t="shared" si="75"/>
        <v>34.980982131655104</v>
      </c>
      <c r="AF79" s="13">
        <f t="shared" si="75"/>
        <v>35.632592100963713</v>
      </c>
      <c r="AG79" s="13">
        <f t="shared" si="75"/>
        <v>36.364480394765053</v>
      </c>
      <c r="AH79" s="13">
        <f t="shared" si="75"/>
        <v>47.819374505371492</v>
      </c>
      <c r="AJ79" s="13" cm="1">
        <f t="array" aca="1" ref="AJ79" ca="1">SUMPRODUCT(($E79:$AH79)*(AJ$3&amp;AJ$4&amp;AJ$5&amp;AJ$6=$E$3:$AH$3&amp;$E$4:$AH$4&amp;$E$5:$AH$5&amp;$E$6:$AH$6))</f>
        <v>85.420643197505811</v>
      </c>
      <c r="AK79" s="13" cm="1">
        <f t="array" aca="1" ref="AK79" ca="1">SUMPRODUCT(($E79:$AH79)*(AK$3=$E$3:$AH$3)*(AK$4=$E$4:$AH$4)*(AK$5=$E$5:$AH$5)*(AK$6=$E$6:$AH$6))</f>
        <v>80.323474641389168</v>
      </c>
      <c r="AL79" s="13" cm="1">
        <f t="array" aca="1" ref="AL79" ca="1">SUMPRODUCT(($E79:$AH79)*(AL$3=$E$3:$AH$3)*(AL$4=$E$4:$AH$4)*(AL$5=$E$5:$AH$5)*(AL$6=$E$6:$AH$6))</f>
        <v>110.01409005283396</v>
      </c>
      <c r="AM79" s="17" cm="1">
        <f t="array" aca="1" ref="AM79" ca="1">SUMPRODUCT(($E79:$AH79)*(AM$3=$E$3:$AH$3)*(AM$4=$E$4:$AH$4)*(AM$5=$E$5:$AH$5)*(AM$6=$E$6:$AH$6))</f>
        <v>130.32662642874513</v>
      </c>
      <c r="AN79" s="13" cm="1">
        <f t="array" aca="1" ref="AN79" ca="1">SUMPRODUCT(($E79:$AH79)*(AN$3=$E$3:$AH$3)*(AN$4=$E$4:$AH$4)*(AN$5=$E$5:$AH$5)*(AN$6=$E$6:$AH$6))</f>
        <v>111.44255509946524</v>
      </c>
      <c r="AO79" s="13" cm="1">
        <f t="array" aca="1" ref="AO79" ca="1">SUMPRODUCT(($E79:$AH79)*(AO$3=$E$3:$AH$3)*(AO$4=$E$4:$AH$4)*(AO$5=$E$5:$AH$5)*(AO$6=$E$6:$AH$6))</f>
        <v>114.48624806997944</v>
      </c>
      <c r="AP79" s="13" cm="1">
        <f t="array" aca="1" ref="AP79" ca="1">SUMPRODUCT(($E79:$AH79)*(AP$3=$E$3:$AH$3)*(AP$4=$E$4:$AH$4)*(AP$5=$E$5:$AH$5)*(AP$6=$E$6:$AH$6))</f>
        <v>108.60929551354843</v>
      </c>
      <c r="AQ79" s="13" cm="1">
        <f t="array" aca="1" ref="AQ79" ca="1">SUMPRODUCT(($E79:$AH79)*(AQ$3=$E$3:$AH$3)*(AQ$4=$E$4:$AH$4)*(AQ$5=$E$5:$AH$5)*(AQ$6=$E$6:$AH$6))</f>
        <v>144.26092094224555</v>
      </c>
      <c r="AR79" s="13" cm="1">
        <f t="array" aca="1" ref="AR79" ca="1">SUMPRODUCT(($E79:$AH79)*(AR$3=$E$3:$AH$3)*(AR$4=$E$4:$AH$4)*(AR$5=$E$5:$AH$5)*(AR$6=$E$6:$AH$6))</f>
        <v>116.60108449705629</v>
      </c>
      <c r="AS79" s="13" cm="1">
        <f t="array" aca="1" ref="AS79" ca="1">SUMPRODUCT(($E79:$AH79)*(AS$3=$E$3:$AH$3)*(AS$4=$E$4:$AH$4)*(AS$5=$E$5:$AH$5)*(AS$6=$E$6:$AH$6))</f>
        <v>119.81644700110024</v>
      </c>
      <c r="AU79" s="13" cm="1">
        <f t="array" aca="1" ref="AU79" ca="1">SUMPRODUCT(($E79:$AH79)*(AU$5=$E$5:$AH$5))</f>
        <v>165.74411783889497</v>
      </c>
      <c r="AV79" s="13" cm="1">
        <f t="array" aca="1" ref="AV79" ca="1">SUMPRODUCT(($E79:$AH79)*(AV$5=$E$5:$AH$5))</f>
        <v>466.26951965102376</v>
      </c>
      <c r="AW79" s="13" cm="1">
        <f t="array" aca="1" ref="AW79" ca="1">SUMPRODUCT(($E79:$AH79)*(AW$5=$E$5:$AH$5))</f>
        <v>489.28774795395054</v>
      </c>
    </row>
    <row r="80" spans="2:51" x14ac:dyDescent="0.25">
      <c r="P80" s="8"/>
      <c r="AM80" s="8"/>
    </row>
    <row r="81" spans="2:49" ht="15.75" thickBot="1" x14ac:dyDescent="0.3">
      <c r="B81" t="s">
        <v>231</v>
      </c>
      <c r="C81" s="53" t="s">
        <v>83</v>
      </c>
      <c r="D81" s="53"/>
      <c r="E81" s="54">
        <f>E69+E74+E79</f>
        <v>180.7728640635263</v>
      </c>
      <c r="F81" s="54">
        <f t="shared" ref="F81:AW81" si="76">F69+F74+F79</f>
        <v>160.61112390166181</v>
      </c>
      <c r="G81" s="54">
        <f t="shared" si="76"/>
        <v>145.03604874875441</v>
      </c>
      <c r="H81" s="54">
        <f t="shared" si="76"/>
        <v>145.51900925897115</v>
      </c>
      <c r="I81" s="54">
        <f t="shared" si="76"/>
        <v>145.36732897796907</v>
      </c>
      <c r="J81" s="54">
        <f t="shared" si="76"/>
        <v>176.75701293385504</v>
      </c>
      <c r="K81" s="54">
        <f t="shared" si="76"/>
        <v>190.63777283984737</v>
      </c>
      <c r="L81" s="54">
        <f t="shared" si="76"/>
        <v>166.77450333175804</v>
      </c>
      <c r="M81" s="54">
        <f t="shared" si="76"/>
        <v>158.36881377268679</v>
      </c>
      <c r="N81" s="54">
        <f t="shared" si="76"/>
        <v>203.90553473801677</v>
      </c>
      <c r="O81" s="54">
        <f t="shared" si="76"/>
        <v>205.51530888445131</v>
      </c>
      <c r="P81" s="55">
        <f t="shared" si="76"/>
        <v>213.40401187736421</v>
      </c>
      <c r="Q81" s="54">
        <f t="shared" si="76"/>
        <v>197.86134000514889</v>
      </c>
      <c r="R81" s="54">
        <f t="shared" si="76"/>
        <v>172.33773503324278</v>
      </c>
      <c r="S81" s="54">
        <f t="shared" si="76"/>
        <v>157.97029196171533</v>
      </c>
      <c r="T81" s="54">
        <f t="shared" si="76"/>
        <v>159.09810992148152</v>
      </c>
      <c r="U81" s="54">
        <f t="shared" si="76"/>
        <v>156.76785280447933</v>
      </c>
      <c r="V81" s="54">
        <f t="shared" si="76"/>
        <v>201.12553493920402</v>
      </c>
      <c r="W81" s="54">
        <f t="shared" si="76"/>
        <v>193.86160153585652</v>
      </c>
      <c r="X81" s="54">
        <f t="shared" si="76"/>
        <v>172.04281111898945</v>
      </c>
      <c r="Y81" s="54">
        <f t="shared" si="76"/>
        <v>164.45093514268945</v>
      </c>
      <c r="Z81" s="54">
        <f t="shared" si="76"/>
        <v>225.12718298378599</v>
      </c>
      <c r="AA81" s="54">
        <f t="shared" si="76"/>
        <v>208.70950151163493</v>
      </c>
      <c r="AB81" s="54">
        <f t="shared" si="76"/>
        <v>222.90844545816631</v>
      </c>
      <c r="AC81" s="54">
        <f t="shared" si="76"/>
        <v>206.06532516277997</v>
      </c>
      <c r="AD81" s="54">
        <f t="shared" si="76"/>
        <v>179.39972891146465</v>
      </c>
      <c r="AE81" s="54">
        <f t="shared" si="76"/>
        <v>164.37418270615481</v>
      </c>
      <c r="AF81" s="54">
        <f t="shared" si="76"/>
        <v>165.57703643206136</v>
      </c>
      <c r="AG81" s="54">
        <f t="shared" si="76"/>
        <v>163.14580239096711</v>
      </c>
      <c r="AH81" s="54">
        <f t="shared" si="76"/>
        <v>209.54495071736952</v>
      </c>
      <c r="AJ81" s="54">
        <f t="shared" ca="1" si="76"/>
        <v>486.42003671394252</v>
      </c>
      <c r="AK81" s="54">
        <f t="shared" ca="1" si="76"/>
        <v>467.64335117079526</v>
      </c>
      <c r="AL81" s="54">
        <f t="shared" ca="1" si="76"/>
        <v>515.78108994429215</v>
      </c>
      <c r="AM81" s="55">
        <f t="shared" ca="1" si="76"/>
        <v>622.82485549983232</v>
      </c>
      <c r="AN81" s="54">
        <f t="shared" ca="1" si="76"/>
        <v>528.16936700010706</v>
      </c>
      <c r="AO81" s="54">
        <f t="shared" ca="1" si="76"/>
        <v>516.99149766516484</v>
      </c>
      <c r="AP81" s="54">
        <f t="shared" ca="1" si="76"/>
        <v>530.35534779753539</v>
      </c>
      <c r="AQ81" s="54">
        <f t="shared" ca="1" si="76"/>
        <v>656.74512995358725</v>
      </c>
      <c r="AR81" s="54">
        <f t="shared" ca="1" si="76"/>
        <v>549.83923678039946</v>
      </c>
      <c r="AS81" s="54">
        <f t="shared" ca="1" si="76"/>
        <v>538.2677895403981</v>
      </c>
      <c r="AU81" s="54">
        <f t="shared" ca="1" si="76"/>
        <v>954.06338788473772</v>
      </c>
      <c r="AV81" s="54">
        <f t="shared" ca="1" si="76"/>
        <v>2183.7668101093959</v>
      </c>
      <c r="AW81" s="54">
        <f t="shared" ca="1" si="76"/>
        <v>2275.2075040719201</v>
      </c>
    </row>
    <row r="82" spans="2:49" ht="15.75" thickTop="1" x14ac:dyDescent="0.25">
      <c r="P82" s="8"/>
    </row>
    <row r="83" spans="2:49" x14ac:dyDescent="0.25">
      <c r="C83" s="30" t="s">
        <v>82</v>
      </c>
      <c r="D83" s="30"/>
      <c r="E83" s="45" t="str">
        <f t="shared" ref="E83:K83" si="77">E$9</f>
        <v>Jul-20A</v>
      </c>
      <c r="F83" s="45" t="str">
        <f t="shared" si="77"/>
        <v>Aug-20A</v>
      </c>
      <c r="G83" s="45" t="str">
        <f t="shared" si="77"/>
        <v>Sep-20A</v>
      </c>
      <c r="H83" s="45" t="str">
        <f t="shared" si="77"/>
        <v>Oct-20A</v>
      </c>
      <c r="I83" s="45" t="str">
        <f t="shared" si="77"/>
        <v>Nov-20A</v>
      </c>
      <c r="J83" s="45" t="str">
        <f t="shared" si="77"/>
        <v>Dec-20A</v>
      </c>
      <c r="K83" s="45" t="str">
        <f t="shared" si="77"/>
        <v>Jan-21A</v>
      </c>
      <c r="L83" s="45" t="str">
        <f t="shared" ref="L83:AH83" si="78">L$9</f>
        <v>Feb-21A</v>
      </c>
      <c r="M83" s="45" t="str">
        <f t="shared" si="78"/>
        <v>Mar-21A</v>
      </c>
      <c r="N83" s="45" t="str">
        <f t="shared" si="78"/>
        <v>Apr-21A</v>
      </c>
      <c r="O83" s="45" t="str">
        <f t="shared" si="78"/>
        <v>May-21A</v>
      </c>
      <c r="P83" s="46" t="str">
        <f t="shared" si="78"/>
        <v>Jun-21A</v>
      </c>
      <c r="Q83" s="45" t="str">
        <f t="shared" si="78"/>
        <v>Jul-21F</v>
      </c>
      <c r="R83" s="45" t="str">
        <f t="shared" si="78"/>
        <v>Aug-21F</v>
      </c>
      <c r="S83" s="45" t="str">
        <f t="shared" si="78"/>
        <v>Sep-21F</v>
      </c>
      <c r="T83" s="45" t="str">
        <f t="shared" si="78"/>
        <v>Oct-21F</v>
      </c>
      <c r="U83" s="45" t="str">
        <f t="shared" si="78"/>
        <v>Nov-21F</v>
      </c>
      <c r="V83" s="45" t="str">
        <f t="shared" si="78"/>
        <v>Dec-21F</v>
      </c>
      <c r="W83" s="45" t="str">
        <f t="shared" si="78"/>
        <v>Jan-22F</v>
      </c>
      <c r="X83" s="45" t="str">
        <f t="shared" si="78"/>
        <v>Feb-22F</v>
      </c>
      <c r="Y83" s="45" t="str">
        <f t="shared" si="78"/>
        <v>Mar-22F</v>
      </c>
      <c r="Z83" s="45" t="str">
        <f t="shared" si="78"/>
        <v>Apr-22F</v>
      </c>
      <c r="AA83" s="45" t="str">
        <f t="shared" si="78"/>
        <v>May-22F</v>
      </c>
      <c r="AB83" s="45" t="str">
        <f t="shared" si="78"/>
        <v>Jun-22F</v>
      </c>
      <c r="AC83" s="45" t="str">
        <f t="shared" si="78"/>
        <v>Jul-22F</v>
      </c>
      <c r="AD83" s="45" t="str">
        <f t="shared" si="78"/>
        <v>Aug-22F</v>
      </c>
      <c r="AE83" s="45" t="str">
        <f t="shared" si="78"/>
        <v>Sep-22F</v>
      </c>
      <c r="AF83" s="45" t="str">
        <f t="shared" si="78"/>
        <v>Oct-22F</v>
      </c>
      <c r="AG83" s="45" t="str">
        <f t="shared" si="78"/>
        <v>Nov-22F</v>
      </c>
      <c r="AH83" s="45" t="str">
        <f t="shared" si="78"/>
        <v>Dec-22F</v>
      </c>
      <c r="AJ83" s="45" t="str">
        <f ca="1">AJ$10</f>
        <v>Q3'20A</v>
      </c>
      <c r="AK83" s="45" t="str">
        <f t="shared" ref="AK83:AW83" ca="1" si="79">AK$10</f>
        <v>Q4'20A</v>
      </c>
      <c r="AL83" s="45" t="str">
        <f t="shared" ca="1" si="79"/>
        <v>Q1'21A</v>
      </c>
      <c r="AM83" s="46" t="str">
        <f t="shared" ca="1" si="79"/>
        <v>Q2'21A</v>
      </c>
      <c r="AN83" s="45" t="str">
        <f t="shared" ca="1" si="79"/>
        <v>Q3'21F</v>
      </c>
      <c r="AO83" s="45" t="str">
        <f t="shared" ca="1" si="79"/>
        <v>Q4'21F</v>
      </c>
      <c r="AP83" s="45" t="str">
        <f t="shared" ca="1" si="79"/>
        <v>Q1'22F</v>
      </c>
      <c r="AQ83" s="45" t="str">
        <f t="shared" ca="1" si="79"/>
        <v>Q2'22F</v>
      </c>
      <c r="AR83" s="45" t="str">
        <f t="shared" ca="1" si="79"/>
        <v>Q3'22F</v>
      </c>
      <c r="AS83" s="45" t="str">
        <f t="shared" ca="1" si="79"/>
        <v>Q4'22F</v>
      </c>
      <c r="AU83" s="45" t="str">
        <f t="shared" ca="1" si="79"/>
        <v>FY20</v>
      </c>
      <c r="AV83" s="45" t="str">
        <f t="shared" ca="1" si="79"/>
        <v>FY21</v>
      </c>
      <c r="AW83" s="45" t="str">
        <f t="shared" ca="1" si="79"/>
        <v>FY22</v>
      </c>
    </row>
    <row r="84" spans="2:49" x14ac:dyDescent="0.25">
      <c r="C84" s="1" t="s">
        <v>472</v>
      </c>
      <c r="D84" s="1"/>
      <c r="E84" s="58">
        <v>0.2718488606864724</v>
      </c>
      <c r="F84" s="58">
        <v>0.30228201634877383</v>
      </c>
      <c r="G84" s="58">
        <v>0.25588445078459343</v>
      </c>
      <c r="H84" s="58">
        <v>0.22419928825622776</v>
      </c>
      <c r="I84" s="58">
        <v>0.21662189919418545</v>
      </c>
      <c r="J84" s="59">
        <v>0.18742201147991014</v>
      </c>
      <c r="K84" s="58">
        <v>0.27211267605633799</v>
      </c>
      <c r="L84" s="58">
        <v>0.29835630084675407</v>
      </c>
      <c r="M84" s="58">
        <v>0.25397667020148457</v>
      </c>
      <c r="N84" s="58">
        <v>0.22834532374100719</v>
      </c>
      <c r="O84" s="58">
        <v>0.22040549378678881</v>
      </c>
      <c r="P84" s="60">
        <v>0.18835001283038236</v>
      </c>
      <c r="Q84" s="57">
        <f t="shared" ref="Q84:Q89" si="80">E84</f>
        <v>0.2718488606864724</v>
      </c>
      <c r="R84" s="57">
        <f t="shared" ref="R84:AH84" si="81">F84</f>
        <v>0.30228201634877383</v>
      </c>
      <c r="S84" s="57">
        <f t="shared" si="81"/>
        <v>0.25588445078459343</v>
      </c>
      <c r="T84" s="57">
        <f t="shared" si="81"/>
        <v>0.22419928825622776</v>
      </c>
      <c r="U84" s="57">
        <f t="shared" si="81"/>
        <v>0.21662189919418545</v>
      </c>
      <c r="V84" s="57">
        <f t="shared" si="81"/>
        <v>0.18742201147991014</v>
      </c>
      <c r="W84" s="57">
        <f t="shared" si="81"/>
        <v>0.27211267605633799</v>
      </c>
      <c r="X84" s="57">
        <f t="shared" si="81"/>
        <v>0.29835630084675407</v>
      </c>
      <c r="Y84" s="57">
        <f t="shared" si="81"/>
        <v>0.25397667020148457</v>
      </c>
      <c r="Z84" s="57">
        <f t="shared" si="81"/>
        <v>0.22834532374100719</v>
      </c>
      <c r="AA84" s="57">
        <f t="shared" si="81"/>
        <v>0.22040549378678881</v>
      </c>
      <c r="AB84" s="57">
        <f t="shared" si="81"/>
        <v>0.18835001283038236</v>
      </c>
      <c r="AC84" s="57">
        <f t="shared" si="81"/>
        <v>0.2718488606864724</v>
      </c>
      <c r="AD84" s="57">
        <f t="shared" si="81"/>
        <v>0.30228201634877383</v>
      </c>
      <c r="AE84" s="57">
        <f t="shared" si="81"/>
        <v>0.25588445078459343</v>
      </c>
      <c r="AF84" s="57">
        <f t="shared" si="81"/>
        <v>0.22419928825622776</v>
      </c>
      <c r="AG84" s="57">
        <f t="shared" si="81"/>
        <v>0.21662189919418545</v>
      </c>
      <c r="AH84" s="57">
        <f t="shared" si="81"/>
        <v>0.18742201147991014</v>
      </c>
      <c r="AJ84" s="58">
        <f ca="1">AJ91/AJ$97</f>
        <v>0.2771374758911444</v>
      </c>
      <c r="AK84" s="323">
        <f t="shared" ref="AK84:AW84" ca="1" si="82">AK91/AK$97</f>
        <v>0.20794299726787793</v>
      </c>
      <c r="AL84" s="323">
        <f t="shared" ca="1" si="82"/>
        <v>0.27502978524388405</v>
      </c>
      <c r="AM84" s="335">
        <f t="shared" ca="1" si="82"/>
        <v>0.21202144661830966</v>
      </c>
      <c r="AN84" s="323">
        <f t="shared" ca="1" si="82"/>
        <v>0.27700417410236439</v>
      </c>
      <c r="AO84" s="323">
        <f t="shared" ca="1" si="82"/>
        <v>0.20759410129061046</v>
      </c>
      <c r="AP84" s="323">
        <f t="shared" ca="1" si="82"/>
        <v>0.27500233082587255</v>
      </c>
      <c r="AQ84" s="323">
        <f t="shared" ca="1" si="82"/>
        <v>0.21224712970752777</v>
      </c>
      <c r="AR84" s="323">
        <f t="shared" ca="1" si="82"/>
        <v>0.27700593725731459</v>
      </c>
      <c r="AS84" s="323">
        <f t="shared" ca="1" si="82"/>
        <v>0.2075854167930965</v>
      </c>
      <c r="AT84" s="323"/>
      <c r="AU84" s="323">
        <f t="shared" ca="1" si="82"/>
        <v>0.24322113628855024</v>
      </c>
      <c r="AV84" s="323">
        <f t="shared" ca="1" si="82"/>
        <v>0.24157198993762624</v>
      </c>
      <c r="AW84" s="323">
        <f t="shared" ca="1" si="82"/>
        <v>0.24142259603685573</v>
      </c>
    </row>
    <row r="85" spans="2:49" x14ac:dyDescent="0.25">
      <c r="C85" s="1" t="s">
        <v>473</v>
      </c>
      <c r="D85" s="1"/>
      <c r="E85" s="58">
        <v>0.43149697144505328</v>
      </c>
      <c r="F85" s="58">
        <v>0.39901226158038144</v>
      </c>
      <c r="G85" s="58">
        <v>0.42724679029957197</v>
      </c>
      <c r="H85" s="58">
        <v>0.46377224199288258</v>
      </c>
      <c r="I85" s="58">
        <v>0.46152630747353451</v>
      </c>
      <c r="J85" s="59">
        <v>0.49550786124282509</v>
      </c>
      <c r="K85" s="58">
        <v>0.430281690140845</v>
      </c>
      <c r="L85" s="58">
        <v>0.40328739830649174</v>
      </c>
      <c r="M85" s="58">
        <v>0.43336868151290203</v>
      </c>
      <c r="N85" s="58">
        <v>0.45625899280575544</v>
      </c>
      <c r="O85" s="58">
        <v>0.459123610202747</v>
      </c>
      <c r="P85" s="60">
        <v>0.49486784706184245</v>
      </c>
      <c r="Q85" s="57">
        <f t="shared" si="80"/>
        <v>0.43149697144505328</v>
      </c>
      <c r="R85" s="57">
        <f t="shared" ref="R85:AA88" si="83">F85</f>
        <v>0.39901226158038144</v>
      </c>
      <c r="S85" s="57">
        <f t="shared" si="83"/>
        <v>0.42724679029957197</v>
      </c>
      <c r="T85" s="57">
        <f t="shared" si="83"/>
        <v>0.46377224199288258</v>
      </c>
      <c r="U85" s="57">
        <f t="shared" si="83"/>
        <v>0.46152630747353451</v>
      </c>
      <c r="V85" s="57">
        <f t="shared" si="83"/>
        <v>0.49550786124282509</v>
      </c>
      <c r="W85" s="57">
        <f t="shared" si="83"/>
        <v>0.430281690140845</v>
      </c>
      <c r="X85" s="57">
        <f t="shared" si="83"/>
        <v>0.40328739830649174</v>
      </c>
      <c r="Y85" s="57">
        <f t="shared" si="83"/>
        <v>0.43336868151290203</v>
      </c>
      <c r="Z85" s="57">
        <f t="shared" si="83"/>
        <v>0.45625899280575544</v>
      </c>
      <c r="AA85" s="57">
        <f t="shared" si="83"/>
        <v>0.459123610202747</v>
      </c>
      <c r="AB85" s="57">
        <f t="shared" ref="AB85:AH88" si="84">P85</f>
        <v>0.49486784706184245</v>
      </c>
      <c r="AC85" s="57">
        <f t="shared" si="84"/>
        <v>0.43149697144505328</v>
      </c>
      <c r="AD85" s="57">
        <f t="shared" si="84"/>
        <v>0.39901226158038144</v>
      </c>
      <c r="AE85" s="57">
        <f t="shared" si="84"/>
        <v>0.42724679029957197</v>
      </c>
      <c r="AF85" s="57">
        <f t="shared" si="84"/>
        <v>0.46377224199288258</v>
      </c>
      <c r="AG85" s="57">
        <f t="shared" si="84"/>
        <v>0.46152630747353451</v>
      </c>
      <c r="AH85" s="57">
        <f t="shared" si="84"/>
        <v>0.49550786124282509</v>
      </c>
      <c r="AJ85" s="58">
        <f t="shared" ref="AJ85:AW89" ca="1" si="85">AJ92/AJ$97</f>
        <v>0.4195035608113088</v>
      </c>
      <c r="AK85" s="323">
        <f t="shared" ca="1" si="85"/>
        <v>0.47506932928571449</v>
      </c>
      <c r="AL85" s="323">
        <f t="shared" ca="1" si="85"/>
        <v>0.42250110932858403</v>
      </c>
      <c r="AM85" s="330">
        <f t="shared" ca="1" si="85"/>
        <v>0.4704331334866555</v>
      </c>
      <c r="AN85" s="323">
        <f t="shared" ca="1" si="85"/>
        <v>0.41962626468039887</v>
      </c>
      <c r="AO85" s="323">
        <f t="shared" ca="1" si="85"/>
        <v>0.47543733337904659</v>
      </c>
      <c r="AP85" s="323">
        <f t="shared" ca="1" si="85"/>
        <v>0.42248217373997449</v>
      </c>
      <c r="AQ85" s="323">
        <f t="shared" ca="1" si="85"/>
        <v>0.47027373327706024</v>
      </c>
      <c r="AR85" s="323">
        <f t="shared" ca="1" si="85"/>
        <v>0.41962737800925815</v>
      </c>
      <c r="AS85" s="323">
        <f t="shared" ca="1" si="85"/>
        <v>0.4754460298444706</v>
      </c>
      <c r="AT85" s="323"/>
      <c r="AU85" s="323">
        <f t="shared" ca="1" si="85"/>
        <v>0.44673965697611723</v>
      </c>
      <c r="AV85" s="323">
        <f t="shared" ca="1" si="85"/>
        <v>0.44800860794827724</v>
      </c>
      <c r="AW85" s="323">
        <f t="shared" ca="1" si="85"/>
        <v>0.44811760827490993</v>
      </c>
    </row>
    <row r="86" spans="2:49" x14ac:dyDescent="0.25">
      <c r="C86" s="1" t="s">
        <v>474</v>
      </c>
      <c r="D86" s="1"/>
      <c r="E86" s="58">
        <v>0.19685607153158347</v>
      </c>
      <c r="F86" s="58">
        <v>0.18511580381471388</v>
      </c>
      <c r="G86" s="58">
        <v>0.19721825962910125</v>
      </c>
      <c r="H86" s="58">
        <v>0.21338078291814946</v>
      </c>
      <c r="I86" s="58">
        <v>0.21346184231316159</v>
      </c>
      <c r="J86" s="59">
        <v>0.2279760419266284</v>
      </c>
      <c r="K86" s="58">
        <v>0.19929577464788728</v>
      </c>
      <c r="L86" s="58">
        <v>0.18661796446953344</v>
      </c>
      <c r="M86" s="58">
        <v>0.19370802403676207</v>
      </c>
      <c r="N86" s="58">
        <v>0.21640287769784172</v>
      </c>
      <c r="O86" s="58">
        <v>0.20961412688031394</v>
      </c>
      <c r="P86" s="60">
        <v>0.22645624839620221</v>
      </c>
      <c r="Q86" s="57">
        <f t="shared" si="80"/>
        <v>0.19685607153158347</v>
      </c>
      <c r="R86" s="57">
        <f t="shared" si="83"/>
        <v>0.18511580381471388</v>
      </c>
      <c r="S86" s="57">
        <f t="shared" si="83"/>
        <v>0.19721825962910125</v>
      </c>
      <c r="T86" s="57">
        <f t="shared" si="83"/>
        <v>0.21338078291814946</v>
      </c>
      <c r="U86" s="57">
        <f t="shared" si="83"/>
        <v>0.21346184231316159</v>
      </c>
      <c r="V86" s="57">
        <f t="shared" si="83"/>
        <v>0.2279760419266284</v>
      </c>
      <c r="W86" s="57">
        <f t="shared" si="83"/>
        <v>0.19929577464788728</v>
      </c>
      <c r="X86" s="57">
        <f t="shared" si="83"/>
        <v>0.18661796446953344</v>
      </c>
      <c r="Y86" s="57">
        <f t="shared" si="83"/>
        <v>0.19370802403676207</v>
      </c>
      <c r="Z86" s="57">
        <f t="shared" si="83"/>
        <v>0.21640287769784172</v>
      </c>
      <c r="AA86" s="57">
        <f t="shared" si="83"/>
        <v>0.20961412688031394</v>
      </c>
      <c r="AB86" s="57">
        <f t="shared" si="84"/>
        <v>0.22645624839620221</v>
      </c>
      <c r="AC86" s="57">
        <f t="shared" si="84"/>
        <v>0.19685607153158347</v>
      </c>
      <c r="AD86" s="57">
        <f t="shared" si="84"/>
        <v>0.18511580381471388</v>
      </c>
      <c r="AE86" s="57">
        <f t="shared" si="84"/>
        <v>0.19721825962910125</v>
      </c>
      <c r="AF86" s="57">
        <f t="shared" si="84"/>
        <v>0.21338078291814946</v>
      </c>
      <c r="AG86" s="57">
        <f t="shared" si="84"/>
        <v>0.21346184231316159</v>
      </c>
      <c r="AH86" s="57">
        <f t="shared" si="84"/>
        <v>0.2279760419266284</v>
      </c>
      <c r="AJ86" s="58">
        <f t="shared" ca="1" si="85"/>
        <v>0.19308754407796827</v>
      </c>
      <c r="AK86" s="323">
        <f t="shared" ca="1" si="85"/>
        <v>0.2189226082570275</v>
      </c>
      <c r="AL86" s="323">
        <f t="shared" ca="1" si="85"/>
        <v>0.19348078648673794</v>
      </c>
      <c r="AM86" s="330">
        <f t="shared" ca="1" si="85"/>
        <v>0.21760744975705179</v>
      </c>
      <c r="AN86" s="323">
        <f t="shared" ca="1" si="85"/>
        <v>0.19313363643720044</v>
      </c>
      <c r="AO86" s="323">
        <f t="shared" ca="1" si="85"/>
        <v>0.21908336564199857</v>
      </c>
      <c r="AP86" s="323">
        <f t="shared" ca="1" si="85"/>
        <v>0.193450567414408</v>
      </c>
      <c r="AQ86" s="323">
        <f t="shared" ca="1" si="85"/>
        <v>0.21765770913455371</v>
      </c>
      <c r="AR86" s="323">
        <f t="shared" ca="1" si="85"/>
        <v>0.19313377174588006</v>
      </c>
      <c r="AS86" s="323">
        <f t="shared" ca="1" si="85"/>
        <v>0.21908721267182701</v>
      </c>
      <c r="AT86" s="323"/>
      <c r="AU86" s="323">
        <f t="shared" ca="1" si="85"/>
        <v>0.2057508494136798</v>
      </c>
      <c r="AV86" s="323">
        <f t="shared" ca="1" si="85"/>
        <v>0.20633914075546619</v>
      </c>
      <c r="AW86" s="323">
        <f t="shared" ca="1" si="85"/>
        <v>0.20642657776392914</v>
      </c>
    </row>
    <row r="87" spans="2:49" x14ac:dyDescent="0.25">
      <c r="C87" s="1" t="s">
        <v>475</v>
      </c>
      <c r="D87" s="1"/>
      <c r="E87" s="58">
        <v>8.6530141332564162E-2</v>
      </c>
      <c r="F87" s="58">
        <v>0.10217983651226158</v>
      </c>
      <c r="G87" s="58">
        <v>0.10699001426533522</v>
      </c>
      <c r="H87" s="58">
        <v>8.5409252669039148E-2</v>
      </c>
      <c r="I87" s="58">
        <v>9.480170643071574E-2</v>
      </c>
      <c r="J87" s="59">
        <v>7.4868979286249068E-2</v>
      </c>
      <c r="K87" s="58">
        <v>8.4507042253521111E-2</v>
      </c>
      <c r="L87" s="58">
        <v>9.9618130499750948E-2</v>
      </c>
      <c r="M87" s="58">
        <v>0.10604453870625662</v>
      </c>
      <c r="N87" s="58">
        <v>8.6330935251798566E-2</v>
      </c>
      <c r="O87" s="58">
        <v>9.8103335513407469E-2</v>
      </c>
      <c r="P87" s="60">
        <v>7.6982294072363358E-2</v>
      </c>
      <c r="Q87" s="57">
        <f t="shared" si="80"/>
        <v>8.6530141332564162E-2</v>
      </c>
      <c r="R87" s="57">
        <f t="shared" si="83"/>
        <v>0.10217983651226158</v>
      </c>
      <c r="S87" s="57">
        <f t="shared" si="83"/>
        <v>0.10699001426533522</v>
      </c>
      <c r="T87" s="57">
        <f t="shared" si="83"/>
        <v>8.5409252669039148E-2</v>
      </c>
      <c r="U87" s="57">
        <f t="shared" si="83"/>
        <v>9.480170643071574E-2</v>
      </c>
      <c r="V87" s="57">
        <f t="shared" si="83"/>
        <v>7.4868979286249068E-2</v>
      </c>
      <c r="W87" s="57">
        <f t="shared" si="83"/>
        <v>8.4507042253521111E-2</v>
      </c>
      <c r="X87" s="57">
        <f t="shared" si="83"/>
        <v>9.9618130499750948E-2</v>
      </c>
      <c r="Y87" s="57">
        <f t="shared" si="83"/>
        <v>0.10604453870625662</v>
      </c>
      <c r="Z87" s="57">
        <f t="shared" si="83"/>
        <v>8.6330935251798566E-2</v>
      </c>
      <c r="AA87" s="57">
        <f t="shared" si="83"/>
        <v>9.8103335513407469E-2</v>
      </c>
      <c r="AB87" s="57">
        <f t="shared" si="84"/>
        <v>7.6982294072363358E-2</v>
      </c>
      <c r="AC87" s="57">
        <f t="shared" si="84"/>
        <v>8.6530141332564162E-2</v>
      </c>
      <c r="AD87" s="57">
        <f t="shared" si="84"/>
        <v>0.10217983651226158</v>
      </c>
      <c r="AE87" s="57">
        <f t="shared" si="84"/>
        <v>0.10699001426533522</v>
      </c>
      <c r="AF87" s="57">
        <f t="shared" si="84"/>
        <v>8.5409252669039148E-2</v>
      </c>
      <c r="AG87" s="57">
        <f t="shared" si="84"/>
        <v>9.480170643071574E-2</v>
      </c>
      <c r="AH87" s="57">
        <f t="shared" si="84"/>
        <v>7.4868979286249068E-2</v>
      </c>
      <c r="AJ87" s="58">
        <f t="shared" ca="1" si="85"/>
        <v>9.7798045296034322E-2</v>
      </c>
      <c r="AK87" s="323">
        <f t="shared" ca="1" si="85"/>
        <v>8.4344955867816332E-2</v>
      </c>
      <c r="AL87" s="323">
        <f t="shared" ca="1" si="85"/>
        <v>9.6006129981923705E-2</v>
      </c>
      <c r="AM87" s="330">
        <f t="shared" ca="1" si="85"/>
        <v>8.701230006734044E-2</v>
      </c>
      <c r="AN87" s="323">
        <f t="shared" ca="1" si="85"/>
        <v>9.7755868329181067E-2</v>
      </c>
      <c r="AO87" s="323">
        <f t="shared" ca="1" si="85"/>
        <v>8.415684655276863E-2</v>
      </c>
      <c r="AP87" s="323">
        <f t="shared" ca="1" si="85"/>
        <v>9.6087231948483537E-2</v>
      </c>
      <c r="AQ87" s="323">
        <f t="shared" ca="1" si="85"/>
        <v>8.6899071505459238E-2</v>
      </c>
      <c r="AR87" s="323">
        <f t="shared" ca="1" si="85"/>
        <v>9.7752741597530876E-2</v>
      </c>
      <c r="AS87" s="323">
        <f t="shared" ca="1" si="85"/>
        <v>8.4152774621647455E-2</v>
      </c>
      <c r="AT87" s="323"/>
      <c r="AU87" s="323">
        <f t="shared" ca="1" si="85"/>
        <v>9.1203884044588929E-2</v>
      </c>
      <c r="AV87" s="323">
        <f t="shared" ca="1" si="85"/>
        <v>9.1058989399907822E-2</v>
      </c>
      <c r="AW87" s="323">
        <f t="shared" ca="1" si="85"/>
        <v>9.1014089822357161E-2</v>
      </c>
    </row>
    <row r="88" spans="2:49" x14ac:dyDescent="0.25">
      <c r="C88" s="1" t="s">
        <v>476</v>
      </c>
      <c r="D88" s="1"/>
      <c r="E88" s="58">
        <v>5.3360253821747904E-3</v>
      </c>
      <c r="F88" s="58">
        <v>4.5980926430517714E-3</v>
      </c>
      <c r="G88" s="58">
        <v>4.6362339514978597E-3</v>
      </c>
      <c r="H88" s="58">
        <v>4.8398576512455518E-3</v>
      </c>
      <c r="I88" s="58">
        <v>5.5300995417917513E-3</v>
      </c>
      <c r="J88" s="59">
        <v>6.2390816071874224E-3</v>
      </c>
      <c r="K88" s="58">
        <v>5.2112676056338021E-3</v>
      </c>
      <c r="L88" s="58">
        <v>4.4828158724887924E-3</v>
      </c>
      <c r="M88" s="58">
        <v>4.5952633439377867E-3</v>
      </c>
      <c r="N88" s="58">
        <v>4.8920863309352518E-3</v>
      </c>
      <c r="O88" s="58">
        <v>5.7226945716154359E-3</v>
      </c>
      <c r="P88" s="60">
        <v>6.4151911726969468E-3</v>
      </c>
      <c r="Q88" s="57">
        <f t="shared" si="80"/>
        <v>5.3360253821747904E-3</v>
      </c>
      <c r="R88" s="57">
        <f t="shared" si="83"/>
        <v>4.5980926430517714E-3</v>
      </c>
      <c r="S88" s="57">
        <f t="shared" si="83"/>
        <v>4.6362339514978597E-3</v>
      </c>
      <c r="T88" s="57">
        <f t="shared" si="83"/>
        <v>4.8398576512455518E-3</v>
      </c>
      <c r="U88" s="57">
        <f t="shared" si="83"/>
        <v>5.5300995417917513E-3</v>
      </c>
      <c r="V88" s="57">
        <f t="shared" si="83"/>
        <v>6.2390816071874224E-3</v>
      </c>
      <c r="W88" s="57">
        <f t="shared" si="83"/>
        <v>5.2112676056338021E-3</v>
      </c>
      <c r="X88" s="57">
        <f t="shared" si="83"/>
        <v>4.4828158724887924E-3</v>
      </c>
      <c r="Y88" s="57">
        <f t="shared" si="83"/>
        <v>4.5952633439377867E-3</v>
      </c>
      <c r="Z88" s="57">
        <f t="shared" si="83"/>
        <v>4.8920863309352518E-3</v>
      </c>
      <c r="AA88" s="57">
        <f t="shared" si="83"/>
        <v>5.7226945716154359E-3</v>
      </c>
      <c r="AB88" s="57">
        <f t="shared" si="84"/>
        <v>6.4151911726969468E-3</v>
      </c>
      <c r="AC88" s="57">
        <f t="shared" si="84"/>
        <v>5.3360253821747904E-3</v>
      </c>
      <c r="AD88" s="57">
        <f t="shared" si="84"/>
        <v>4.5980926430517714E-3</v>
      </c>
      <c r="AE88" s="57">
        <f t="shared" si="84"/>
        <v>4.6362339514978597E-3</v>
      </c>
      <c r="AF88" s="57">
        <f t="shared" si="84"/>
        <v>4.8398576512455518E-3</v>
      </c>
      <c r="AG88" s="57">
        <f t="shared" si="84"/>
        <v>5.5300995417917513E-3</v>
      </c>
      <c r="AH88" s="57">
        <f t="shared" si="84"/>
        <v>6.2390816071874224E-3</v>
      </c>
      <c r="AJ88" s="58">
        <f t="shared" ca="1" si="85"/>
        <v>4.883710152452073E-3</v>
      </c>
      <c r="AK88" s="323">
        <f t="shared" ca="1" si="85"/>
        <v>5.5832901537814575E-3</v>
      </c>
      <c r="AL88" s="323">
        <f t="shared" ca="1" si="85"/>
        <v>4.7865854207483644E-3</v>
      </c>
      <c r="AM88" s="330">
        <f t="shared" ca="1" si="85"/>
        <v>5.6880394604700377E-3</v>
      </c>
      <c r="AN88" s="323">
        <f t="shared" ca="1" si="85"/>
        <v>4.8859426467183992E-3</v>
      </c>
      <c r="AO88" s="323">
        <f t="shared" ca="1" si="85"/>
        <v>5.5935013910262329E-3</v>
      </c>
      <c r="AP88" s="323">
        <f t="shared" ca="1" si="85"/>
        <v>4.7839553106532786E-3</v>
      </c>
      <c r="AQ88" s="323">
        <f t="shared" ca="1" si="85"/>
        <v>5.6730114433102266E-3</v>
      </c>
      <c r="AR88" s="323">
        <f t="shared" ca="1" si="85"/>
        <v>4.8860528060367427E-3</v>
      </c>
      <c r="AS88" s="323">
        <f t="shared" ca="1" si="85"/>
        <v>5.593776778217506E-3</v>
      </c>
      <c r="AT88" s="323"/>
      <c r="AU88" s="323">
        <f t="shared" ca="1" si="85"/>
        <v>5.2266160226365254E-3</v>
      </c>
      <c r="AV88" s="323">
        <f t="shared" ca="1" si="85"/>
        <v>5.2587485273435774E-3</v>
      </c>
      <c r="AW88" s="323">
        <f t="shared" ca="1" si="85"/>
        <v>5.256844620159881E-3</v>
      </c>
    </row>
    <row r="89" spans="2:49" x14ac:dyDescent="0.25">
      <c r="C89" s="1" t="s">
        <v>477</v>
      </c>
      <c r="D89" s="1"/>
      <c r="E89" s="58">
        <v>7.9319296221517146E-3</v>
      </c>
      <c r="F89" s="58">
        <v>6.8119891008174378E-3</v>
      </c>
      <c r="G89" s="58">
        <v>8.0242510699001408E-3</v>
      </c>
      <c r="H89" s="58">
        <v>8.3985765124555169E-3</v>
      </c>
      <c r="I89" s="58">
        <v>8.0581450466108377E-3</v>
      </c>
      <c r="J89" s="59">
        <v>7.9860244571999008E-3</v>
      </c>
      <c r="K89" s="58">
        <v>8.5915492957746465E-3</v>
      </c>
      <c r="L89" s="58">
        <v>7.6373900049809054E-3</v>
      </c>
      <c r="M89" s="58">
        <v>8.3068221986567683E-3</v>
      </c>
      <c r="N89" s="58">
        <v>7.769784172661871E-3</v>
      </c>
      <c r="O89" s="58">
        <v>7.0307390451275348E-3</v>
      </c>
      <c r="P89" s="60">
        <v>6.9284064665127024E-3</v>
      </c>
      <c r="Q89" s="57">
        <f t="shared" si="80"/>
        <v>7.9319296221517146E-3</v>
      </c>
      <c r="R89" s="57">
        <f t="shared" ref="R89" si="86">F89</f>
        <v>6.8119891008174378E-3</v>
      </c>
      <c r="S89" s="57">
        <f t="shared" ref="S89" si="87">G89</f>
        <v>8.0242510699001408E-3</v>
      </c>
      <c r="T89" s="57">
        <f t="shared" ref="T89" si="88">H89</f>
        <v>8.3985765124555169E-3</v>
      </c>
      <c r="U89" s="57">
        <f t="shared" ref="U89" si="89">I89</f>
        <v>8.0581450466108377E-3</v>
      </c>
      <c r="V89" s="57">
        <f t="shared" ref="V89" si="90">J89</f>
        <v>7.9860244571999008E-3</v>
      </c>
      <c r="W89" s="57">
        <f t="shared" ref="W89" si="91">K89</f>
        <v>8.5915492957746465E-3</v>
      </c>
      <c r="X89" s="57">
        <f t="shared" ref="X89" si="92">L89</f>
        <v>7.6373900049809054E-3</v>
      </c>
      <c r="Y89" s="57">
        <f t="shared" ref="Y89" si="93">M89</f>
        <v>8.3068221986567683E-3</v>
      </c>
      <c r="Z89" s="57">
        <f t="shared" ref="Z89" si="94">N89</f>
        <v>7.769784172661871E-3</v>
      </c>
      <c r="AA89" s="57">
        <f t="shared" ref="AA89" si="95">O89</f>
        <v>7.0307390451275348E-3</v>
      </c>
      <c r="AB89" s="57">
        <f t="shared" ref="AB89" si="96">P89</f>
        <v>6.9284064665127024E-3</v>
      </c>
      <c r="AC89" s="57">
        <f t="shared" ref="AC89" si="97">Q89</f>
        <v>7.9319296221517146E-3</v>
      </c>
      <c r="AD89" s="57">
        <f t="shared" ref="AD89" si="98">R89</f>
        <v>6.8119891008174378E-3</v>
      </c>
      <c r="AE89" s="57">
        <f t="shared" ref="AE89" si="99">S89</f>
        <v>8.0242510699001408E-3</v>
      </c>
      <c r="AF89" s="57">
        <f t="shared" ref="AF89" si="100">T89</f>
        <v>8.3985765124555169E-3</v>
      </c>
      <c r="AG89" s="57">
        <f t="shared" ref="AG89" si="101">U89</f>
        <v>8.0581450466108377E-3</v>
      </c>
      <c r="AH89" s="57">
        <f t="shared" ref="AH89" si="102">V89</f>
        <v>7.9860244571999008E-3</v>
      </c>
      <c r="AJ89" s="58">
        <f t="shared" ca="1" si="85"/>
        <v>7.5896637710921666E-3</v>
      </c>
      <c r="AK89" s="323">
        <f t="shared" ca="1" si="85"/>
        <v>8.1368191677821944E-3</v>
      </c>
      <c r="AL89" s="323">
        <f t="shared" ca="1" si="85"/>
        <v>8.1956035381217946E-3</v>
      </c>
      <c r="AM89" s="330">
        <f t="shared" ca="1" si="85"/>
        <v>7.2376306101724812E-3</v>
      </c>
      <c r="AN89" s="323">
        <f t="shared" ca="1" si="85"/>
        <v>7.5941138041368175E-3</v>
      </c>
      <c r="AO89" s="323">
        <f t="shared" ca="1" si="85"/>
        <v>8.1348517445495473E-3</v>
      </c>
      <c r="AP89" s="323">
        <f t="shared" ca="1" si="85"/>
        <v>8.1937407606083416E-3</v>
      </c>
      <c r="AQ89" s="323">
        <f t="shared" ca="1" si="85"/>
        <v>7.249344932088714E-3</v>
      </c>
      <c r="AR89" s="323">
        <f t="shared" ca="1" si="85"/>
        <v>7.5941185839798076E-3</v>
      </c>
      <c r="AS89" s="323">
        <f t="shared" ca="1" si="85"/>
        <v>8.1347892907410475E-3</v>
      </c>
      <c r="AT89" s="323"/>
      <c r="AU89" s="323">
        <f t="shared" ca="1" si="85"/>
        <v>7.8578572544272824E-3</v>
      </c>
      <c r="AV89" s="323">
        <f t="shared" ca="1" si="85"/>
        <v>7.7625234313790474E-3</v>
      </c>
      <c r="AW89" s="323">
        <f t="shared" ca="1" si="85"/>
        <v>7.7622834817880348E-3</v>
      </c>
    </row>
    <row r="90" spans="2:49" x14ac:dyDescent="0.25">
      <c r="C90" s="1"/>
      <c r="D90" s="1"/>
      <c r="E90" s="58"/>
      <c r="F90" s="58"/>
      <c r="G90" s="58"/>
      <c r="H90" s="58"/>
      <c r="I90" s="58"/>
      <c r="J90" s="59"/>
      <c r="K90" s="58"/>
      <c r="L90" s="58"/>
      <c r="M90" s="58"/>
      <c r="N90" s="58"/>
      <c r="O90" s="58"/>
      <c r="P90" s="60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M90" s="8"/>
    </row>
    <row r="91" spans="2:49" x14ac:dyDescent="0.25">
      <c r="C91" s="1" t="s">
        <v>1</v>
      </c>
      <c r="D91" s="1"/>
      <c r="E91" s="31">
        <f>E$81*E84</f>
        <v>49.142897138700178</v>
      </c>
      <c r="F91" s="31">
        <f t="shared" ref="F91:P91" si="103">F$81*F84</f>
        <v>48.549854381037072</v>
      </c>
      <c r="G91" s="31">
        <f t="shared" si="103"/>
        <v>37.112469678042544</v>
      </c>
      <c r="H91" s="31">
        <f t="shared" si="103"/>
        <v>32.625258303612746</v>
      </c>
      <c r="I91" s="31">
        <f t="shared" si="103"/>
        <v>31.489746883993607</v>
      </c>
      <c r="J91" s="37">
        <f t="shared" si="103"/>
        <v>33.128154907243605</v>
      </c>
      <c r="K91" s="31">
        <f t="shared" si="103"/>
        <v>51.874954524871136</v>
      </c>
      <c r="L91" s="31">
        <f t="shared" si="103"/>
        <v>49.758223889617994</v>
      </c>
      <c r="M91" s="31">
        <f t="shared" si="103"/>
        <v>40.221983985746</v>
      </c>
      <c r="N91" s="31">
        <f t="shared" si="103"/>
        <v>46.560875342335628</v>
      </c>
      <c r="O91" s="31">
        <f t="shared" si="103"/>
        <v>45.296703135421915</v>
      </c>
      <c r="P91" s="32">
        <f t="shared" si="103"/>
        <v>40.194648375156618</v>
      </c>
      <c r="Q91" s="61">
        <f t="shared" ref="Q91:AH91" si="104">Q$81*Q84</f>
        <v>53.788379854298469</v>
      </c>
      <c r="R91" s="61">
        <f t="shared" si="104"/>
        <v>52.094598038829346</v>
      </c>
      <c r="S91" s="61">
        <f t="shared" si="104"/>
        <v>40.422141398905403</v>
      </c>
      <c r="T91" s="61">
        <f t="shared" si="104"/>
        <v>35.669683007307242</v>
      </c>
      <c r="U91" s="61">
        <f t="shared" si="104"/>
        <v>33.959350007100824</v>
      </c>
      <c r="V91" s="61">
        <f t="shared" si="104"/>
        <v>37.695352318278566</v>
      </c>
      <c r="W91" s="61">
        <f t="shared" si="104"/>
        <v>52.752199178489398</v>
      </c>
      <c r="X91" s="61">
        <f t="shared" si="104"/>
        <v>51.330056712738504</v>
      </c>
      <c r="Y91" s="61">
        <f t="shared" si="104"/>
        <v>41.766700919060568</v>
      </c>
      <c r="Z91" s="61">
        <f t="shared" si="104"/>
        <v>51.406739481333574</v>
      </c>
      <c r="AA91" s="61">
        <f t="shared" si="104"/>
        <v>46.000720738666438</v>
      </c>
      <c r="AB91" s="61">
        <f t="shared" si="104"/>
        <v>41.984808562046211</v>
      </c>
      <c r="AC91" s="61">
        <f t="shared" si="104"/>
        <v>56.018623872489208</v>
      </c>
      <c r="AD91" s="61">
        <f t="shared" si="104"/>
        <v>54.229311787780951</v>
      </c>
      <c r="AE91" s="61">
        <f t="shared" si="104"/>
        <v>42.060797464930843</v>
      </c>
      <c r="AF91" s="61">
        <f t="shared" si="104"/>
        <v>37.122253719643652</v>
      </c>
      <c r="AG91" s="61">
        <f t="shared" si="104"/>
        <v>35.340953559490579</v>
      </c>
      <c r="AH91" s="61">
        <f t="shared" si="104"/>
        <v>39.27333615890803</v>
      </c>
      <c r="AJ91" s="13" cm="1">
        <f t="array" aca="1" ref="AJ91" ca="1">SUMPRODUCT(($E91:$AH91)*(AJ$3&amp;AJ$4&amp;AJ$5&amp;AJ$6=$E$3:$AH$3&amp;$E$4:$AH$4&amp;$E$5:$AH$5&amp;$E$6:$AH$6))</f>
        <v>134.80522119777979</v>
      </c>
      <c r="AK91" s="13" cm="1">
        <f t="array" aca="1" ref="AK91" ca="1">SUMPRODUCT(($E91:$AH91)*(AK$3=$E$3:$AH$3)*(AK$4=$E$4:$AH$4)*(AK$5=$E$5:$AH$5)*(AK$6=$E$6:$AH$6))</f>
        <v>97.243160094849969</v>
      </c>
      <c r="AL91" s="13" cm="1">
        <f t="array" aca="1" ref="AL91" ca="1">SUMPRODUCT(($E91:$AH91)*(AL$3=$E$3:$AH$3)*(AL$4=$E$4:$AH$4)*(AL$5=$E$5:$AH$5)*(AL$6=$E$6:$AH$6))</f>
        <v>141.85516240023512</v>
      </c>
      <c r="AM91" s="17" cm="1">
        <f t="array" aca="1" ref="AM91" ca="1">SUMPRODUCT(($E91:$AH91)*(AM$3=$E$3:$AH$3)*(AM$4=$E$4:$AH$4)*(AM$5=$E$5:$AH$5)*(AM$6=$E$6:$AH$6))</f>
        <v>132.05222685291415</v>
      </c>
      <c r="AN91" s="13" cm="1">
        <f t="array" aca="1" ref="AN91" ca="1">SUMPRODUCT(($E91:$AH91)*(AN$3=$E$3:$AH$3)*(AN$4=$E$4:$AH$4)*(AN$5=$E$5:$AH$5)*(AN$6=$E$6:$AH$6))</f>
        <v>146.30511929203323</v>
      </c>
      <c r="AO91" s="13" cm="1">
        <f t="array" aca="1" ref="AO91" ca="1">SUMPRODUCT(($E91:$AH91)*(AO$3=$E$3:$AH$3)*(AO$4=$E$4:$AH$4)*(AO$5=$E$5:$AH$5)*(AO$6=$E$6:$AH$6))</f>
        <v>107.32438533268663</v>
      </c>
      <c r="AP91" s="13" cm="1">
        <f t="array" aca="1" ref="AP91" ca="1">SUMPRODUCT(($E91:$AH91)*(AP$3=$E$3:$AH$3)*(AP$4=$E$4:$AH$4)*(AP$5=$E$5:$AH$5)*(AP$6=$E$6:$AH$6))</f>
        <v>145.84895681028848</v>
      </c>
      <c r="AQ91" s="13" cm="1">
        <f t="array" aca="1" ref="AQ91" ca="1">SUMPRODUCT(($E91:$AH91)*(AQ$3=$E$3:$AH$3)*(AQ$4=$E$4:$AH$4)*(AQ$5=$E$5:$AH$5)*(AQ$6=$E$6:$AH$6))</f>
        <v>139.39226878204624</v>
      </c>
      <c r="AR91" s="13" cm="1">
        <f t="array" aca="1" ref="AR91" ca="1">SUMPRODUCT(($E91:$AH91)*(AR$3=$E$3:$AH$3)*(AR$4=$E$4:$AH$4)*(AR$5=$E$5:$AH$5)*(AR$6=$E$6:$AH$6))</f>
        <v>152.308733125201</v>
      </c>
      <c r="AS91" s="13" cm="1">
        <f t="array" aca="1" ref="AS91" ca="1">SUMPRODUCT(($E91:$AH91)*(AS$3=$E$3:$AH$3)*(AS$4=$E$4:$AH$4)*(AS$5=$E$5:$AH$5)*(AS$6=$E$6:$AH$6))</f>
        <v>111.73654343804225</v>
      </c>
      <c r="AT91" s="13"/>
      <c r="AU91" s="13" cm="1">
        <f t="array" aca="1" ref="AU91" ca="1">SUMPRODUCT(($E91:$AH91)*(AU$5=$E$5:$AH$5))</f>
        <v>232.04838129262976</v>
      </c>
      <c r="AV91" s="13" cm="1">
        <f t="array" aca="1" ref="AV91" ca="1">SUMPRODUCT(($E91:$AH91)*(AV$5=$E$5:$AH$5))</f>
        <v>527.53689387786915</v>
      </c>
      <c r="AW91" s="13" cm="1">
        <f t="array" aca="1" ref="AW91" ca="1">SUMPRODUCT(($E91:$AH91)*(AW$5=$E$5:$AH$5))</f>
        <v>549.28650215557798</v>
      </c>
    </row>
    <row r="92" spans="2:49" x14ac:dyDescent="0.25">
      <c r="C92" s="1" t="s">
        <v>2</v>
      </c>
      <c r="D92" s="1"/>
      <c r="E92" s="31">
        <f t="shared" ref="E92:AH92" si="105">E$81*E85</f>
        <v>78.002943362859909</v>
      </c>
      <c r="F92" s="31">
        <f t="shared" si="105"/>
        <v>64.085807782968942</v>
      </c>
      <c r="G92" s="31">
        <f t="shared" si="105"/>
        <v>61.966186305637571</v>
      </c>
      <c r="H92" s="31">
        <f t="shared" si="105"/>
        <v>67.487677176616089</v>
      </c>
      <c r="I92" s="31">
        <f t="shared" si="105"/>
        <v>67.090846570492602</v>
      </c>
      <c r="J92" s="37">
        <f t="shared" si="105"/>
        <v>87.584489438524884</v>
      </c>
      <c r="K92" s="31">
        <f t="shared" si="105"/>
        <v>82.027943102216</v>
      </c>
      <c r="L92" s="31">
        <f t="shared" si="105"/>
        <v>67.258055552522038</v>
      </c>
      <c r="M92" s="31">
        <f t="shared" si="105"/>
        <v>68.632084017431595</v>
      </c>
      <c r="N92" s="31">
        <f t="shared" si="105"/>
        <v>93.033733907086514</v>
      </c>
      <c r="O92" s="31">
        <f t="shared" si="105"/>
        <v>94.356930566961978</v>
      </c>
      <c r="P92" s="32">
        <f t="shared" si="105"/>
        <v>105.60678391211108</v>
      </c>
      <c r="Q92" s="61">
        <f t="shared" si="105"/>
        <v>85.376568978281711</v>
      </c>
      <c r="R92" s="61">
        <f t="shared" si="105"/>
        <v>68.764869411254736</v>
      </c>
      <c r="S92" s="61">
        <f t="shared" si="105"/>
        <v>67.492300203329151</v>
      </c>
      <c r="T92" s="61">
        <f t="shared" si="105"/>
        <v>73.785287135115567</v>
      </c>
      <c r="U92" s="61">
        <f t="shared" si="105"/>
        <v>72.352488235405929</v>
      </c>
      <c r="V92" s="61">
        <f t="shared" si="105"/>
        <v>99.659283659044078</v>
      </c>
      <c r="W92" s="61">
        <f t="shared" si="105"/>
        <v>83.415097562259376</v>
      </c>
      <c r="X92" s="61">
        <f t="shared" si="105"/>
        <v>69.382697693512426</v>
      </c>
      <c r="Y92" s="61">
        <f t="shared" si="105"/>
        <v>71.267884936351095</v>
      </c>
      <c r="Z92" s="61">
        <f t="shared" si="105"/>
        <v>102.7163017613792</v>
      </c>
      <c r="AA92" s="61">
        <f t="shared" si="105"/>
        <v>95.823459817637513</v>
      </c>
      <c r="AB92" s="61">
        <f t="shared" si="105"/>
        <v>110.3102224957849</v>
      </c>
      <c r="AC92" s="61">
        <f t="shared" si="105"/>
        <v>88.916563727579685</v>
      </c>
      <c r="AD92" s="61">
        <f t="shared" si="105"/>
        <v>71.582691559870852</v>
      </c>
      <c r="AE92" s="61">
        <f t="shared" si="105"/>
        <v>70.228341969320056</v>
      </c>
      <c r="AF92" s="61">
        <f t="shared" si="105"/>
        <v>76.790033408634301</v>
      </c>
      <c r="AG92" s="61">
        <f t="shared" si="105"/>
        <v>75.296079757309982</v>
      </c>
      <c r="AH92" s="61">
        <f t="shared" si="105"/>
        <v>103.83117036419695</v>
      </c>
      <c r="AJ92" s="13" cm="1">
        <f t="array" aca="1" ref="AJ92" ca="1">SUMPRODUCT(($E92:$AH92)*(AJ$3&amp;AJ$4&amp;AJ$5&amp;AJ$6=$E$3:$AH$3&amp;$E$4:$AH$4&amp;$E$5:$AH$5&amp;$E$6:$AH$6))</f>
        <v>204.0549374514664</v>
      </c>
      <c r="AK92" s="13" cm="1">
        <f t="array" aca="1" ref="AK92" ca="1">SUMPRODUCT(($E92:$AH92)*(AK$3=$E$3:$AH$3)*(AK$4=$E$4:$AH$4)*(AK$5=$E$5:$AH$5)*(AK$6=$E$6:$AH$6))</f>
        <v>222.16301318563359</v>
      </c>
      <c r="AL92" s="13" cm="1">
        <f t="array" aca="1" ref="AL92" ca="1">SUMPRODUCT(($E92:$AH92)*(AL$3=$E$3:$AH$3)*(AL$4=$E$4:$AH$4)*(AL$5=$E$5:$AH$5)*(AL$6=$E$6:$AH$6))</f>
        <v>217.91808267216962</v>
      </c>
      <c r="AM92" s="17" cm="1">
        <f t="array" aca="1" ref="AM92" ca="1">SUMPRODUCT(($E92:$AH92)*(AM$3=$E$3:$AH$3)*(AM$4=$E$4:$AH$4)*(AM$5=$E$5:$AH$5)*(AM$6=$E$6:$AH$6))</f>
        <v>292.99744838615959</v>
      </c>
      <c r="AN92" s="13" cm="1">
        <f t="array" aca="1" ref="AN92" ca="1">SUMPRODUCT(($E92:$AH92)*(AN$3=$E$3:$AH$3)*(AN$4=$E$4:$AH$4)*(AN$5=$E$5:$AH$5)*(AN$6=$E$6:$AH$6))</f>
        <v>221.6337385928656</v>
      </c>
      <c r="AO92" s="13" cm="1">
        <f t="array" aca="1" ref="AO92" ca="1">SUMPRODUCT(($E92:$AH92)*(AO$3=$E$3:$AH$3)*(AO$4=$E$4:$AH$4)*(AO$5=$E$5:$AH$5)*(AO$6=$E$6:$AH$6))</f>
        <v>245.79705902956556</v>
      </c>
      <c r="AP92" s="13" cm="1">
        <f t="array" aca="1" ref="AP92" ca="1">SUMPRODUCT(($E92:$AH92)*(AP$3=$E$3:$AH$3)*(AP$4=$E$4:$AH$4)*(AP$5=$E$5:$AH$5)*(AP$6=$E$6:$AH$6))</f>
        <v>224.0656801921229</v>
      </c>
      <c r="AQ92" s="13" cm="1">
        <f t="array" aca="1" ref="AQ92" ca="1">SUMPRODUCT(($E92:$AH92)*(AQ$3=$E$3:$AH$3)*(AQ$4=$E$4:$AH$4)*(AQ$5=$E$5:$AH$5)*(AQ$6=$E$6:$AH$6))</f>
        <v>308.84998407480163</v>
      </c>
      <c r="AR92" s="13" cm="1">
        <f t="array" aca="1" ref="AR92" ca="1">SUMPRODUCT(($E92:$AH92)*(AR$3=$E$3:$AH$3)*(AR$4=$E$4:$AH$4)*(AR$5=$E$5:$AH$5)*(AR$6=$E$6:$AH$6))</f>
        <v>230.72759725677059</v>
      </c>
      <c r="AS92" s="13" cm="1">
        <f t="array" aca="1" ref="AS92" ca="1">SUMPRODUCT(($E92:$AH92)*(AS$3=$E$3:$AH$3)*(AS$4=$E$4:$AH$4)*(AS$5=$E$5:$AH$5)*(AS$6=$E$6:$AH$6))</f>
        <v>255.91728353014122</v>
      </c>
      <c r="AT92" s="13"/>
      <c r="AU92" s="13" cm="1">
        <f t="array" aca="1" ref="AU92" ca="1">SUMPRODUCT(($E92:$AH92)*(AU$5=$E$5:$AH$5))</f>
        <v>426.21795063709999</v>
      </c>
      <c r="AV92" s="13" cm="1">
        <f t="array" aca="1" ref="AV92" ca="1">SUMPRODUCT(($E92:$AH92)*(AV$5=$E$5:$AH$5))</f>
        <v>978.34632868076039</v>
      </c>
      <c r="AW92" s="13" cm="1">
        <f t="array" aca="1" ref="AW92" ca="1">SUMPRODUCT(($E92:$AH92)*(AW$5=$E$5:$AH$5))</f>
        <v>1019.5605450538362</v>
      </c>
    </row>
    <row r="93" spans="2:49" x14ac:dyDescent="0.25">
      <c r="C93" s="1" t="s">
        <v>3</v>
      </c>
      <c r="D93" s="1"/>
      <c r="E93" s="31">
        <f t="shared" ref="E93:AH93" si="106">E$81*E86</f>
        <v>35.586235859058746</v>
      </c>
      <c r="F93" s="31">
        <f t="shared" si="106"/>
        <v>29.73165730264073</v>
      </c>
      <c r="G93" s="31">
        <f t="shared" si="106"/>
        <v>28.603757117710831</v>
      </c>
      <c r="H93" s="31">
        <f t="shared" si="106"/>
        <v>31.050960125152706</v>
      </c>
      <c r="I93" s="31">
        <f t="shared" si="106"/>
        <v>31.030377855780717</v>
      </c>
      <c r="J93" s="37">
        <f t="shared" si="106"/>
        <v>40.296364191434137</v>
      </c>
      <c r="K93" s="31">
        <f t="shared" si="106"/>
        <v>37.99330261526535</v>
      </c>
      <c r="L93" s="31">
        <f t="shared" si="106"/>
        <v>31.123118337190107</v>
      </c>
      <c r="M93" s="31">
        <f t="shared" si="106"/>
        <v>30.677309984953109</v>
      </c>
      <c r="N93" s="31">
        <f t="shared" si="106"/>
        <v>44.125744495824058</v>
      </c>
      <c r="O93" s="31">
        <f t="shared" si="106"/>
        <v>43.078912032352292</v>
      </c>
      <c r="P93" s="32">
        <f t="shared" si="106"/>
        <v>48.326671922446479</v>
      </c>
      <c r="Q93" s="61">
        <f t="shared" si="106"/>
        <v>38.950206101388545</v>
      </c>
      <c r="R93" s="61">
        <f t="shared" si="106"/>
        <v>31.902438348285912</v>
      </c>
      <c r="S93" s="61">
        <f t="shared" si="106"/>
        <v>31.154626053790501</v>
      </c>
      <c r="T93" s="61">
        <f t="shared" si="106"/>
        <v>33.94847925584353</v>
      </c>
      <c r="U93" s="61">
        <f t="shared" si="106"/>
        <v>33.463954675122693</v>
      </c>
      <c r="V93" s="61">
        <f t="shared" si="106"/>
        <v>45.851803385815543</v>
      </c>
      <c r="W93" s="61">
        <f t="shared" si="106"/>
        <v>38.635798052568582</v>
      </c>
      <c r="X93" s="61">
        <f t="shared" si="106"/>
        <v>32.106279212642228</v>
      </c>
      <c r="Y93" s="61">
        <f t="shared" si="106"/>
        <v>31.855465697488089</v>
      </c>
      <c r="Z93" s="61">
        <f t="shared" si="106"/>
        <v>48.718170245699874</v>
      </c>
      <c r="AA93" s="61">
        <f t="shared" si="106"/>
        <v>43.748459930986918</v>
      </c>
      <c r="AB93" s="61">
        <f t="shared" si="106"/>
        <v>50.4790102942858</v>
      </c>
      <c r="AC93" s="61">
        <f t="shared" si="106"/>
        <v>40.565210390423218</v>
      </c>
      <c r="AD93" s="61">
        <f t="shared" si="106"/>
        <v>33.209725021587545</v>
      </c>
      <c r="AE93" s="61">
        <f t="shared" si="106"/>
        <v>32.417590241263767</v>
      </c>
      <c r="AF93" s="61">
        <f t="shared" si="106"/>
        <v>35.330957667140211</v>
      </c>
      <c r="AG93" s="61">
        <f t="shared" si="106"/>
        <v>34.825403544034842</v>
      </c>
      <c r="AH93" s="61">
        <f t="shared" si="106"/>
        <v>47.771228470256318</v>
      </c>
      <c r="AJ93" s="13" cm="1">
        <f t="array" aca="1" ref="AJ93" ca="1">SUMPRODUCT(($E93:$AH93)*(AJ$3&amp;AJ$4&amp;AJ$5&amp;AJ$6=$E$3:$AH$3&amp;$E$4:$AH$4&amp;$E$5:$AH$5&amp;$E$6:$AH$6))</f>
        <v>93.921650279410301</v>
      </c>
      <c r="AK93" s="13" cm="1">
        <f t="array" aca="1" ref="AK93" ca="1">SUMPRODUCT(($E93:$AH93)*(AK$3=$E$3:$AH$3)*(AK$4=$E$4:$AH$4)*(AK$5=$E$5:$AH$5)*(AK$6=$E$6:$AH$6))</f>
        <v>102.37770217236756</v>
      </c>
      <c r="AL93" s="13" cm="1">
        <f t="array" aca="1" ref="AL93" ca="1">SUMPRODUCT(($E93:$AH93)*(AL$3=$E$3:$AH$3)*(AL$4=$E$4:$AH$4)*(AL$5=$E$5:$AH$5)*(AL$6=$E$6:$AH$6))</f>
        <v>99.793730937408569</v>
      </c>
      <c r="AM93" s="17" cm="1">
        <f t="array" aca="1" ref="AM93" ca="1">SUMPRODUCT(($E93:$AH93)*(AM$3=$E$3:$AH$3)*(AM$4=$E$4:$AH$4)*(AM$5=$E$5:$AH$5)*(AM$6=$E$6:$AH$6))</f>
        <v>135.53132845062282</v>
      </c>
      <c r="AN93" s="13" cm="1">
        <f t="array" aca="1" ref="AN93" ca="1">SUMPRODUCT(($E93:$AH93)*(AN$3=$E$3:$AH$3)*(AN$4=$E$4:$AH$4)*(AN$5=$E$5:$AH$5)*(AN$6=$E$6:$AH$6))</f>
        <v>102.00727050346495</v>
      </c>
      <c r="AO93" s="13" cm="1">
        <f t="array" aca="1" ref="AO93" ca="1">SUMPRODUCT(($E93:$AH93)*(AO$3=$E$3:$AH$3)*(AO$4=$E$4:$AH$4)*(AO$5=$E$5:$AH$5)*(AO$6=$E$6:$AH$6))</f>
        <v>113.26423731678176</v>
      </c>
      <c r="AP93" s="13" cm="1">
        <f t="array" aca="1" ref="AP93" ca="1">SUMPRODUCT(($E93:$AH93)*(AP$3=$E$3:$AH$3)*(AP$4=$E$4:$AH$4)*(AP$5=$E$5:$AH$5)*(AP$6=$E$6:$AH$6))</f>
        <v>102.5975429626989</v>
      </c>
      <c r="AQ93" s="13" cm="1">
        <f t="array" aca="1" ref="AQ93" ca="1">SUMPRODUCT(($E93:$AH93)*(AQ$3=$E$3:$AH$3)*(AQ$4=$E$4:$AH$4)*(AQ$5=$E$5:$AH$5)*(AQ$6=$E$6:$AH$6))</f>
        <v>142.94564047097259</v>
      </c>
      <c r="AR93" s="13" cm="1">
        <f t="array" aca="1" ref="AR93" ca="1">SUMPRODUCT(($E93:$AH93)*(AR$3=$E$3:$AH$3)*(AR$4=$E$4:$AH$4)*(AR$5=$E$5:$AH$5)*(AR$6=$E$6:$AH$6))</f>
        <v>106.19252565327453</v>
      </c>
      <c r="AS93" s="13" cm="1">
        <f t="array" aca="1" ref="AS93" ca="1">SUMPRODUCT(($E93:$AH93)*(AS$3=$E$3:$AH$3)*(AS$4=$E$4:$AH$4)*(AS$5=$E$5:$AH$5)*(AS$6=$E$6:$AH$6))</f>
        <v>117.92758968143137</v>
      </c>
      <c r="AT93" s="13"/>
      <c r="AU93" s="13" cm="1">
        <f t="array" aca="1" ref="AU93" ca="1">SUMPRODUCT(($E93:$AH93)*(AU$5=$E$5:$AH$5))</f>
        <v>196.29935245177785</v>
      </c>
      <c r="AV93" s="13" cm="1">
        <f t="array" aca="1" ref="AV93" ca="1">SUMPRODUCT(($E93:$AH93)*(AV$5=$E$5:$AH$5))</f>
        <v>450.59656720827809</v>
      </c>
      <c r="AW93" s="13" cm="1">
        <f t="array" aca="1" ref="AW93" ca="1">SUMPRODUCT(($E93:$AH93)*(AW$5=$E$5:$AH$5))</f>
        <v>469.66329876837733</v>
      </c>
    </row>
    <row r="94" spans="2:49" x14ac:dyDescent="0.25">
      <c r="C94" s="1" t="s">
        <v>4</v>
      </c>
      <c r="D94" s="1"/>
      <c r="E94" s="31">
        <f t="shared" ref="E94:AH94" si="107">E$81*E87</f>
        <v>15.64230147650934</v>
      </c>
      <c r="F94" s="31">
        <f t="shared" si="107"/>
        <v>16.411218382322392</v>
      </c>
      <c r="G94" s="31">
        <f t="shared" si="107"/>
        <v>15.517408924617088</v>
      </c>
      <c r="H94" s="31">
        <f t="shared" si="107"/>
        <v>12.428669829947715</v>
      </c>
      <c r="I94" s="31">
        <f t="shared" si="107"/>
        <v>13.781070846386701</v>
      </c>
      <c r="J94" s="37">
        <f t="shared" si="107"/>
        <v>13.233617140044052</v>
      </c>
      <c r="K94" s="31">
        <f t="shared" si="107"/>
        <v>16.11023432449414</v>
      </c>
      <c r="L94" s="31">
        <f t="shared" si="107"/>
        <v>16.613764236934223</v>
      </c>
      <c r="M94" s="31">
        <f t="shared" si="107"/>
        <v>16.79414780198163</v>
      </c>
      <c r="N94" s="31">
        <f t="shared" si="107"/>
        <v>17.60335551695109</v>
      </c>
      <c r="O94" s="31">
        <f t="shared" si="107"/>
        <v>20.161737300632897</v>
      </c>
      <c r="P94" s="32">
        <f t="shared" si="107"/>
        <v>16.428330398565375</v>
      </c>
      <c r="Q94" s="61">
        <f t="shared" si="107"/>
        <v>17.120969714896066</v>
      </c>
      <c r="R94" s="61">
        <f t="shared" si="107"/>
        <v>17.609441590590201</v>
      </c>
      <c r="S94" s="61">
        <f t="shared" si="107"/>
        <v>16.901243790483093</v>
      </c>
      <c r="T94" s="61">
        <f t="shared" si="107"/>
        <v>13.588450669450379</v>
      </c>
      <c r="U94" s="61">
        <f t="shared" si="107"/>
        <v>14.861859959343906</v>
      </c>
      <c r="V94" s="61">
        <f t="shared" si="107"/>
        <v>15.058063509299028</v>
      </c>
      <c r="W94" s="61">
        <f t="shared" si="107"/>
        <v>16.382670552325902</v>
      </c>
      <c r="X94" s="61">
        <f t="shared" si="107"/>
        <v>17.138583209595495</v>
      </c>
      <c r="Y94" s="61">
        <f t="shared" si="107"/>
        <v>17.439123557019027</v>
      </c>
      <c r="Z94" s="61">
        <f t="shared" si="107"/>
        <v>19.435440257593037</v>
      </c>
      <c r="AA94" s="61">
        <f t="shared" si="107"/>
        <v>20.475098251631945</v>
      </c>
      <c r="AB94" s="61">
        <f t="shared" si="107"/>
        <v>17.160003499473927</v>
      </c>
      <c r="AC94" s="61">
        <f t="shared" si="107"/>
        <v>17.830861710076142</v>
      </c>
      <c r="AD94" s="61">
        <f t="shared" si="107"/>
        <v>18.331034970517504</v>
      </c>
      <c r="AE94" s="61">
        <f t="shared" si="107"/>
        <v>17.586396152584321</v>
      </c>
      <c r="AF94" s="61">
        <f t="shared" si="107"/>
        <v>14.141810940816629</v>
      </c>
      <c r="AG94" s="61">
        <f t="shared" si="107"/>
        <v>15.466500463672025</v>
      </c>
      <c r="AH94" s="61">
        <f t="shared" si="107"/>
        <v>15.68841657479682</v>
      </c>
      <c r="AJ94" s="13" cm="1">
        <f t="array" aca="1" ref="AJ94" ca="1">SUMPRODUCT(($E94:$AH94)*(AJ$3&amp;AJ$4&amp;AJ$5&amp;AJ$6=$E$3:$AH$3&amp;$E$4:$AH$4&amp;$E$5:$AH$5&amp;$E$6:$AH$6))</f>
        <v>47.570928783448821</v>
      </c>
      <c r="AK94" s="13" cm="1">
        <f t="array" aca="1" ref="AK94" ca="1">SUMPRODUCT(($E94:$AH94)*(AK$3=$E$3:$AH$3)*(AK$4=$E$4:$AH$4)*(AK$5=$E$5:$AH$5)*(AK$6=$E$6:$AH$6))</f>
        <v>39.443357816378466</v>
      </c>
      <c r="AL94" s="13" cm="1">
        <f t="array" aca="1" ref="AL94" ca="1">SUMPRODUCT(($E94:$AH94)*(AL$3=$E$3:$AH$3)*(AL$4=$E$4:$AH$4)*(AL$5=$E$5:$AH$5)*(AL$6=$E$6:$AH$6))</f>
        <v>49.51814636340999</v>
      </c>
      <c r="AM94" s="17" cm="1">
        <f t="array" aca="1" ref="AM94" ca="1">SUMPRODUCT(($E94:$AH94)*(AM$3=$E$3:$AH$3)*(AM$4=$E$4:$AH$4)*(AM$5=$E$5:$AH$5)*(AM$6=$E$6:$AH$6))</f>
        <v>54.19342321614937</v>
      </c>
      <c r="AN94" s="13" cm="1">
        <f t="array" aca="1" ref="AN94" ca="1">SUMPRODUCT(($E94:$AH94)*(AN$3=$E$3:$AH$3)*(AN$4=$E$4:$AH$4)*(AN$5=$E$5:$AH$5)*(AN$6=$E$6:$AH$6))</f>
        <v>51.631655095969364</v>
      </c>
      <c r="AO94" s="13" cm="1">
        <f t="array" aca="1" ref="AO94" ca="1">SUMPRODUCT(($E94:$AH94)*(AO$3=$E$3:$AH$3)*(AO$4=$E$4:$AH$4)*(AO$5=$E$5:$AH$5)*(AO$6=$E$6:$AH$6))</f>
        <v>43.508374138093316</v>
      </c>
      <c r="AP94" s="13" cm="1">
        <f t="array" aca="1" ref="AP94" ca="1">SUMPRODUCT(($E94:$AH94)*(AP$3=$E$3:$AH$3)*(AP$4=$E$4:$AH$4)*(AP$5=$E$5:$AH$5)*(AP$6=$E$6:$AH$6))</f>
        <v>50.960377318940431</v>
      </c>
      <c r="AQ94" s="13" cm="1">
        <f t="array" aca="1" ref="AQ94" ca="1">SUMPRODUCT(($E94:$AH94)*(AQ$3=$E$3:$AH$3)*(AQ$4=$E$4:$AH$4)*(AQ$5=$E$5:$AH$5)*(AQ$6=$E$6:$AH$6))</f>
        <v>57.070542008698908</v>
      </c>
      <c r="AR94" s="13" cm="1">
        <f t="array" aca="1" ref="AR94" ca="1">SUMPRODUCT(($E94:$AH94)*(AR$3=$E$3:$AH$3)*(AR$4=$E$4:$AH$4)*(AR$5=$E$5:$AH$5)*(AR$6=$E$6:$AH$6))</f>
        <v>53.748292833177963</v>
      </c>
      <c r="AS94" s="13" cm="1">
        <f t="array" aca="1" ref="AS94" ca="1">SUMPRODUCT(($E94:$AH94)*(AS$3=$E$3:$AH$3)*(AS$4=$E$4:$AH$4)*(AS$5=$E$5:$AH$5)*(AS$6=$E$6:$AH$6))</f>
        <v>45.296727979285471</v>
      </c>
      <c r="AT94" s="13"/>
      <c r="AU94" s="13" cm="1">
        <f t="array" aca="1" ref="AU94" ca="1">SUMPRODUCT(($E94:$AH94)*(AU$5=$E$5:$AH$5))</f>
        <v>87.014286599827287</v>
      </c>
      <c r="AV94" s="13" cm="1">
        <f t="array" aca="1" ref="AV94" ca="1">SUMPRODUCT(($E94:$AH94)*(AV$5=$E$5:$AH$5))</f>
        <v>198.85159881362199</v>
      </c>
      <c r="AW94" s="13" cm="1">
        <f t="array" aca="1" ref="AW94" ca="1">SUMPRODUCT(($E94:$AH94)*(AW$5=$E$5:$AH$5))</f>
        <v>207.07594014010277</v>
      </c>
    </row>
    <row r="95" spans="2:49" x14ac:dyDescent="0.25">
      <c r="C95" s="1" t="s">
        <v>5</v>
      </c>
      <c r="D95" s="1"/>
      <c r="E95" s="31">
        <f t="shared" ref="E95:AH95" si="108">E$81*E88</f>
        <v>0.96460859105140939</v>
      </c>
      <c r="F95" s="31">
        <f t="shared" si="108"/>
        <v>0.73850482720450772</v>
      </c>
      <c r="G95" s="31">
        <f t="shared" si="108"/>
        <v>0.67242105340007385</v>
      </c>
      <c r="H95" s="31">
        <f t="shared" si="108"/>
        <v>0.70429129036370386</v>
      </c>
      <c r="I95" s="31">
        <f t="shared" si="108"/>
        <v>0.80389579937255751</v>
      </c>
      <c r="J95" s="37">
        <f t="shared" si="108"/>
        <v>1.1028014283370042</v>
      </c>
      <c r="K95" s="31">
        <f t="shared" si="108"/>
        <v>0.99346445001047212</v>
      </c>
      <c r="L95" s="31">
        <f t="shared" si="108"/>
        <v>0.74761939066203997</v>
      </c>
      <c r="M95" s="31">
        <f t="shared" si="108"/>
        <v>0.72774640475253727</v>
      </c>
      <c r="N95" s="31">
        <f t="shared" si="108"/>
        <v>0.99752347929389495</v>
      </c>
      <c r="O95" s="31">
        <f t="shared" si="108"/>
        <v>1.1761013425369191</v>
      </c>
      <c r="P95" s="32">
        <f t="shared" si="108"/>
        <v>1.3690275332137813</v>
      </c>
      <c r="Q95" s="61">
        <f t="shared" si="108"/>
        <v>1.0557931324185907</v>
      </c>
      <c r="R95" s="61">
        <f t="shared" si="108"/>
        <v>0.79242487157655916</v>
      </c>
      <c r="S95" s="61">
        <f t="shared" si="108"/>
        <v>0.73238723092093405</v>
      </c>
      <c r="T95" s="61">
        <f t="shared" si="108"/>
        <v>0.77001220460218822</v>
      </c>
      <c r="U95" s="61">
        <f t="shared" si="108"/>
        <v>0.86694183096172783</v>
      </c>
      <c r="V95" s="61">
        <f t="shared" si="108"/>
        <v>1.2548386257749191</v>
      </c>
      <c r="W95" s="61">
        <f t="shared" si="108"/>
        <v>1.0102646840600973</v>
      </c>
      <c r="X95" s="61">
        <f t="shared" si="108"/>
        <v>0.77123624443179717</v>
      </c>
      <c r="Y95" s="61">
        <f t="shared" si="108"/>
        <v>0.75569535413749123</v>
      </c>
      <c r="Z95" s="61">
        <f t="shared" si="108"/>
        <v>1.1013416145969386</v>
      </c>
      <c r="AA95" s="61">
        <f t="shared" si="108"/>
        <v>1.1943807313451968</v>
      </c>
      <c r="AB95" s="61">
        <f t="shared" si="108"/>
        <v>1.4300002916228274</v>
      </c>
      <c r="AC95" s="61">
        <f t="shared" si="108"/>
        <v>1.0995698054546954</v>
      </c>
      <c r="AD95" s="61">
        <f t="shared" si="108"/>
        <v>0.82489657367328773</v>
      </c>
      <c r="AE95" s="61">
        <f t="shared" si="108"/>
        <v>0.76207716661198732</v>
      </c>
      <c r="AF95" s="61">
        <f t="shared" si="108"/>
        <v>0.80136928664627571</v>
      </c>
      <c r="AG95" s="61">
        <f t="shared" si="108"/>
        <v>0.90221252704753485</v>
      </c>
      <c r="AH95" s="61">
        <f t="shared" si="108"/>
        <v>1.3073680478997349</v>
      </c>
      <c r="AJ95" s="13" cm="1">
        <f t="array" aca="1" ref="AJ95" ca="1">SUMPRODUCT(($E95:$AH95)*(AJ$3&amp;AJ$4&amp;AJ$5&amp;AJ$6=$E$3:$AH$3&amp;$E$4:$AH$4&amp;$E$5:$AH$5&amp;$E$6:$AH$6))</f>
        <v>2.3755344716559907</v>
      </c>
      <c r="AK95" s="13" cm="1">
        <f t="array" aca="1" ref="AK95" ca="1">SUMPRODUCT(($E95:$AH95)*(AK$3=$E$3:$AH$3)*(AK$4=$E$4:$AH$4)*(AK$5=$E$5:$AH$5)*(AK$6=$E$6:$AH$6))</f>
        <v>2.6109885180732659</v>
      </c>
      <c r="AL95" s="13" cm="1">
        <f t="array" aca="1" ref="AL95" ca="1">SUMPRODUCT(($E95:$AH95)*(AL$3=$E$3:$AH$3)*(AL$4=$E$4:$AH$4)*(AL$5=$E$5:$AH$5)*(AL$6=$E$6:$AH$6))</f>
        <v>2.4688302454250497</v>
      </c>
      <c r="AM95" s="17" cm="1">
        <f t="array" aca="1" ref="AM95" ca="1">SUMPRODUCT(($E95:$AH95)*(AM$3=$E$3:$AH$3)*(AM$4=$E$4:$AH$4)*(AM$5=$E$5:$AH$5)*(AM$6=$E$6:$AH$6))</f>
        <v>3.5426523550445959</v>
      </c>
      <c r="AN95" s="13" cm="1">
        <f t="array" aca="1" ref="AN95" ca="1">SUMPRODUCT(($E95:$AH95)*(AN$3=$E$3:$AH$3)*(AN$4=$E$4:$AH$4)*(AN$5=$E$5:$AH$5)*(AN$6=$E$6:$AH$6))</f>
        <v>2.5806052349160842</v>
      </c>
      <c r="AO95" s="13" cm="1">
        <f t="array" aca="1" ref="AO95" ca="1">SUMPRODUCT(($E95:$AH95)*(AO$3=$E$3:$AH$3)*(AO$4=$E$4:$AH$4)*(AO$5=$E$5:$AH$5)*(AO$6=$E$6:$AH$6))</f>
        <v>2.8917926613388349</v>
      </c>
      <c r="AP95" s="13" cm="1">
        <f t="array" aca="1" ref="AP95" ca="1">SUMPRODUCT(($E95:$AH95)*(AP$3=$E$3:$AH$3)*(AP$4=$E$4:$AH$4)*(AP$5=$E$5:$AH$5)*(AP$6=$E$6:$AH$6))</f>
        <v>2.5371962826293855</v>
      </c>
      <c r="AQ95" s="13" cm="1">
        <f t="array" aca="1" ref="AQ95" ca="1">SUMPRODUCT(($E95:$AH95)*(AQ$3=$E$3:$AH$3)*(AQ$4=$E$4:$AH$4)*(AQ$5=$E$5:$AH$5)*(AQ$6=$E$6:$AH$6))</f>
        <v>3.7257226375649628</v>
      </c>
      <c r="AR95" s="13" cm="1">
        <f t="array" aca="1" ref="AR95" ca="1">SUMPRODUCT(($E95:$AH95)*(AR$3=$E$3:$AH$3)*(AR$4=$E$4:$AH$4)*(AR$5=$E$5:$AH$5)*(AR$6=$E$6:$AH$6))</f>
        <v>2.6865435457399705</v>
      </c>
      <c r="AS95" s="13" cm="1">
        <f t="array" aca="1" ref="AS95" ca="1">SUMPRODUCT(($E95:$AH95)*(AS$3=$E$3:$AH$3)*(AS$4=$E$4:$AH$4)*(AS$5=$E$5:$AH$5)*(AS$6=$E$6:$AH$6))</f>
        <v>3.0109498615935455</v>
      </c>
      <c r="AT95" s="13"/>
      <c r="AU95" s="13" cm="1">
        <f t="array" aca="1" ref="AU95" ca="1">SUMPRODUCT(($E95:$AH95)*(AU$5=$E$5:$AH$5))</f>
        <v>4.9865229897292567</v>
      </c>
      <c r="AV95" s="13" cm="1">
        <f t="array" aca="1" ref="AV95" ca="1">SUMPRODUCT(($E95:$AH95)*(AV$5=$E$5:$AH$5))</f>
        <v>11.483880496724566</v>
      </c>
      <c r="AW95" s="13" cm="1">
        <f t="array" aca="1" ref="AW95" ca="1">SUMPRODUCT(($E95:$AH95)*(AW$5=$E$5:$AH$5))</f>
        <v>11.960412327527864</v>
      </c>
    </row>
    <row r="96" spans="2:49" x14ac:dyDescent="0.25">
      <c r="C96" s="23" t="s">
        <v>6</v>
      </c>
      <c r="D96" s="23"/>
      <c r="E96" s="38">
        <f t="shared" ref="E96:AH96" si="109">E$81*E89</f>
        <v>1.4338776353466893</v>
      </c>
      <c r="F96" s="38">
        <f t="shared" si="109"/>
        <v>1.0940812254881593</v>
      </c>
      <c r="G96" s="38">
        <f t="shared" si="109"/>
        <v>1.1638056693462815</v>
      </c>
      <c r="H96" s="38">
        <f t="shared" si="109"/>
        <v>1.222152533278192</v>
      </c>
      <c r="I96" s="38">
        <f t="shared" si="109"/>
        <v>1.1713910219428696</v>
      </c>
      <c r="J96" s="38">
        <f t="shared" si="109"/>
        <v>1.4115858282713656</v>
      </c>
      <c r="K96" s="38">
        <f t="shared" si="109"/>
        <v>1.6378738229902376</v>
      </c>
      <c r="L96" s="38">
        <f t="shared" si="109"/>
        <v>1.2737219248316236</v>
      </c>
      <c r="M96" s="38">
        <f t="shared" si="109"/>
        <v>1.3155415778218944</v>
      </c>
      <c r="N96" s="38">
        <f t="shared" si="109"/>
        <v>1.584301996525598</v>
      </c>
      <c r="O96" s="38">
        <f t="shared" si="109"/>
        <v>1.4449245065453575</v>
      </c>
      <c r="P96" s="39">
        <f t="shared" si="109"/>
        <v>1.4785497358708837</v>
      </c>
      <c r="Q96" s="24">
        <f t="shared" si="109"/>
        <v>1.5694222238654725</v>
      </c>
      <c r="R96" s="24">
        <f t="shared" si="109"/>
        <v>1.1739627727060133</v>
      </c>
      <c r="S96" s="24">
        <f t="shared" si="109"/>
        <v>1.2675932842862319</v>
      </c>
      <c r="T96" s="24">
        <f t="shared" si="109"/>
        <v>1.3361976491626208</v>
      </c>
      <c r="U96" s="24">
        <f t="shared" si="109"/>
        <v>1.2632580965442322</v>
      </c>
      <c r="V96" s="24">
        <f t="shared" si="109"/>
        <v>1.6061934409918963</v>
      </c>
      <c r="W96" s="24">
        <f t="shared" si="109"/>
        <v>1.6655715061531333</v>
      </c>
      <c r="X96" s="24">
        <f t="shared" si="109"/>
        <v>1.3139580460689877</v>
      </c>
      <c r="Y96" s="24">
        <f t="shared" si="109"/>
        <v>1.3660646786331572</v>
      </c>
      <c r="Z96" s="24">
        <f t="shared" si="109"/>
        <v>1.7491896231833732</v>
      </c>
      <c r="AA96" s="24">
        <f t="shared" si="109"/>
        <v>1.4673820413669558</v>
      </c>
      <c r="AB96" s="24">
        <f t="shared" si="109"/>
        <v>1.5444003149526535</v>
      </c>
      <c r="AC96" s="24">
        <f t="shared" si="109"/>
        <v>1.6344956567569795</v>
      </c>
      <c r="AD96" s="24">
        <f t="shared" si="109"/>
        <v>1.2220689980345001</v>
      </c>
      <c r="AE96" s="24">
        <f t="shared" si="109"/>
        <v>1.318979711443824</v>
      </c>
      <c r="AF96" s="24">
        <f t="shared" si="109"/>
        <v>1.3906114091803019</v>
      </c>
      <c r="AG96" s="24">
        <f t="shared" si="109"/>
        <v>1.3146525394121222</v>
      </c>
      <c r="AH96" s="24">
        <f t="shared" si="109"/>
        <v>1.673431101311661</v>
      </c>
      <c r="AJ96" s="24" cm="1">
        <f t="array" aca="1" ref="AJ96" ca="1">SUMPRODUCT(($E96:$AH96)*(AJ$3&amp;AJ$4&amp;AJ$5&amp;AJ$6=$E$3:$AH$3&amp;$E$4:$AH$4&amp;$E$5:$AH$5&amp;$E$6:$AH$6))</f>
        <v>3.6917645301811302</v>
      </c>
      <c r="AK96" s="24" cm="1">
        <f t="array" aca="1" ref="AK96" ca="1">SUMPRODUCT(($E96:$AH96)*(AK$3=$E$3:$AH$3)*(AK$4=$E$4:$AH$4)*(AK$5=$E$5:$AH$5)*(AK$6=$E$6:$AH$6))</f>
        <v>3.8051293834924271</v>
      </c>
      <c r="AL96" s="24" cm="1">
        <f t="array" aca="1" ref="AL96" ca="1">SUMPRODUCT(($E96:$AH96)*(AL$3=$E$3:$AH$3)*(AL$4=$E$4:$AH$4)*(AL$5=$E$5:$AH$5)*(AL$6=$E$6:$AH$6))</f>
        <v>4.2271373256437563</v>
      </c>
      <c r="AM96" s="64" cm="1">
        <f t="array" aca="1" ref="AM96" ca="1">SUMPRODUCT(($E96:$AH96)*(AM$3=$E$3:$AH$3)*(AM$4=$E$4:$AH$4)*(AM$5=$E$5:$AH$5)*(AM$6=$E$6:$AH$6))</f>
        <v>4.5077762389418394</v>
      </c>
      <c r="AN96" s="24" cm="1">
        <f t="array" aca="1" ref="AN96" ca="1">SUMPRODUCT(($E96:$AH96)*(AN$3=$E$3:$AH$3)*(AN$4=$E$4:$AH$4)*(AN$5=$E$5:$AH$5)*(AN$6=$E$6:$AH$6))</f>
        <v>4.0109782808577172</v>
      </c>
      <c r="AO96" s="24" cm="1">
        <f t="array" aca="1" ref="AO96" ca="1">SUMPRODUCT(($E96:$AH96)*(AO$3=$E$3:$AH$3)*(AO$4=$E$4:$AH$4)*(AO$5=$E$5:$AH$5)*(AO$6=$E$6:$AH$6))</f>
        <v>4.2056491866987491</v>
      </c>
      <c r="AP96" s="24" cm="1">
        <f t="array" aca="1" ref="AP96" ca="1">SUMPRODUCT(($E96:$AH96)*(AP$3=$E$3:$AH$3)*(AP$4=$E$4:$AH$4)*(AP$5=$E$5:$AH$5)*(AP$6=$E$6:$AH$6))</f>
        <v>4.3455942308552782</v>
      </c>
      <c r="AQ96" s="24" cm="1">
        <f t="array" aca="1" ref="AQ96" ca="1">SUMPRODUCT(($E96:$AH96)*(AQ$3=$E$3:$AH$3)*(AQ$4=$E$4:$AH$4)*(AQ$5=$E$5:$AH$5)*(AQ$6=$E$6:$AH$6))</f>
        <v>4.7609719795029823</v>
      </c>
      <c r="AR96" s="24" cm="1">
        <f t="array" aca="1" ref="AR96" ca="1">SUMPRODUCT(($E96:$AH96)*(AR$3=$E$3:$AH$3)*(AR$4=$E$4:$AH$4)*(AR$5=$E$5:$AH$5)*(AR$6=$E$6:$AH$6))</f>
        <v>4.1755443662353038</v>
      </c>
      <c r="AS96" s="24" cm="1">
        <f t="array" aca="1" ref="AS96" ca="1">SUMPRODUCT(($E96:$AH96)*(AS$3=$E$3:$AH$3)*(AS$4=$E$4:$AH$4)*(AS$5=$E$5:$AH$5)*(AS$6=$E$6:$AH$6))</f>
        <v>4.3786950499040849</v>
      </c>
      <c r="AT96" s="13"/>
      <c r="AU96" s="24" cm="1">
        <f t="array" aca="1" ref="AU96" ca="1">SUMPRODUCT(($E96:$AH96)*(AU$5=$E$5:$AH$5))</f>
        <v>7.4968939136735573</v>
      </c>
      <c r="AV96" s="24" cm="1">
        <f t="array" aca="1" ref="AV96" ca="1">SUMPRODUCT(($E96:$AH96)*(AV$5=$E$5:$AH$5))</f>
        <v>16.951541032142064</v>
      </c>
      <c r="AW96" s="24" cm="1">
        <f t="array" aca="1" ref="AW96" ca="1">SUMPRODUCT(($E96:$AH96)*(AW$5=$E$5:$AH$5))</f>
        <v>17.660805626497648</v>
      </c>
    </row>
    <row r="97" spans="1:49" x14ac:dyDescent="0.25">
      <c r="B97" t="s">
        <v>231</v>
      </c>
      <c r="C97" s="2" t="s">
        <v>83</v>
      </c>
      <c r="D97" s="2"/>
      <c r="E97" s="15">
        <f>SUM(E91:E96)</f>
        <v>180.77286406352627</v>
      </c>
      <c r="F97" s="15">
        <f t="shared" ref="F97:P97" si="110">SUM(F91:F96)</f>
        <v>160.61112390166184</v>
      </c>
      <c r="G97" s="15">
        <f t="shared" si="110"/>
        <v>145.03604874875441</v>
      </c>
      <c r="H97" s="15">
        <f t="shared" si="110"/>
        <v>145.51900925897115</v>
      </c>
      <c r="I97" s="15">
        <f t="shared" si="110"/>
        <v>145.36732897796907</v>
      </c>
      <c r="J97" s="15">
        <f t="shared" si="110"/>
        <v>176.75701293385509</v>
      </c>
      <c r="K97" s="15">
        <f t="shared" si="110"/>
        <v>190.63777283984732</v>
      </c>
      <c r="L97" s="15">
        <f t="shared" si="110"/>
        <v>166.77450333175801</v>
      </c>
      <c r="M97" s="15">
        <f t="shared" si="110"/>
        <v>158.36881377268676</v>
      </c>
      <c r="N97" s="15">
        <f t="shared" si="110"/>
        <v>203.9055347380168</v>
      </c>
      <c r="O97" s="15">
        <f t="shared" si="110"/>
        <v>205.51530888445137</v>
      </c>
      <c r="P97" s="16">
        <f t="shared" si="110"/>
        <v>213.40401187736418</v>
      </c>
      <c r="Q97" s="15">
        <f t="shared" ref="Q97:AW97" si="111">SUM(Q91:Q96)</f>
        <v>197.86134000514886</v>
      </c>
      <c r="R97" s="15">
        <f t="shared" si="111"/>
        <v>172.33773503324275</v>
      </c>
      <c r="S97" s="15">
        <f t="shared" si="111"/>
        <v>157.9702919617153</v>
      </c>
      <c r="T97" s="15">
        <f t="shared" si="111"/>
        <v>159.09810992148149</v>
      </c>
      <c r="U97" s="15">
        <f t="shared" si="111"/>
        <v>156.76785280447933</v>
      </c>
      <c r="V97" s="15">
        <f t="shared" si="111"/>
        <v>201.12553493920399</v>
      </c>
      <c r="W97" s="15">
        <f t="shared" si="111"/>
        <v>193.86160153585649</v>
      </c>
      <c r="X97" s="15">
        <f t="shared" si="111"/>
        <v>172.04281111898945</v>
      </c>
      <c r="Y97" s="15">
        <f t="shared" si="111"/>
        <v>164.45093514268945</v>
      </c>
      <c r="Z97" s="15">
        <f t="shared" si="111"/>
        <v>225.12718298378599</v>
      </c>
      <c r="AA97" s="15">
        <f t="shared" si="111"/>
        <v>208.70950151163498</v>
      </c>
      <c r="AB97" s="15">
        <f t="shared" si="111"/>
        <v>222.90844545816631</v>
      </c>
      <c r="AC97" s="15">
        <f t="shared" si="111"/>
        <v>206.06532516277991</v>
      </c>
      <c r="AD97" s="15">
        <f t="shared" si="111"/>
        <v>179.39972891146462</v>
      </c>
      <c r="AE97" s="15">
        <f t="shared" si="111"/>
        <v>164.37418270615481</v>
      </c>
      <c r="AF97" s="15">
        <f t="shared" si="111"/>
        <v>165.57703643206136</v>
      </c>
      <c r="AG97" s="15">
        <f t="shared" si="111"/>
        <v>163.14580239096708</v>
      </c>
      <c r="AH97" s="15">
        <f t="shared" si="111"/>
        <v>209.54495071736952</v>
      </c>
      <c r="AJ97" s="15">
        <f t="shared" ca="1" si="111"/>
        <v>486.42003671394241</v>
      </c>
      <c r="AK97" s="15">
        <f t="shared" ca="1" si="111"/>
        <v>467.64335117079531</v>
      </c>
      <c r="AL97" s="15">
        <f t="shared" ca="1" si="111"/>
        <v>515.78108994429215</v>
      </c>
      <c r="AM97" s="15">
        <f t="shared" ca="1" si="111"/>
        <v>622.82485549983244</v>
      </c>
      <c r="AN97" s="15">
        <f t="shared" ca="1" si="111"/>
        <v>528.16936700010694</v>
      </c>
      <c r="AO97" s="15">
        <f t="shared" ca="1" si="111"/>
        <v>516.99149766516484</v>
      </c>
      <c r="AP97" s="15">
        <f t="shared" ca="1" si="111"/>
        <v>530.35534779753527</v>
      </c>
      <c r="AQ97" s="15">
        <f t="shared" ca="1" si="111"/>
        <v>656.74512995358737</v>
      </c>
      <c r="AR97" s="15">
        <f t="shared" ca="1" si="111"/>
        <v>549.83923678039923</v>
      </c>
      <c r="AS97" s="15">
        <f t="shared" ca="1" si="111"/>
        <v>538.26778954039787</v>
      </c>
      <c r="AT97" s="13"/>
      <c r="AU97" s="15">
        <f t="shared" ca="1" si="111"/>
        <v>954.06338788473772</v>
      </c>
      <c r="AV97" s="15">
        <f t="shared" ca="1" si="111"/>
        <v>2183.7668101093959</v>
      </c>
      <c r="AW97" s="15">
        <f t="shared" ca="1" si="111"/>
        <v>2275.2075040719201</v>
      </c>
    </row>
    <row r="98" spans="1:49" x14ac:dyDescent="0.25">
      <c r="C98" s="1"/>
      <c r="D98" s="1"/>
      <c r="P98" s="8"/>
      <c r="AT98" s="13"/>
    </row>
    <row r="99" spans="1:49" ht="18.75" x14ac:dyDescent="0.3">
      <c r="A99" t="s">
        <v>231</v>
      </c>
      <c r="C99" s="182" t="s">
        <v>20</v>
      </c>
      <c r="D99" s="179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0"/>
      <c r="AW99" s="180"/>
    </row>
    <row r="100" spans="1:49" x14ac:dyDescent="0.25">
      <c r="C100" s="11"/>
      <c r="D100" s="11"/>
      <c r="AT100" s="13"/>
    </row>
    <row r="101" spans="1:49" x14ac:dyDescent="0.25">
      <c r="C101" s="30" t="s">
        <v>93</v>
      </c>
      <c r="D101" s="30"/>
      <c r="E101" s="45" t="str">
        <f t="shared" ref="E101:K101" si="112">E$9</f>
        <v>Jul-20A</v>
      </c>
      <c r="F101" s="45" t="str">
        <f t="shared" si="112"/>
        <v>Aug-20A</v>
      </c>
      <c r="G101" s="45" t="str">
        <f t="shared" si="112"/>
        <v>Sep-20A</v>
      </c>
      <c r="H101" s="45" t="str">
        <f t="shared" si="112"/>
        <v>Oct-20A</v>
      </c>
      <c r="I101" s="45" t="str">
        <f t="shared" si="112"/>
        <v>Nov-20A</v>
      </c>
      <c r="J101" s="45" t="str">
        <f t="shared" si="112"/>
        <v>Dec-20A</v>
      </c>
      <c r="K101" s="45" t="str">
        <f t="shared" si="112"/>
        <v>Jan-21A</v>
      </c>
      <c r="L101" s="45" t="str">
        <f t="shared" ref="L101:AH101" si="113">L$9</f>
        <v>Feb-21A</v>
      </c>
      <c r="M101" s="45" t="str">
        <f t="shared" si="113"/>
        <v>Mar-21A</v>
      </c>
      <c r="N101" s="45" t="str">
        <f t="shared" si="113"/>
        <v>Apr-21A</v>
      </c>
      <c r="O101" s="45" t="str">
        <f t="shared" si="113"/>
        <v>May-21A</v>
      </c>
      <c r="P101" s="46" t="str">
        <f t="shared" si="113"/>
        <v>Jun-21A</v>
      </c>
      <c r="Q101" s="45" t="str">
        <f t="shared" si="113"/>
        <v>Jul-21F</v>
      </c>
      <c r="R101" s="45" t="str">
        <f t="shared" si="113"/>
        <v>Aug-21F</v>
      </c>
      <c r="S101" s="45" t="str">
        <f t="shared" si="113"/>
        <v>Sep-21F</v>
      </c>
      <c r="T101" s="45" t="str">
        <f t="shared" si="113"/>
        <v>Oct-21F</v>
      </c>
      <c r="U101" s="45" t="str">
        <f t="shared" si="113"/>
        <v>Nov-21F</v>
      </c>
      <c r="V101" s="45" t="str">
        <f t="shared" si="113"/>
        <v>Dec-21F</v>
      </c>
      <c r="W101" s="45" t="str">
        <f t="shared" si="113"/>
        <v>Jan-22F</v>
      </c>
      <c r="X101" s="45" t="str">
        <f t="shared" si="113"/>
        <v>Feb-22F</v>
      </c>
      <c r="Y101" s="45" t="str">
        <f t="shared" si="113"/>
        <v>Mar-22F</v>
      </c>
      <c r="Z101" s="45" t="str">
        <f t="shared" si="113"/>
        <v>Apr-22F</v>
      </c>
      <c r="AA101" s="45" t="str">
        <f t="shared" si="113"/>
        <v>May-22F</v>
      </c>
      <c r="AB101" s="45" t="str">
        <f t="shared" si="113"/>
        <v>Jun-22F</v>
      </c>
      <c r="AC101" s="45" t="str">
        <f t="shared" si="113"/>
        <v>Jul-22F</v>
      </c>
      <c r="AD101" s="45" t="str">
        <f t="shared" si="113"/>
        <v>Aug-22F</v>
      </c>
      <c r="AE101" s="45" t="str">
        <f t="shared" si="113"/>
        <v>Sep-22F</v>
      </c>
      <c r="AF101" s="45" t="str">
        <f t="shared" si="113"/>
        <v>Oct-22F</v>
      </c>
      <c r="AG101" s="45" t="str">
        <f t="shared" si="113"/>
        <v>Nov-22F</v>
      </c>
      <c r="AH101" s="45" t="str">
        <f t="shared" si="113"/>
        <v>Dec-22F</v>
      </c>
      <c r="AJ101" s="45" t="str">
        <f ca="1">AJ$10</f>
        <v>Q3'20A</v>
      </c>
      <c r="AK101" s="45" t="str">
        <f t="shared" ref="AK101:AW101" ca="1" si="114">AK$10</f>
        <v>Q4'20A</v>
      </c>
      <c r="AL101" s="45" t="str">
        <f t="shared" ca="1" si="114"/>
        <v>Q1'21A</v>
      </c>
      <c r="AM101" s="46" t="str">
        <f t="shared" ca="1" si="114"/>
        <v>Q2'21A</v>
      </c>
      <c r="AN101" s="45" t="str">
        <f t="shared" ca="1" si="114"/>
        <v>Q3'21F</v>
      </c>
      <c r="AO101" s="45" t="str">
        <f t="shared" ca="1" si="114"/>
        <v>Q4'21F</v>
      </c>
      <c r="AP101" s="45" t="str">
        <f t="shared" ca="1" si="114"/>
        <v>Q1'22F</v>
      </c>
      <c r="AQ101" s="45" t="str">
        <f t="shared" ca="1" si="114"/>
        <v>Q2'22F</v>
      </c>
      <c r="AR101" s="45" t="str">
        <f t="shared" ca="1" si="114"/>
        <v>Q3'22F</v>
      </c>
      <c r="AS101" s="45" t="str">
        <f t="shared" ca="1" si="114"/>
        <v>Q4'22F</v>
      </c>
      <c r="AT101" s="13"/>
      <c r="AU101" s="45" t="str">
        <f t="shared" ca="1" si="114"/>
        <v>FY20</v>
      </c>
      <c r="AV101" s="45" t="str">
        <f t="shared" ca="1" si="114"/>
        <v>FY21</v>
      </c>
      <c r="AW101" s="45" t="str">
        <f t="shared" ca="1" si="114"/>
        <v>FY22</v>
      </c>
    </row>
    <row r="102" spans="1:49" x14ac:dyDescent="0.25">
      <c r="C102" s="2" t="s">
        <v>103</v>
      </c>
      <c r="D102" s="2"/>
      <c r="P102" s="8"/>
      <c r="AM102" s="338"/>
      <c r="AT102" s="13"/>
    </row>
    <row r="103" spans="1:49" x14ac:dyDescent="0.25">
      <c r="C103" s="1" t="s">
        <v>98</v>
      </c>
      <c r="D103" s="1"/>
      <c r="E103" s="80">
        <f>Headcount!E12</f>
        <v>22400</v>
      </c>
      <c r="F103" s="80">
        <f>Headcount!F12</f>
        <v>22400</v>
      </c>
      <c r="G103" s="80">
        <f>Headcount!G12</f>
        <v>22400</v>
      </c>
      <c r="H103" s="80">
        <f>Headcount!H12</f>
        <v>22400</v>
      </c>
      <c r="I103" s="80">
        <f>Headcount!I12</f>
        <v>22400</v>
      </c>
      <c r="J103" s="81">
        <f>Headcount!J12</f>
        <v>22400</v>
      </c>
      <c r="K103" s="80">
        <f>Headcount!K12</f>
        <v>22400</v>
      </c>
      <c r="L103" s="80">
        <f>Headcount!L12</f>
        <v>22400</v>
      </c>
      <c r="M103" s="80">
        <f>Headcount!M12</f>
        <v>22400</v>
      </c>
      <c r="N103" s="80">
        <f>Headcount!N12</f>
        <v>22400</v>
      </c>
      <c r="O103" s="80">
        <f>Headcount!O12</f>
        <v>22400</v>
      </c>
      <c r="P103" s="82">
        <f>Headcount!P12</f>
        <v>22400</v>
      </c>
      <c r="Q103" s="80">
        <f>Headcount!Q12</f>
        <v>22959.999999999996</v>
      </c>
      <c r="R103" s="80">
        <f>Headcount!R12</f>
        <v>23520</v>
      </c>
      <c r="S103" s="80">
        <f>Headcount!S12</f>
        <v>24808</v>
      </c>
      <c r="T103" s="80">
        <f>Headcount!T12</f>
        <v>24640.000000000004</v>
      </c>
      <c r="U103" s="80">
        <f>Headcount!U12</f>
        <v>24640.000000000004</v>
      </c>
      <c r="V103" s="80">
        <f>Headcount!V12</f>
        <v>24640.000000000004</v>
      </c>
      <c r="W103" s="80">
        <f>Headcount!W12</f>
        <v>24640.000000000004</v>
      </c>
      <c r="X103" s="80">
        <f>Headcount!X12</f>
        <v>24640.000000000004</v>
      </c>
      <c r="Y103" s="80">
        <f>Headcount!Y12</f>
        <v>24640.000000000004</v>
      </c>
      <c r="Z103" s="80">
        <f>Headcount!Z12</f>
        <v>24640.000000000004</v>
      </c>
      <c r="AA103" s="80">
        <f>Headcount!AA12</f>
        <v>24640.000000000004</v>
      </c>
      <c r="AB103" s="80">
        <f>Headcount!AB12</f>
        <v>24640.000000000004</v>
      </c>
      <c r="AC103" s="80">
        <f>Headcount!AC12</f>
        <v>24640.000000000004</v>
      </c>
      <c r="AD103" s="80">
        <f>Headcount!AD12</f>
        <v>24640.000000000004</v>
      </c>
      <c r="AE103" s="80">
        <f>Headcount!AE12</f>
        <v>24640.000000000004</v>
      </c>
      <c r="AF103" s="80">
        <f>Headcount!AF12</f>
        <v>24640.000000000004</v>
      </c>
      <c r="AG103" s="80">
        <f>Headcount!AG12</f>
        <v>24640.000000000004</v>
      </c>
      <c r="AH103" s="80">
        <f>Headcount!AH12</f>
        <v>24640.000000000004</v>
      </c>
      <c r="AJ103" s="83" cm="1">
        <f t="array" aca="1" ref="AJ103" ca="1">INDEX($E103:$AH103,1,MATCH(AJ$3&amp;AJ$4&amp;AJ$5&amp;AJ$6,$E$3:$AH$3&amp;$E$4:$AH$4&amp;$E$5:$AH$5&amp;$E$6:$AH$6,1))</f>
        <v>22400</v>
      </c>
      <c r="AK103" s="83" cm="1">
        <f t="array" aca="1" ref="AK103" ca="1">INDEX($E103:$AH103,1,MATCH(AK$3&amp;AK$4&amp;AK$5&amp;AK$6,$E$3:$AH$3&amp;$E$4:$AH$4&amp;$E$5:$AH$5&amp;$E$6:$AH$6,1))</f>
        <v>22400</v>
      </c>
      <c r="AL103" s="83" cm="1">
        <f t="array" aca="1" ref="AL103" ca="1">INDEX($E103:$AH103,1,MATCH(AL$3&amp;AL$4&amp;AL$5&amp;AL$6,$E$3:$AH$3&amp;$E$4:$AH$4&amp;$E$5:$AH$5&amp;$E$6:$AH$6,1))</f>
        <v>22400</v>
      </c>
      <c r="AM103" s="158" cm="1">
        <f t="array" aca="1" ref="AM103" ca="1">INDEX($E103:$AH103,1,MATCH(AM$3&amp;AM$4&amp;AM$5&amp;AM$6,$E$3:$AH$3&amp;$E$4:$AH$4&amp;$E$5:$AH$5&amp;$E$6:$AH$6,1))</f>
        <v>22400</v>
      </c>
      <c r="AN103" s="83" cm="1">
        <f t="array" aca="1" ref="AN103" ca="1">INDEX($E103:$AH103,1,MATCH(AN$3&amp;AN$4&amp;AN$5&amp;AN$6,$E$3:$AH$3&amp;$E$4:$AH$4&amp;$E$5:$AH$5&amp;$E$6:$AH$6,1))</f>
        <v>24808</v>
      </c>
      <c r="AO103" s="83" cm="1">
        <f t="array" aca="1" ref="AO103" ca="1">INDEX($E103:$AH103,1,MATCH(AO$3&amp;AO$4&amp;AO$5&amp;AO$6,$E$3:$AH$3&amp;$E$4:$AH$4&amp;$E$5:$AH$5&amp;$E$6:$AH$6,1))</f>
        <v>24640.000000000004</v>
      </c>
      <c r="AP103" s="83" cm="1">
        <f t="array" aca="1" ref="AP103" ca="1">INDEX($E103:$AH103,1,MATCH(AP$3&amp;AP$4&amp;AP$5&amp;AP$6,$E$3:$AH$3&amp;$E$4:$AH$4&amp;$E$5:$AH$5&amp;$E$6:$AH$6,1))</f>
        <v>24640.000000000004</v>
      </c>
      <c r="AQ103" s="83" cm="1">
        <f t="array" aca="1" ref="AQ103" ca="1">INDEX($E103:$AH103,1,MATCH(AQ$3&amp;AQ$4&amp;AQ$5&amp;AQ$6,$E$3:$AH$3&amp;$E$4:$AH$4&amp;$E$5:$AH$5&amp;$E$6:$AH$6,1))</f>
        <v>24640.000000000004</v>
      </c>
      <c r="AR103" s="83" cm="1">
        <f t="array" aca="1" ref="AR103" ca="1">INDEX($E103:$AH103,1,MATCH(AR$3&amp;AR$4&amp;AR$5&amp;AR$6,$E$3:$AH$3&amp;$E$4:$AH$4&amp;$E$5:$AH$5&amp;$E$6:$AH$6,1))</f>
        <v>24640.000000000004</v>
      </c>
      <c r="AS103" s="83" cm="1">
        <f t="array" aca="1" ref="AS103" ca="1">INDEX($E103:$AH103,1,MATCH(AS$3&amp;AS$4&amp;AS$5&amp;AS$6,$E$3:$AH$3&amp;$E$4:$AH$4&amp;$E$5:$AH$5&amp;$E$6:$AH$6,1))</f>
        <v>24640.000000000004</v>
      </c>
      <c r="AT103" s="13"/>
      <c r="AU103" s="83">
        <f t="shared" ref="AU103:AW105" ca="1" si="115">INDEX($E103:$AH103,MATCH(AU$5,$E$5:$AH$5,1))</f>
        <v>22400</v>
      </c>
      <c r="AV103" s="83">
        <f t="shared" ca="1" si="115"/>
        <v>24640.000000000004</v>
      </c>
      <c r="AW103" s="83">
        <f t="shared" ca="1" si="115"/>
        <v>24640.000000000004</v>
      </c>
    </row>
    <row r="104" spans="1:49" x14ac:dyDescent="0.25">
      <c r="C104" s="1" t="s">
        <v>100</v>
      </c>
      <c r="D104" s="1"/>
      <c r="E104" s="80">
        <f>Headcount!E13</f>
        <v>2000</v>
      </c>
      <c r="F104" s="80">
        <f>Headcount!F13</f>
        <v>2000</v>
      </c>
      <c r="G104" s="80">
        <f>Headcount!G13</f>
        <v>2000</v>
      </c>
      <c r="H104" s="80">
        <f>Headcount!H13</f>
        <v>2000</v>
      </c>
      <c r="I104" s="80">
        <f>Headcount!I13</f>
        <v>2000</v>
      </c>
      <c r="J104" s="81">
        <f>Headcount!J13</f>
        <v>2000</v>
      </c>
      <c r="K104" s="80">
        <f>Headcount!K13</f>
        <v>2000</v>
      </c>
      <c r="L104" s="80">
        <f>Headcount!L13</f>
        <v>2000</v>
      </c>
      <c r="M104" s="80">
        <f>Headcount!M13</f>
        <v>2000</v>
      </c>
      <c r="N104" s="80">
        <f>Headcount!N13</f>
        <v>2000</v>
      </c>
      <c r="O104" s="80">
        <f>Headcount!O13</f>
        <v>2000</v>
      </c>
      <c r="P104" s="82">
        <f>Headcount!P13</f>
        <v>2000</v>
      </c>
      <c r="Q104" s="80">
        <f>Headcount!Q13</f>
        <v>2000</v>
      </c>
      <c r="R104" s="80">
        <f>Headcount!R13</f>
        <v>2100</v>
      </c>
      <c r="S104" s="80">
        <f>Headcount!S13</f>
        <v>2100</v>
      </c>
      <c r="T104" s="80">
        <f>Headcount!T13</f>
        <v>2100</v>
      </c>
      <c r="U104" s="80">
        <f>Headcount!U13</f>
        <v>2100</v>
      </c>
      <c r="V104" s="80">
        <f>Headcount!V13</f>
        <v>2100</v>
      </c>
      <c r="W104" s="80">
        <f>Headcount!W13</f>
        <v>2100</v>
      </c>
      <c r="X104" s="80">
        <f>Headcount!X13</f>
        <v>2100</v>
      </c>
      <c r="Y104" s="80">
        <f>Headcount!Y13</f>
        <v>2100</v>
      </c>
      <c r="Z104" s="80">
        <f>Headcount!Z13</f>
        <v>2100</v>
      </c>
      <c r="AA104" s="80">
        <f>Headcount!AA13</f>
        <v>2100</v>
      </c>
      <c r="AB104" s="80">
        <f>Headcount!AB13</f>
        <v>2100</v>
      </c>
      <c r="AC104" s="80">
        <f>Headcount!AC13</f>
        <v>2100</v>
      </c>
      <c r="AD104" s="80">
        <f>Headcount!AD13</f>
        <v>2100</v>
      </c>
      <c r="AE104" s="80">
        <f>Headcount!AE13</f>
        <v>2100</v>
      </c>
      <c r="AF104" s="80">
        <f>Headcount!AF13</f>
        <v>2100</v>
      </c>
      <c r="AG104" s="80">
        <f>Headcount!AG13</f>
        <v>2100</v>
      </c>
      <c r="AH104" s="80">
        <f>Headcount!AH13</f>
        <v>2100</v>
      </c>
      <c r="AJ104" s="83" cm="1">
        <f t="array" aca="1" ref="AJ104" ca="1">INDEX($E104:$AH104,1,MATCH(AJ$3&amp;AJ$4&amp;AJ$5&amp;AJ$6,$E$3:$AH$3&amp;$E$4:$AH$4&amp;$E$5:$AH$5&amp;$E$6:$AH$6,1))</f>
        <v>2000</v>
      </c>
      <c r="AK104" s="83" cm="1">
        <f t="array" aca="1" ref="AK104" ca="1">INDEX($E104:$AH104,1,MATCH(AK$3&amp;AK$4&amp;AK$5&amp;AK$6,$E$3:$AH$3&amp;$E$4:$AH$4&amp;$E$5:$AH$5&amp;$E$6:$AH$6,1))</f>
        <v>2000</v>
      </c>
      <c r="AL104" s="83" cm="1">
        <f t="array" aca="1" ref="AL104" ca="1">INDEX($E104:$AH104,1,MATCH(AL$3&amp;AL$4&amp;AL$5&amp;AL$6,$E$3:$AH$3&amp;$E$4:$AH$4&amp;$E$5:$AH$5&amp;$E$6:$AH$6,1))</f>
        <v>2000</v>
      </c>
      <c r="AM104" s="158" cm="1">
        <f t="array" aca="1" ref="AM104" ca="1">INDEX($E104:$AH104,1,MATCH(AM$3&amp;AM$4&amp;AM$5&amp;AM$6,$E$3:$AH$3&amp;$E$4:$AH$4&amp;$E$5:$AH$5&amp;$E$6:$AH$6,1))</f>
        <v>2000</v>
      </c>
      <c r="AN104" s="83" cm="1">
        <f t="array" aca="1" ref="AN104" ca="1">INDEX($E104:$AH104,1,MATCH(AN$3&amp;AN$4&amp;AN$5&amp;AN$6,$E$3:$AH$3&amp;$E$4:$AH$4&amp;$E$5:$AH$5&amp;$E$6:$AH$6,1))</f>
        <v>2100</v>
      </c>
      <c r="AO104" s="83" cm="1">
        <f t="array" aca="1" ref="AO104" ca="1">INDEX($E104:$AH104,1,MATCH(AO$3&amp;AO$4&amp;AO$5&amp;AO$6,$E$3:$AH$3&amp;$E$4:$AH$4&amp;$E$5:$AH$5&amp;$E$6:$AH$6,1))</f>
        <v>2100</v>
      </c>
      <c r="AP104" s="83" cm="1">
        <f t="array" aca="1" ref="AP104" ca="1">INDEX($E104:$AH104,1,MATCH(AP$3&amp;AP$4&amp;AP$5&amp;AP$6,$E$3:$AH$3&amp;$E$4:$AH$4&amp;$E$5:$AH$5&amp;$E$6:$AH$6,1))</f>
        <v>2100</v>
      </c>
      <c r="AQ104" s="83" cm="1">
        <f t="array" aca="1" ref="AQ104" ca="1">INDEX($E104:$AH104,1,MATCH(AQ$3&amp;AQ$4&amp;AQ$5&amp;AQ$6,$E$3:$AH$3&amp;$E$4:$AH$4&amp;$E$5:$AH$5&amp;$E$6:$AH$6,1))</f>
        <v>2100</v>
      </c>
      <c r="AR104" s="83" cm="1">
        <f t="array" aca="1" ref="AR104" ca="1">INDEX($E104:$AH104,1,MATCH(AR$3&amp;AR$4&amp;AR$5&amp;AR$6,$E$3:$AH$3&amp;$E$4:$AH$4&amp;$E$5:$AH$5&amp;$E$6:$AH$6,1))</f>
        <v>2100</v>
      </c>
      <c r="AS104" s="83" cm="1">
        <f t="array" aca="1" ref="AS104" ca="1">INDEX($E104:$AH104,1,MATCH(AS$3&amp;AS$4&amp;AS$5&amp;AS$6,$E$3:$AH$3&amp;$E$4:$AH$4&amp;$E$5:$AH$5&amp;$E$6:$AH$6,1))</f>
        <v>2100</v>
      </c>
      <c r="AT104" s="13"/>
      <c r="AU104" s="83">
        <f t="shared" ca="1" si="115"/>
        <v>2000</v>
      </c>
      <c r="AV104" s="83">
        <f t="shared" ca="1" si="115"/>
        <v>2100</v>
      </c>
      <c r="AW104" s="83">
        <f t="shared" ca="1" si="115"/>
        <v>2100</v>
      </c>
    </row>
    <row r="105" spans="1:49" x14ac:dyDescent="0.25">
      <c r="C105" s="23" t="s">
        <v>99</v>
      </c>
      <c r="D105" s="23"/>
      <c r="E105" s="85">
        <f>Headcount!E14</f>
        <v>1000</v>
      </c>
      <c r="F105" s="85">
        <f>Headcount!F14</f>
        <v>1000</v>
      </c>
      <c r="G105" s="85">
        <f>Headcount!G14</f>
        <v>1000</v>
      </c>
      <c r="H105" s="85">
        <f>Headcount!H14</f>
        <v>1000</v>
      </c>
      <c r="I105" s="85">
        <f>Headcount!I14</f>
        <v>1000</v>
      </c>
      <c r="J105" s="85">
        <f>Headcount!J14</f>
        <v>1000</v>
      </c>
      <c r="K105" s="85">
        <f>Headcount!K14</f>
        <v>1000</v>
      </c>
      <c r="L105" s="85">
        <f>Headcount!L14</f>
        <v>1000</v>
      </c>
      <c r="M105" s="85">
        <f>Headcount!M14</f>
        <v>1000</v>
      </c>
      <c r="N105" s="85">
        <f>Headcount!N14</f>
        <v>1000</v>
      </c>
      <c r="O105" s="85">
        <f>Headcount!O14</f>
        <v>1000</v>
      </c>
      <c r="P105" s="86">
        <f>Headcount!P14</f>
        <v>1000</v>
      </c>
      <c r="Q105" s="85">
        <f>Headcount!Q14</f>
        <v>1000</v>
      </c>
      <c r="R105" s="85">
        <f>Headcount!R14</f>
        <v>1000</v>
      </c>
      <c r="S105" s="85">
        <f>Headcount!S14</f>
        <v>1000</v>
      </c>
      <c r="T105" s="85">
        <f>Headcount!T14</f>
        <v>1000</v>
      </c>
      <c r="U105" s="85">
        <f>Headcount!U14</f>
        <v>1000</v>
      </c>
      <c r="V105" s="85">
        <f>Headcount!V14</f>
        <v>1000</v>
      </c>
      <c r="W105" s="85">
        <f>Headcount!W14</f>
        <v>1000</v>
      </c>
      <c r="X105" s="85">
        <f>Headcount!X14</f>
        <v>1000</v>
      </c>
      <c r="Y105" s="85">
        <f>Headcount!Y14</f>
        <v>1000</v>
      </c>
      <c r="Z105" s="85">
        <f>Headcount!Z14</f>
        <v>1000</v>
      </c>
      <c r="AA105" s="85">
        <f>Headcount!AA14</f>
        <v>1000</v>
      </c>
      <c r="AB105" s="85">
        <f>Headcount!AB14</f>
        <v>1000</v>
      </c>
      <c r="AC105" s="85">
        <f>Headcount!AC14</f>
        <v>1000</v>
      </c>
      <c r="AD105" s="85">
        <f>Headcount!AD14</f>
        <v>1000</v>
      </c>
      <c r="AE105" s="85">
        <f>Headcount!AE14</f>
        <v>1000</v>
      </c>
      <c r="AF105" s="85">
        <f>Headcount!AF14</f>
        <v>1000</v>
      </c>
      <c r="AG105" s="85">
        <f>Headcount!AG14</f>
        <v>1000</v>
      </c>
      <c r="AH105" s="85">
        <f>Headcount!AH14</f>
        <v>1000</v>
      </c>
      <c r="AJ105" s="125" cm="1">
        <f t="array" aca="1" ref="AJ105" ca="1">INDEX($E105:$AH105,1,MATCH(AJ$3&amp;AJ$4&amp;AJ$5&amp;AJ$6,$E$3:$AH$3&amp;$E$4:$AH$4&amp;$E$5:$AH$5&amp;$E$6:$AH$6,1))</f>
        <v>1000</v>
      </c>
      <c r="AK105" s="125" cm="1">
        <f t="array" aca="1" ref="AK105" ca="1">INDEX($E105:$AH105,1,MATCH(AK$3&amp;AK$4&amp;AK$5&amp;AK$6,$E$3:$AH$3&amp;$E$4:$AH$4&amp;$E$5:$AH$5&amp;$E$6:$AH$6,1))</f>
        <v>1000</v>
      </c>
      <c r="AL105" s="125" cm="1">
        <f t="array" aca="1" ref="AL105" ca="1">INDEX($E105:$AH105,1,MATCH(AL$3&amp;AL$4&amp;AL$5&amp;AL$6,$E$3:$AH$3&amp;$E$4:$AH$4&amp;$E$5:$AH$5&amp;$E$6:$AH$6,1))</f>
        <v>1000</v>
      </c>
      <c r="AM105" s="170" cm="1">
        <f t="array" aca="1" ref="AM105" ca="1">INDEX($E105:$AH105,1,MATCH(AM$3&amp;AM$4&amp;AM$5&amp;AM$6,$E$3:$AH$3&amp;$E$4:$AH$4&amp;$E$5:$AH$5&amp;$E$6:$AH$6,1))</f>
        <v>1000</v>
      </c>
      <c r="AN105" s="125" cm="1">
        <f t="array" aca="1" ref="AN105" ca="1">INDEX($E105:$AH105,1,MATCH(AN$3&amp;AN$4&amp;AN$5&amp;AN$6,$E$3:$AH$3&amp;$E$4:$AH$4&amp;$E$5:$AH$5&amp;$E$6:$AH$6,1))</f>
        <v>1000</v>
      </c>
      <c r="AO105" s="125" cm="1">
        <f t="array" aca="1" ref="AO105" ca="1">INDEX($E105:$AH105,1,MATCH(AO$3&amp;AO$4&amp;AO$5&amp;AO$6,$E$3:$AH$3&amp;$E$4:$AH$4&amp;$E$5:$AH$5&amp;$E$6:$AH$6,1))</f>
        <v>1000</v>
      </c>
      <c r="AP105" s="125" cm="1">
        <f t="array" aca="1" ref="AP105" ca="1">INDEX($E105:$AH105,1,MATCH(AP$3&amp;AP$4&amp;AP$5&amp;AP$6,$E$3:$AH$3&amp;$E$4:$AH$4&amp;$E$5:$AH$5&amp;$E$6:$AH$6,1))</f>
        <v>1000</v>
      </c>
      <c r="AQ105" s="125" cm="1">
        <f t="array" aca="1" ref="AQ105" ca="1">INDEX($E105:$AH105,1,MATCH(AQ$3&amp;AQ$4&amp;AQ$5&amp;AQ$6,$E$3:$AH$3&amp;$E$4:$AH$4&amp;$E$5:$AH$5&amp;$E$6:$AH$6,1))</f>
        <v>1000</v>
      </c>
      <c r="AR105" s="125" cm="1">
        <f t="array" aca="1" ref="AR105" ca="1">INDEX($E105:$AH105,1,MATCH(AR$3&amp;AR$4&amp;AR$5&amp;AR$6,$E$3:$AH$3&amp;$E$4:$AH$4&amp;$E$5:$AH$5&amp;$E$6:$AH$6,1))</f>
        <v>1000</v>
      </c>
      <c r="AS105" s="125" cm="1">
        <f t="array" aca="1" ref="AS105" ca="1">INDEX($E105:$AH105,1,MATCH(AS$3&amp;AS$4&amp;AS$5&amp;AS$6,$E$3:$AH$3&amp;$E$4:$AH$4&amp;$E$5:$AH$5&amp;$E$6:$AH$6,1))</f>
        <v>1000</v>
      </c>
      <c r="AT105" s="13"/>
      <c r="AU105" s="125">
        <f t="shared" ca="1" si="115"/>
        <v>1000</v>
      </c>
      <c r="AV105" s="125">
        <f t="shared" ca="1" si="115"/>
        <v>1000</v>
      </c>
      <c r="AW105" s="125">
        <f t="shared" ca="1" si="115"/>
        <v>1000</v>
      </c>
    </row>
    <row r="106" spans="1:49" x14ac:dyDescent="0.25">
      <c r="C106" t="s">
        <v>95</v>
      </c>
      <c r="E106" s="83">
        <f>SUM(E103:E105)</f>
        <v>25400</v>
      </c>
      <c r="F106" s="83">
        <f t="shared" ref="F106:AW106" si="116">SUM(F103:F105)</f>
        <v>25400</v>
      </c>
      <c r="G106" s="83">
        <f t="shared" si="116"/>
        <v>25400</v>
      </c>
      <c r="H106" s="83">
        <f t="shared" si="116"/>
        <v>25400</v>
      </c>
      <c r="I106" s="83">
        <f t="shared" si="116"/>
        <v>25400</v>
      </c>
      <c r="J106" s="157">
        <f t="shared" si="116"/>
        <v>25400</v>
      </c>
      <c r="K106" s="83">
        <f t="shared" si="116"/>
        <v>25400</v>
      </c>
      <c r="L106" s="83">
        <f t="shared" si="116"/>
        <v>25400</v>
      </c>
      <c r="M106" s="83">
        <f t="shared" si="116"/>
        <v>25400</v>
      </c>
      <c r="N106" s="83">
        <f t="shared" si="116"/>
        <v>25400</v>
      </c>
      <c r="O106" s="83">
        <f t="shared" si="116"/>
        <v>25400</v>
      </c>
      <c r="P106" s="158">
        <f t="shared" si="116"/>
        <v>25400</v>
      </c>
      <c r="Q106" s="83">
        <f t="shared" si="116"/>
        <v>25959.999999999996</v>
      </c>
      <c r="R106" s="83">
        <f t="shared" si="116"/>
        <v>26620</v>
      </c>
      <c r="S106" s="83">
        <f t="shared" si="116"/>
        <v>27908</v>
      </c>
      <c r="T106" s="83">
        <f t="shared" si="116"/>
        <v>27740.000000000004</v>
      </c>
      <c r="U106" s="83">
        <f t="shared" si="116"/>
        <v>27740.000000000004</v>
      </c>
      <c r="V106" s="83">
        <f t="shared" si="116"/>
        <v>27740.000000000004</v>
      </c>
      <c r="W106" s="83">
        <f t="shared" si="116"/>
        <v>27740.000000000004</v>
      </c>
      <c r="X106" s="83">
        <f t="shared" si="116"/>
        <v>27740.000000000004</v>
      </c>
      <c r="Y106" s="83">
        <f t="shared" si="116"/>
        <v>27740.000000000004</v>
      </c>
      <c r="Z106" s="83">
        <f t="shared" si="116"/>
        <v>27740.000000000004</v>
      </c>
      <c r="AA106" s="83">
        <f t="shared" si="116"/>
        <v>27740.000000000004</v>
      </c>
      <c r="AB106" s="83">
        <f t="shared" si="116"/>
        <v>27740.000000000004</v>
      </c>
      <c r="AC106" s="83">
        <f t="shared" si="116"/>
        <v>27740.000000000004</v>
      </c>
      <c r="AD106" s="83">
        <f t="shared" si="116"/>
        <v>27740.000000000004</v>
      </c>
      <c r="AE106" s="83">
        <f t="shared" si="116"/>
        <v>27740.000000000004</v>
      </c>
      <c r="AF106" s="83">
        <f t="shared" si="116"/>
        <v>27740.000000000004</v>
      </c>
      <c r="AG106" s="83">
        <f t="shared" si="116"/>
        <v>27740.000000000004</v>
      </c>
      <c r="AH106" s="83">
        <f t="shared" si="116"/>
        <v>27740.000000000004</v>
      </c>
      <c r="AJ106" s="83">
        <f t="shared" ca="1" si="116"/>
        <v>25400</v>
      </c>
      <c r="AK106" s="83">
        <f t="shared" ca="1" si="116"/>
        <v>25400</v>
      </c>
      <c r="AL106" s="83">
        <f t="shared" ca="1" si="116"/>
        <v>25400</v>
      </c>
      <c r="AM106" s="336">
        <f t="shared" ca="1" si="116"/>
        <v>25400</v>
      </c>
      <c r="AN106" s="83">
        <f t="shared" ca="1" si="116"/>
        <v>27908</v>
      </c>
      <c r="AO106" s="83">
        <f t="shared" ca="1" si="116"/>
        <v>27740.000000000004</v>
      </c>
      <c r="AP106" s="83">
        <f t="shared" ca="1" si="116"/>
        <v>27740.000000000004</v>
      </c>
      <c r="AQ106" s="83">
        <f t="shared" ca="1" si="116"/>
        <v>27740.000000000004</v>
      </c>
      <c r="AR106" s="83">
        <f t="shared" ca="1" si="116"/>
        <v>27740.000000000004</v>
      </c>
      <c r="AS106" s="83">
        <f t="shared" ca="1" si="116"/>
        <v>27740.000000000004</v>
      </c>
      <c r="AT106" s="13"/>
      <c r="AU106" s="83">
        <f t="shared" ca="1" si="116"/>
        <v>25400</v>
      </c>
      <c r="AV106" s="83">
        <f t="shared" ca="1" si="116"/>
        <v>27740.000000000004</v>
      </c>
      <c r="AW106" s="83">
        <f t="shared" ca="1" si="116"/>
        <v>27740.000000000004</v>
      </c>
    </row>
    <row r="107" spans="1:49" x14ac:dyDescent="0.25">
      <c r="P107" s="8"/>
      <c r="AM107" s="8"/>
      <c r="AT107" s="13"/>
    </row>
    <row r="108" spans="1:49" x14ac:dyDescent="0.25">
      <c r="C108" s="25" t="s">
        <v>101</v>
      </c>
      <c r="D108" s="25"/>
      <c r="P108" s="8"/>
      <c r="AM108" s="8"/>
      <c r="AT108" s="13"/>
    </row>
    <row r="109" spans="1:49" x14ac:dyDescent="0.25">
      <c r="C109" s="1" t="s">
        <v>98</v>
      </c>
      <c r="D109" s="1"/>
      <c r="E109" s="243">
        <f>E119*1000000*12/E103</f>
        <v>145000</v>
      </c>
      <c r="F109" s="243">
        <f t="shared" ref="F109:P109" si="117">F119*1000000*12/F103</f>
        <v>145000</v>
      </c>
      <c r="G109" s="243">
        <f t="shared" si="117"/>
        <v>145000</v>
      </c>
      <c r="H109" s="243">
        <f t="shared" si="117"/>
        <v>145000</v>
      </c>
      <c r="I109" s="243">
        <f t="shared" si="117"/>
        <v>145000</v>
      </c>
      <c r="J109" s="243">
        <f t="shared" si="117"/>
        <v>145000</v>
      </c>
      <c r="K109" s="243">
        <f t="shared" si="117"/>
        <v>145000</v>
      </c>
      <c r="L109" s="243">
        <f t="shared" si="117"/>
        <v>145000</v>
      </c>
      <c r="M109" s="243">
        <f t="shared" si="117"/>
        <v>145000</v>
      </c>
      <c r="N109" s="243">
        <f t="shared" si="117"/>
        <v>145000</v>
      </c>
      <c r="O109" s="243">
        <f t="shared" si="117"/>
        <v>145000</v>
      </c>
      <c r="P109" s="244">
        <f t="shared" si="117"/>
        <v>145000</v>
      </c>
      <c r="Q109" s="70">
        <f t="shared" ref="Q109:V111" si="118">P109*(1+Q114)</f>
        <v>145000</v>
      </c>
      <c r="R109" s="70">
        <f t="shared" si="118"/>
        <v>145000</v>
      </c>
      <c r="S109" s="70">
        <f t="shared" si="118"/>
        <v>145000</v>
      </c>
      <c r="T109" s="70">
        <f t="shared" si="118"/>
        <v>145000</v>
      </c>
      <c r="U109" s="70">
        <f t="shared" si="118"/>
        <v>145000</v>
      </c>
      <c r="V109" s="70">
        <f t="shared" si="118"/>
        <v>145000</v>
      </c>
      <c r="W109" s="70">
        <f t="shared" ref="W109:AH109" si="119">V109*(1+W114)</f>
        <v>145000</v>
      </c>
      <c r="X109" s="70">
        <f t="shared" si="119"/>
        <v>145000</v>
      </c>
      <c r="Y109" s="70">
        <f t="shared" si="119"/>
        <v>152250</v>
      </c>
      <c r="Z109" s="70">
        <f t="shared" si="119"/>
        <v>152250</v>
      </c>
      <c r="AA109" s="70">
        <f t="shared" si="119"/>
        <v>152250</v>
      </c>
      <c r="AB109" s="70">
        <f t="shared" si="119"/>
        <v>152250</v>
      </c>
      <c r="AC109" s="70">
        <f t="shared" si="119"/>
        <v>152250</v>
      </c>
      <c r="AD109" s="70">
        <f t="shared" si="119"/>
        <v>152250</v>
      </c>
      <c r="AE109" s="70">
        <f t="shared" si="119"/>
        <v>152250</v>
      </c>
      <c r="AF109" s="70">
        <f t="shared" si="119"/>
        <v>152250</v>
      </c>
      <c r="AG109" s="70">
        <f t="shared" si="119"/>
        <v>152250</v>
      </c>
      <c r="AH109" s="70">
        <f t="shared" si="119"/>
        <v>152250</v>
      </c>
      <c r="AJ109" s="243">
        <f ca="1">AJ119*1000000*4/AJ103</f>
        <v>145000</v>
      </c>
      <c r="AK109" s="70">
        <f t="shared" ref="AK109:AS109" ca="1" si="120">AK119*1000000*4/AK103</f>
        <v>145000</v>
      </c>
      <c r="AL109" s="70">
        <f t="shared" ca="1" si="120"/>
        <v>145000</v>
      </c>
      <c r="AM109" s="337">
        <f t="shared" ca="1" si="120"/>
        <v>145000</v>
      </c>
      <c r="AN109" s="70">
        <f t="shared" ca="1" si="120"/>
        <v>138890.14296463504</v>
      </c>
      <c r="AO109" s="70">
        <f t="shared" ca="1" si="120"/>
        <v>144999.99999999997</v>
      </c>
      <c r="AP109" s="70">
        <f t="shared" ca="1" si="120"/>
        <v>147416.66666666669</v>
      </c>
      <c r="AQ109" s="70">
        <f t="shared" ca="1" si="120"/>
        <v>152250</v>
      </c>
      <c r="AR109" s="70">
        <f t="shared" ca="1" si="120"/>
        <v>152250</v>
      </c>
      <c r="AS109" s="70">
        <f t="shared" ca="1" si="120"/>
        <v>152250</v>
      </c>
      <c r="AT109" s="13"/>
      <c r="AU109" s="70">
        <f ca="1">AU119*1000000*2/AU103</f>
        <v>145000.00000000003</v>
      </c>
      <c r="AV109" s="70">
        <f ca="1">AV119*1000000/AV103</f>
        <v>137118.37121212122</v>
      </c>
      <c r="AW109" s="70">
        <f t="shared" ref="AW109:AW111" ca="1" si="121">AW119*1000000/AW103</f>
        <v>151041.66666666663</v>
      </c>
    </row>
    <row r="110" spans="1:49" x14ac:dyDescent="0.25">
      <c r="C110" s="1" t="s">
        <v>100</v>
      </c>
      <c r="D110" s="1"/>
      <c r="E110" s="243">
        <f t="shared" ref="E110:P111" si="122">E120*1000000*12/E104</f>
        <v>75000</v>
      </c>
      <c r="F110" s="243">
        <f t="shared" si="122"/>
        <v>75000</v>
      </c>
      <c r="G110" s="243">
        <f t="shared" si="122"/>
        <v>75000</v>
      </c>
      <c r="H110" s="243">
        <f t="shared" si="122"/>
        <v>75000</v>
      </c>
      <c r="I110" s="243">
        <f t="shared" si="122"/>
        <v>75000</v>
      </c>
      <c r="J110" s="243">
        <f t="shared" si="122"/>
        <v>75000</v>
      </c>
      <c r="K110" s="243">
        <f t="shared" si="122"/>
        <v>75000</v>
      </c>
      <c r="L110" s="243">
        <f t="shared" si="122"/>
        <v>75000</v>
      </c>
      <c r="M110" s="243">
        <f t="shared" si="122"/>
        <v>75000</v>
      </c>
      <c r="N110" s="243">
        <f t="shared" si="122"/>
        <v>75000</v>
      </c>
      <c r="O110" s="243">
        <f t="shared" si="122"/>
        <v>75000</v>
      </c>
      <c r="P110" s="244">
        <f t="shared" si="122"/>
        <v>75000</v>
      </c>
      <c r="Q110" s="70">
        <f t="shared" si="118"/>
        <v>75000</v>
      </c>
      <c r="R110" s="70">
        <f t="shared" si="118"/>
        <v>75000</v>
      </c>
      <c r="S110" s="70">
        <f t="shared" si="118"/>
        <v>75000</v>
      </c>
      <c r="T110" s="70">
        <f t="shared" si="118"/>
        <v>75000</v>
      </c>
      <c r="U110" s="70">
        <f t="shared" si="118"/>
        <v>75000</v>
      </c>
      <c r="V110" s="70">
        <f t="shared" si="118"/>
        <v>75000</v>
      </c>
      <c r="W110" s="70">
        <f t="shared" ref="W110:AH110" si="123">V110*(1+W115)</f>
        <v>75000</v>
      </c>
      <c r="X110" s="70">
        <f t="shared" si="123"/>
        <v>75000</v>
      </c>
      <c r="Y110" s="70">
        <f t="shared" si="123"/>
        <v>77250</v>
      </c>
      <c r="Z110" s="70">
        <f t="shared" si="123"/>
        <v>77250</v>
      </c>
      <c r="AA110" s="70">
        <f t="shared" si="123"/>
        <v>77250</v>
      </c>
      <c r="AB110" s="70">
        <f t="shared" si="123"/>
        <v>77250</v>
      </c>
      <c r="AC110" s="70">
        <f t="shared" si="123"/>
        <v>77250</v>
      </c>
      <c r="AD110" s="70">
        <f t="shared" si="123"/>
        <v>77250</v>
      </c>
      <c r="AE110" s="70">
        <f t="shared" si="123"/>
        <v>77250</v>
      </c>
      <c r="AF110" s="70">
        <f t="shared" si="123"/>
        <v>77250</v>
      </c>
      <c r="AG110" s="70">
        <f t="shared" si="123"/>
        <v>77250</v>
      </c>
      <c r="AH110" s="70">
        <f t="shared" si="123"/>
        <v>77250</v>
      </c>
      <c r="AJ110" s="243">
        <f ca="1">AJ120*1000000*4/AJ104</f>
        <v>75000</v>
      </c>
      <c r="AK110" s="70">
        <f t="shared" ref="AK110:AS110" ca="1" si="124">AK120*1000000*4/AK104</f>
        <v>75000</v>
      </c>
      <c r="AL110" s="70">
        <f t="shared" ca="1" si="124"/>
        <v>75000</v>
      </c>
      <c r="AM110" s="337">
        <f t="shared" ca="1" si="124"/>
        <v>75000</v>
      </c>
      <c r="AN110" s="70">
        <f t="shared" ca="1" si="124"/>
        <v>73809.523809523816</v>
      </c>
      <c r="AO110" s="70">
        <f t="shared" ca="1" si="124"/>
        <v>75000</v>
      </c>
      <c r="AP110" s="70">
        <f t="shared" ca="1" si="124"/>
        <v>75750</v>
      </c>
      <c r="AQ110" s="70">
        <f t="shared" ca="1" si="124"/>
        <v>77250.000000000015</v>
      </c>
      <c r="AR110" s="70">
        <f t="shared" ca="1" si="124"/>
        <v>77250.000000000015</v>
      </c>
      <c r="AS110" s="70">
        <f t="shared" ca="1" si="124"/>
        <v>77250.000000000015</v>
      </c>
      <c r="AT110" s="13"/>
      <c r="AU110" s="70">
        <f t="shared" ref="AU110:AU111" ca="1" si="125">AU120*1000000*2/AU104</f>
        <v>75000</v>
      </c>
      <c r="AV110" s="70">
        <f t="shared" ref="AV110:AV111" ca="1" si="126">AV120*1000000/AV104</f>
        <v>72916.666666666672</v>
      </c>
      <c r="AW110" s="70">
        <f t="shared" ca="1" si="121"/>
        <v>76875</v>
      </c>
    </row>
    <row r="111" spans="1:49" x14ac:dyDescent="0.25">
      <c r="C111" s="1" t="s">
        <v>99</v>
      </c>
      <c r="D111" s="1"/>
      <c r="E111" s="243">
        <f t="shared" si="122"/>
        <v>85000</v>
      </c>
      <c r="F111" s="243">
        <f t="shared" si="122"/>
        <v>85000</v>
      </c>
      <c r="G111" s="243">
        <f t="shared" si="122"/>
        <v>85000</v>
      </c>
      <c r="H111" s="243">
        <f t="shared" si="122"/>
        <v>85000</v>
      </c>
      <c r="I111" s="243">
        <f t="shared" si="122"/>
        <v>85000</v>
      </c>
      <c r="J111" s="243">
        <f t="shared" si="122"/>
        <v>85000</v>
      </c>
      <c r="K111" s="243">
        <f t="shared" si="122"/>
        <v>85000</v>
      </c>
      <c r="L111" s="243">
        <f t="shared" si="122"/>
        <v>85000</v>
      </c>
      <c r="M111" s="243">
        <f t="shared" si="122"/>
        <v>85000</v>
      </c>
      <c r="N111" s="243">
        <f t="shared" si="122"/>
        <v>85000</v>
      </c>
      <c r="O111" s="243">
        <f t="shared" si="122"/>
        <v>85000</v>
      </c>
      <c r="P111" s="244">
        <f t="shared" si="122"/>
        <v>85000</v>
      </c>
      <c r="Q111" s="70">
        <f t="shared" si="118"/>
        <v>85000</v>
      </c>
      <c r="R111" s="70">
        <f t="shared" si="118"/>
        <v>85000</v>
      </c>
      <c r="S111" s="70">
        <f t="shared" si="118"/>
        <v>85000</v>
      </c>
      <c r="T111" s="70">
        <f t="shared" si="118"/>
        <v>85000</v>
      </c>
      <c r="U111" s="70">
        <f t="shared" si="118"/>
        <v>85000</v>
      </c>
      <c r="V111" s="70">
        <f t="shared" si="118"/>
        <v>85000</v>
      </c>
      <c r="W111" s="70">
        <f t="shared" ref="W111:AH111" si="127">V111*(1+W116)</f>
        <v>85000</v>
      </c>
      <c r="X111" s="70">
        <f t="shared" si="127"/>
        <v>85000</v>
      </c>
      <c r="Y111" s="70">
        <f t="shared" si="127"/>
        <v>85000</v>
      </c>
      <c r="Z111" s="70">
        <f t="shared" si="127"/>
        <v>85000</v>
      </c>
      <c r="AA111" s="70">
        <f t="shared" si="127"/>
        <v>85000</v>
      </c>
      <c r="AB111" s="70">
        <f t="shared" si="127"/>
        <v>85000</v>
      </c>
      <c r="AC111" s="70">
        <f t="shared" si="127"/>
        <v>85000</v>
      </c>
      <c r="AD111" s="70">
        <f t="shared" si="127"/>
        <v>85000</v>
      </c>
      <c r="AE111" s="70">
        <f t="shared" si="127"/>
        <v>85000</v>
      </c>
      <c r="AF111" s="70">
        <f t="shared" si="127"/>
        <v>85000</v>
      </c>
      <c r="AG111" s="70">
        <f t="shared" si="127"/>
        <v>85000</v>
      </c>
      <c r="AH111" s="70">
        <f t="shared" si="127"/>
        <v>85000</v>
      </c>
      <c r="AJ111" s="243">
        <f ca="1">AJ121*1000000*4/AJ105</f>
        <v>85000</v>
      </c>
      <c r="AK111" s="70">
        <f t="shared" ref="AK111:AS111" ca="1" si="128">AK121*1000000*4/AK105</f>
        <v>85000</v>
      </c>
      <c r="AL111" s="70">
        <f t="shared" ca="1" si="128"/>
        <v>85000</v>
      </c>
      <c r="AM111" s="337">
        <f t="shared" ca="1" si="128"/>
        <v>85000</v>
      </c>
      <c r="AN111" s="70">
        <f t="shared" ca="1" si="128"/>
        <v>85000</v>
      </c>
      <c r="AO111" s="70">
        <f t="shared" ca="1" si="128"/>
        <v>85000</v>
      </c>
      <c r="AP111" s="70">
        <f t="shared" ca="1" si="128"/>
        <v>85000</v>
      </c>
      <c r="AQ111" s="70">
        <f t="shared" ca="1" si="128"/>
        <v>85000</v>
      </c>
      <c r="AR111" s="70">
        <f t="shared" ca="1" si="128"/>
        <v>85000</v>
      </c>
      <c r="AS111" s="70">
        <f t="shared" ca="1" si="128"/>
        <v>85000</v>
      </c>
      <c r="AT111" s="13"/>
      <c r="AU111" s="70">
        <f t="shared" ca="1" si="125"/>
        <v>85000</v>
      </c>
      <c r="AV111" s="70">
        <f t="shared" ca="1" si="126"/>
        <v>85000</v>
      </c>
      <c r="AW111" s="70">
        <f t="shared" ca="1" si="121"/>
        <v>85000</v>
      </c>
    </row>
    <row r="112" spans="1:49" x14ac:dyDescent="0.25">
      <c r="P112" s="8"/>
      <c r="AM112" s="8"/>
    </row>
    <row r="113" spans="2:49" x14ac:dyDescent="0.25">
      <c r="C113" s="11" t="s">
        <v>102</v>
      </c>
      <c r="D113" s="11"/>
      <c r="P113" s="8"/>
      <c r="AM113" s="8"/>
    </row>
    <row r="114" spans="2:49" x14ac:dyDescent="0.25">
      <c r="C114" s="1" t="s">
        <v>98</v>
      </c>
      <c r="D114" s="1"/>
      <c r="E114" s="76"/>
      <c r="F114" s="58">
        <f>F109/E109-1</f>
        <v>0</v>
      </c>
      <c r="G114" s="58">
        <f t="shared" ref="G114:P114" si="129">G109/F109-1</f>
        <v>0</v>
      </c>
      <c r="H114" s="58">
        <f t="shared" si="129"/>
        <v>0</v>
      </c>
      <c r="I114" s="58">
        <f t="shared" si="129"/>
        <v>0</v>
      </c>
      <c r="J114" s="58">
        <f t="shared" si="129"/>
        <v>0</v>
      </c>
      <c r="K114" s="58">
        <f t="shared" si="129"/>
        <v>0</v>
      </c>
      <c r="L114" s="58">
        <f t="shared" si="129"/>
        <v>0</v>
      </c>
      <c r="M114" s="58">
        <f t="shared" si="129"/>
        <v>0</v>
      </c>
      <c r="N114" s="58">
        <f t="shared" si="129"/>
        <v>0</v>
      </c>
      <c r="O114" s="58">
        <f t="shared" si="129"/>
        <v>0</v>
      </c>
      <c r="P114" s="60">
        <f t="shared" si="129"/>
        <v>0</v>
      </c>
      <c r="Q114" s="57">
        <v>0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0.05</v>
      </c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7">
        <v>0</v>
      </c>
      <c r="AM114" s="8"/>
    </row>
    <row r="115" spans="2:49" x14ac:dyDescent="0.25">
      <c r="C115" s="1" t="s">
        <v>100</v>
      </c>
      <c r="D115" s="1"/>
      <c r="E115" s="76"/>
      <c r="F115" s="58">
        <f t="shared" ref="F115:P115" si="130">F110/E110-1</f>
        <v>0</v>
      </c>
      <c r="G115" s="58">
        <f t="shared" si="130"/>
        <v>0</v>
      </c>
      <c r="H115" s="58">
        <f t="shared" si="130"/>
        <v>0</v>
      </c>
      <c r="I115" s="58">
        <f t="shared" si="130"/>
        <v>0</v>
      </c>
      <c r="J115" s="58">
        <f t="shared" si="130"/>
        <v>0</v>
      </c>
      <c r="K115" s="58">
        <f t="shared" si="130"/>
        <v>0</v>
      </c>
      <c r="L115" s="58">
        <f t="shared" si="130"/>
        <v>0</v>
      </c>
      <c r="M115" s="58">
        <f t="shared" si="130"/>
        <v>0</v>
      </c>
      <c r="N115" s="58">
        <f t="shared" si="130"/>
        <v>0</v>
      </c>
      <c r="O115" s="58">
        <f t="shared" si="130"/>
        <v>0</v>
      </c>
      <c r="P115" s="60">
        <f t="shared" si="130"/>
        <v>0</v>
      </c>
      <c r="Q115" s="57">
        <v>0</v>
      </c>
      <c r="R115" s="57">
        <v>0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0.03</v>
      </c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7">
        <v>0</v>
      </c>
      <c r="AM115" s="8"/>
    </row>
    <row r="116" spans="2:49" x14ac:dyDescent="0.25">
      <c r="C116" s="1" t="s">
        <v>99</v>
      </c>
      <c r="D116" s="1"/>
      <c r="E116" s="76"/>
      <c r="F116" s="58">
        <f t="shared" ref="F116:P116" si="131">F111/E111-1</f>
        <v>0</v>
      </c>
      <c r="G116" s="58">
        <f t="shared" si="131"/>
        <v>0</v>
      </c>
      <c r="H116" s="58">
        <f t="shared" si="131"/>
        <v>0</v>
      </c>
      <c r="I116" s="58">
        <f t="shared" si="131"/>
        <v>0</v>
      </c>
      <c r="J116" s="58">
        <f t="shared" si="131"/>
        <v>0</v>
      </c>
      <c r="K116" s="58">
        <f t="shared" si="131"/>
        <v>0</v>
      </c>
      <c r="L116" s="58">
        <f t="shared" si="131"/>
        <v>0</v>
      </c>
      <c r="M116" s="58">
        <f t="shared" si="131"/>
        <v>0</v>
      </c>
      <c r="N116" s="58">
        <f t="shared" si="131"/>
        <v>0</v>
      </c>
      <c r="O116" s="58">
        <f t="shared" si="131"/>
        <v>0</v>
      </c>
      <c r="P116" s="60">
        <f t="shared" si="131"/>
        <v>0</v>
      </c>
      <c r="Q116" s="57">
        <v>0</v>
      </c>
      <c r="R116" s="57">
        <v>0</v>
      </c>
      <c r="S116" s="57">
        <v>0</v>
      </c>
      <c r="T116" s="57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7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7">
        <v>0</v>
      </c>
      <c r="AM116" s="8"/>
    </row>
    <row r="117" spans="2:49" x14ac:dyDescent="0.25">
      <c r="P117" s="8"/>
      <c r="AM117" s="8"/>
    </row>
    <row r="118" spans="2:49" x14ac:dyDescent="0.25">
      <c r="C118" s="25" t="s">
        <v>285</v>
      </c>
      <c r="D118" s="25"/>
      <c r="P118" s="8"/>
      <c r="AM118" s="8"/>
    </row>
    <row r="119" spans="2:49" x14ac:dyDescent="0.25">
      <c r="C119" s="1" t="s">
        <v>98</v>
      </c>
      <c r="D119" s="1"/>
      <c r="E119" s="31">
        <v>270.66666666666669</v>
      </c>
      <c r="F119" s="31">
        <v>270.66666666666669</v>
      </c>
      <c r="G119" s="31">
        <v>270.66666666666669</v>
      </c>
      <c r="H119" s="31">
        <v>270.66666666666669</v>
      </c>
      <c r="I119" s="31">
        <v>270.66666666666669</v>
      </c>
      <c r="J119" s="31">
        <v>270.66666666666669</v>
      </c>
      <c r="K119" s="31">
        <v>270.66666666666669</v>
      </c>
      <c r="L119" s="31">
        <v>270.66666666666669</v>
      </c>
      <c r="M119" s="31">
        <v>270.66666666666669</v>
      </c>
      <c r="N119" s="31">
        <v>270.66666666666669</v>
      </c>
      <c r="O119" s="31">
        <v>270.66666666666669</v>
      </c>
      <c r="P119" s="32">
        <v>270.66666666666669</v>
      </c>
      <c r="Q119" s="13">
        <f t="shared" ref="Q119:AH119" si="132">Q103*Q109/12/1000000</f>
        <v>277.43333333333334</v>
      </c>
      <c r="R119" s="13">
        <f t="shared" si="132"/>
        <v>284.2</v>
      </c>
      <c r="S119" s="13">
        <f t="shared" si="132"/>
        <v>299.76333333333332</v>
      </c>
      <c r="T119" s="13">
        <f t="shared" si="132"/>
        <v>297.73333333333335</v>
      </c>
      <c r="U119" s="13">
        <f t="shared" si="132"/>
        <v>297.73333333333335</v>
      </c>
      <c r="V119" s="61">
        <f t="shared" si="132"/>
        <v>297.73333333333335</v>
      </c>
      <c r="W119" s="61">
        <f t="shared" si="132"/>
        <v>297.73333333333335</v>
      </c>
      <c r="X119" s="61">
        <f t="shared" si="132"/>
        <v>297.73333333333335</v>
      </c>
      <c r="Y119" s="61">
        <f t="shared" si="132"/>
        <v>312.62000000000006</v>
      </c>
      <c r="Z119" s="61">
        <f t="shared" si="132"/>
        <v>312.62000000000006</v>
      </c>
      <c r="AA119" s="61">
        <f t="shared" si="132"/>
        <v>312.62000000000006</v>
      </c>
      <c r="AB119" s="61">
        <f t="shared" si="132"/>
        <v>312.62000000000006</v>
      </c>
      <c r="AC119" s="61">
        <f t="shared" si="132"/>
        <v>312.62000000000006</v>
      </c>
      <c r="AD119" s="61">
        <f t="shared" si="132"/>
        <v>312.62000000000006</v>
      </c>
      <c r="AE119" s="61">
        <f t="shared" si="132"/>
        <v>312.62000000000006</v>
      </c>
      <c r="AF119" s="61">
        <f t="shared" si="132"/>
        <v>312.62000000000006</v>
      </c>
      <c r="AG119" s="61">
        <f t="shared" si="132"/>
        <v>312.62000000000006</v>
      </c>
      <c r="AH119" s="61">
        <f t="shared" si="132"/>
        <v>312.62000000000006</v>
      </c>
      <c r="AJ119" s="13" cm="1">
        <f t="array" aca="1" ref="AJ119" ca="1">SUMPRODUCT(($E119:$AH119)*(AJ$3&amp;AJ$4&amp;AJ$5&amp;AJ$6=$E$3:$AH$3&amp;$E$4:$AH$4&amp;$E$5:$AH$5&amp;$E$6:$AH$6))</f>
        <v>812</v>
      </c>
      <c r="AK119" s="13" cm="1">
        <f t="array" aca="1" ref="AK119" ca="1">SUMPRODUCT(($E119:$AH119)*(AK$3=$E$3:$AH$3)*(AK$4=$E$4:$AH$4)*(AK$5=$E$5:$AH$5)*(AK$6=$E$6:$AH$6))</f>
        <v>812</v>
      </c>
      <c r="AL119" s="13" cm="1">
        <f t="array" aca="1" ref="AL119" ca="1">SUMPRODUCT(($E119:$AH119)*(AL$3=$E$3:$AH$3)*(AL$4=$E$4:$AH$4)*(AL$5=$E$5:$AH$5)*(AL$6=$E$6:$AH$6))</f>
        <v>812</v>
      </c>
      <c r="AM119" s="17" cm="1">
        <f t="array" aca="1" ref="AM119" ca="1">SUMPRODUCT(($E119:$AH119)*(AM$3=$E$3:$AH$3)*(AM$4=$E$4:$AH$4)*(AM$5=$E$5:$AH$5)*(AM$6=$E$6:$AH$6))</f>
        <v>812</v>
      </c>
      <c r="AN119" s="13" cm="1">
        <f t="array" aca="1" ref="AN119" ca="1">SUMPRODUCT(($E119:$AH119)*(AN$3=$E$3:$AH$3)*(AN$4=$E$4:$AH$4)*(AN$5=$E$5:$AH$5)*(AN$6=$E$6:$AH$6))</f>
        <v>861.39666666666665</v>
      </c>
      <c r="AO119" s="13" cm="1">
        <f t="array" aca="1" ref="AO119" ca="1">SUMPRODUCT(($E119:$AH119)*(AO$3=$E$3:$AH$3)*(AO$4=$E$4:$AH$4)*(AO$5=$E$5:$AH$5)*(AO$6=$E$6:$AH$6))</f>
        <v>893.2</v>
      </c>
      <c r="AP119" s="13" cm="1">
        <f t="array" aca="1" ref="AP119" ca="1">SUMPRODUCT(($E119:$AH119)*(AP$3=$E$3:$AH$3)*(AP$4=$E$4:$AH$4)*(AP$5=$E$5:$AH$5)*(AP$6=$E$6:$AH$6))</f>
        <v>908.08666666666682</v>
      </c>
      <c r="AQ119" s="13" cm="1">
        <f t="array" aca="1" ref="AQ119" ca="1">SUMPRODUCT(($E119:$AH119)*(AQ$3=$E$3:$AH$3)*(AQ$4=$E$4:$AH$4)*(AQ$5=$E$5:$AH$5)*(AQ$6=$E$6:$AH$6))</f>
        <v>937.86000000000013</v>
      </c>
      <c r="AR119" s="13" cm="1">
        <f t="array" aca="1" ref="AR119" ca="1">SUMPRODUCT(($E119:$AH119)*(AR$3=$E$3:$AH$3)*(AR$4=$E$4:$AH$4)*(AR$5=$E$5:$AH$5)*(AR$6=$E$6:$AH$6))</f>
        <v>937.86000000000013</v>
      </c>
      <c r="AS119" s="13" cm="1">
        <f t="array" aca="1" ref="AS119" ca="1">SUMPRODUCT(($E119:$AH119)*(AS$3=$E$3:$AH$3)*(AS$4=$E$4:$AH$4)*(AS$5=$E$5:$AH$5)*(AS$6=$E$6:$AH$6))</f>
        <v>937.86000000000013</v>
      </c>
      <c r="AT119" s="13"/>
      <c r="AU119" s="13" cm="1">
        <f t="array" aca="1" ref="AU119" ca="1">SUMPRODUCT(($E119:$AH119)*(AU$5=$E$5:$AH$5))</f>
        <v>1624.0000000000002</v>
      </c>
      <c r="AV119" s="13" cm="1">
        <f t="array" aca="1" ref="AV119" ca="1">SUMPRODUCT(($E119:$AH119)*(AV$5=$E$5:$AH$5))</f>
        <v>3378.5966666666673</v>
      </c>
      <c r="AW119" s="13" cm="1">
        <f t="array" aca="1" ref="AW119" ca="1">SUMPRODUCT(($E119:$AH119)*(AW$5=$E$5:$AH$5))</f>
        <v>3721.6666666666665</v>
      </c>
    </row>
    <row r="120" spans="2:49" x14ac:dyDescent="0.25">
      <c r="C120" s="1" t="s">
        <v>100</v>
      </c>
      <c r="D120" s="1"/>
      <c r="E120" s="31">
        <v>12.5</v>
      </c>
      <c r="F120" s="31">
        <v>12.5</v>
      </c>
      <c r="G120" s="31">
        <v>12.5</v>
      </c>
      <c r="H120" s="31">
        <v>12.5</v>
      </c>
      <c r="I120" s="31">
        <v>12.5</v>
      </c>
      <c r="J120" s="31">
        <v>12.5</v>
      </c>
      <c r="K120" s="31">
        <v>12.5</v>
      </c>
      <c r="L120" s="31">
        <v>12.5</v>
      </c>
      <c r="M120" s="31">
        <v>12.5</v>
      </c>
      <c r="N120" s="31">
        <v>12.5</v>
      </c>
      <c r="O120" s="31">
        <v>12.5</v>
      </c>
      <c r="P120" s="32">
        <v>12.5</v>
      </c>
      <c r="Q120" s="13">
        <f t="shared" ref="Q120:AH120" si="133">Q104*Q110/12/1000000</f>
        <v>12.5</v>
      </c>
      <c r="R120" s="13">
        <f t="shared" si="133"/>
        <v>13.125</v>
      </c>
      <c r="S120" s="13">
        <f t="shared" si="133"/>
        <v>13.125</v>
      </c>
      <c r="T120" s="13">
        <f t="shared" si="133"/>
        <v>13.125</v>
      </c>
      <c r="U120" s="13">
        <f t="shared" si="133"/>
        <v>13.125</v>
      </c>
      <c r="V120" s="61">
        <f t="shared" si="133"/>
        <v>13.125</v>
      </c>
      <c r="W120" s="61">
        <f t="shared" si="133"/>
        <v>13.125</v>
      </c>
      <c r="X120" s="61">
        <f t="shared" si="133"/>
        <v>13.125</v>
      </c>
      <c r="Y120" s="61">
        <f t="shared" si="133"/>
        <v>13.518750000000001</v>
      </c>
      <c r="Z120" s="61">
        <f t="shared" si="133"/>
        <v>13.518750000000001</v>
      </c>
      <c r="AA120" s="61">
        <f t="shared" si="133"/>
        <v>13.518750000000001</v>
      </c>
      <c r="AB120" s="61">
        <f t="shared" si="133"/>
        <v>13.518750000000001</v>
      </c>
      <c r="AC120" s="61">
        <f t="shared" si="133"/>
        <v>13.518750000000001</v>
      </c>
      <c r="AD120" s="61">
        <f t="shared" si="133"/>
        <v>13.518750000000001</v>
      </c>
      <c r="AE120" s="61">
        <f t="shared" si="133"/>
        <v>13.518750000000001</v>
      </c>
      <c r="AF120" s="61">
        <f t="shared" si="133"/>
        <v>13.518750000000001</v>
      </c>
      <c r="AG120" s="61">
        <f t="shared" si="133"/>
        <v>13.518750000000001</v>
      </c>
      <c r="AH120" s="61">
        <f t="shared" si="133"/>
        <v>13.518750000000001</v>
      </c>
      <c r="AJ120" s="13" cm="1">
        <f t="array" aca="1" ref="AJ120" ca="1">SUMPRODUCT(($E120:$AH120)*(AJ$3&amp;AJ$4&amp;AJ$5&amp;AJ$6=$E$3:$AH$3&amp;$E$4:$AH$4&amp;$E$5:$AH$5&amp;$E$6:$AH$6))</f>
        <v>37.5</v>
      </c>
      <c r="AK120" s="13" cm="1">
        <f t="array" aca="1" ref="AK120" ca="1">SUMPRODUCT(($E120:$AH120)*(AK$3=$E$3:$AH$3)*(AK$4=$E$4:$AH$4)*(AK$5=$E$5:$AH$5)*(AK$6=$E$6:$AH$6))</f>
        <v>37.5</v>
      </c>
      <c r="AL120" s="13" cm="1">
        <f t="array" aca="1" ref="AL120" ca="1">SUMPRODUCT(($E120:$AH120)*(AL$3=$E$3:$AH$3)*(AL$4=$E$4:$AH$4)*(AL$5=$E$5:$AH$5)*(AL$6=$E$6:$AH$6))</f>
        <v>37.5</v>
      </c>
      <c r="AM120" s="17" cm="1">
        <f t="array" aca="1" ref="AM120" ca="1">SUMPRODUCT(($E120:$AH120)*(AM$3=$E$3:$AH$3)*(AM$4=$E$4:$AH$4)*(AM$5=$E$5:$AH$5)*(AM$6=$E$6:$AH$6))</f>
        <v>37.5</v>
      </c>
      <c r="AN120" s="13" cm="1">
        <f t="array" aca="1" ref="AN120" ca="1">SUMPRODUCT(($E120:$AH120)*(AN$3=$E$3:$AH$3)*(AN$4=$E$4:$AH$4)*(AN$5=$E$5:$AH$5)*(AN$6=$E$6:$AH$6))</f>
        <v>38.75</v>
      </c>
      <c r="AO120" s="13" cm="1">
        <f t="array" aca="1" ref="AO120" ca="1">SUMPRODUCT(($E120:$AH120)*(AO$3=$E$3:$AH$3)*(AO$4=$E$4:$AH$4)*(AO$5=$E$5:$AH$5)*(AO$6=$E$6:$AH$6))</f>
        <v>39.375</v>
      </c>
      <c r="AP120" s="13" cm="1">
        <f t="array" aca="1" ref="AP120" ca="1">SUMPRODUCT(($E120:$AH120)*(AP$3=$E$3:$AH$3)*(AP$4=$E$4:$AH$4)*(AP$5=$E$5:$AH$5)*(AP$6=$E$6:$AH$6))</f>
        <v>39.768749999999997</v>
      </c>
      <c r="AQ120" s="13" cm="1">
        <f t="array" aca="1" ref="AQ120" ca="1">SUMPRODUCT(($E120:$AH120)*(AQ$3=$E$3:$AH$3)*(AQ$4=$E$4:$AH$4)*(AQ$5=$E$5:$AH$5)*(AQ$6=$E$6:$AH$6))</f>
        <v>40.556250000000006</v>
      </c>
      <c r="AR120" s="13" cm="1">
        <f t="array" aca="1" ref="AR120" ca="1">SUMPRODUCT(($E120:$AH120)*(AR$3=$E$3:$AH$3)*(AR$4=$E$4:$AH$4)*(AR$5=$E$5:$AH$5)*(AR$6=$E$6:$AH$6))</f>
        <v>40.556250000000006</v>
      </c>
      <c r="AS120" s="13" cm="1">
        <f t="array" aca="1" ref="AS120" ca="1">SUMPRODUCT(($E120:$AH120)*(AS$3=$E$3:$AH$3)*(AS$4=$E$4:$AH$4)*(AS$5=$E$5:$AH$5)*(AS$6=$E$6:$AH$6))</f>
        <v>40.556250000000006</v>
      </c>
      <c r="AT120" s="13"/>
      <c r="AU120" s="13" cm="1">
        <f t="array" aca="1" ref="AU120" ca="1">SUMPRODUCT(($E120:$AH120)*(AU$5=$E$5:$AH$5))</f>
        <v>75</v>
      </c>
      <c r="AV120" s="13" cm="1">
        <f t="array" aca="1" ref="AV120" ca="1">SUMPRODUCT(($E120:$AH120)*(AV$5=$E$5:$AH$5))</f>
        <v>153.125</v>
      </c>
      <c r="AW120" s="13" cm="1">
        <f t="array" aca="1" ref="AW120" ca="1">SUMPRODUCT(($E120:$AH120)*(AW$5=$E$5:$AH$5))</f>
        <v>161.4375</v>
      </c>
    </row>
    <row r="121" spans="2:49" x14ac:dyDescent="0.25">
      <c r="C121" s="1" t="s">
        <v>99</v>
      </c>
      <c r="D121" s="1"/>
      <c r="E121" s="31">
        <v>7.083333333333333</v>
      </c>
      <c r="F121" s="31">
        <v>7.083333333333333</v>
      </c>
      <c r="G121" s="31">
        <v>7.083333333333333</v>
      </c>
      <c r="H121" s="31">
        <v>7.083333333333333</v>
      </c>
      <c r="I121" s="31">
        <v>7.083333333333333</v>
      </c>
      <c r="J121" s="31">
        <v>7.083333333333333</v>
      </c>
      <c r="K121" s="31">
        <v>7.083333333333333</v>
      </c>
      <c r="L121" s="31">
        <v>7.083333333333333</v>
      </c>
      <c r="M121" s="31">
        <v>7.083333333333333</v>
      </c>
      <c r="N121" s="31">
        <v>7.083333333333333</v>
      </c>
      <c r="O121" s="31">
        <v>7.083333333333333</v>
      </c>
      <c r="P121" s="39">
        <v>7.083333333333333</v>
      </c>
      <c r="Q121" s="13">
        <f t="shared" ref="Q121:AH121" si="134">Q105*Q111/12/1000000</f>
        <v>7.083333333333333</v>
      </c>
      <c r="R121" s="13">
        <f t="shared" si="134"/>
        <v>7.083333333333333</v>
      </c>
      <c r="S121" s="13">
        <f t="shared" si="134"/>
        <v>7.083333333333333</v>
      </c>
      <c r="T121" s="13">
        <f t="shared" si="134"/>
        <v>7.083333333333333</v>
      </c>
      <c r="U121" s="13">
        <f t="shared" si="134"/>
        <v>7.083333333333333</v>
      </c>
      <c r="V121" s="61">
        <f t="shared" si="134"/>
        <v>7.083333333333333</v>
      </c>
      <c r="W121" s="61">
        <f t="shared" si="134"/>
        <v>7.083333333333333</v>
      </c>
      <c r="X121" s="61">
        <f t="shared" si="134"/>
        <v>7.083333333333333</v>
      </c>
      <c r="Y121" s="61">
        <f t="shared" si="134"/>
        <v>7.083333333333333</v>
      </c>
      <c r="Z121" s="61">
        <f t="shared" si="134"/>
        <v>7.083333333333333</v>
      </c>
      <c r="AA121" s="61">
        <f t="shared" si="134"/>
        <v>7.083333333333333</v>
      </c>
      <c r="AB121" s="61">
        <f t="shared" si="134"/>
        <v>7.083333333333333</v>
      </c>
      <c r="AC121" s="61">
        <f t="shared" si="134"/>
        <v>7.083333333333333</v>
      </c>
      <c r="AD121" s="61">
        <f t="shared" si="134"/>
        <v>7.083333333333333</v>
      </c>
      <c r="AE121" s="61">
        <f t="shared" si="134"/>
        <v>7.083333333333333</v>
      </c>
      <c r="AF121" s="61">
        <f t="shared" si="134"/>
        <v>7.083333333333333</v>
      </c>
      <c r="AG121" s="61">
        <f t="shared" si="134"/>
        <v>7.083333333333333</v>
      </c>
      <c r="AH121" s="61">
        <f t="shared" si="134"/>
        <v>7.083333333333333</v>
      </c>
      <c r="AJ121" s="61" cm="1">
        <f t="array" aca="1" ref="AJ121" ca="1">SUMPRODUCT(($E121:$AH121)*(AJ$3&amp;AJ$4&amp;AJ$5&amp;AJ$6=$E$3:$AH$3&amp;$E$4:$AH$4&amp;$E$5:$AH$5&amp;$E$6:$AH$6))</f>
        <v>21.25</v>
      </c>
      <c r="AK121" s="61" cm="1">
        <f t="array" aca="1" ref="AK121" ca="1">SUMPRODUCT(($E121:$AH121)*(AK$3=$E$3:$AH$3)*(AK$4=$E$4:$AH$4)*(AK$5=$E$5:$AH$5)*(AK$6=$E$6:$AH$6))</f>
        <v>21.25</v>
      </c>
      <c r="AL121" s="61" cm="1">
        <f t="array" aca="1" ref="AL121" ca="1">SUMPRODUCT(($E121:$AH121)*(AL$3=$E$3:$AH$3)*(AL$4=$E$4:$AH$4)*(AL$5=$E$5:$AH$5)*(AL$6=$E$6:$AH$6))</f>
        <v>21.25</v>
      </c>
      <c r="AM121" s="17" cm="1">
        <f t="array" aca="1" ref="AM121" ca="1">SUMPRODUCT(($E121:$AH121)*(AM$3=$E$3:$AH$3)*(AM$4=$E$4:$AH$4)*(AM$5=$E$5:$AH$5)*(AM$6=$E$6:$AH$6))</f>
        <v>21.25</v>
      </c>
      <c r="AN121" s="61" cm="1">
        <f t="array" aca="1" ref="AN121" ca="1">SUMPRODUCT(($E121:$AH121)*(AN$3=$E$3:$AH$3)*(AN$4=$E$4:$AH$4)*(AN$5=$E$5:$AH$5)*(AN$6=$E$6:$AH$6))</f>
        <v>21.25</v>
      </c>
      <c r="AO121" s="61" cm="1">
        <f t="array" aca="1" ref="AO121" ca="1">SUMPRODUCT(($E121:$AH121)*(AO$3=$E$3:$AH$3)*(AO$4=$E$4:$AH$4)*(AO$5=$E$5:$AH$5)*(AO$6=$E$6:$AH$6))</f>
        <v>21.25</v>
      </c>
      <c r="AP121" s="61" cm="1">
        <f t="array" aca="1" ref="AP121" ca="1">SUMPRODUCT(($E121:$AH121)*(AP$3=$E$3:$AH$3)*(AP$4=$E$4:$AH$4)*(AP$5=$E$5:$AH$5)*(AP$6=$E$6:$AH$6))</f>
        <v>21.25</v>
      </c>
      <c r="AQ121" s="61" cm="1">
        <f t="array" aca="1" ref="AQ121" ca="1">SUMPRODUCT(($E121:$AH121)*(AQ$3=$E$3:$AH$3)*(AQ$4=$E$4:$AH$4)*(AQ$5=$E$5:$AH$5)*(AQ$6=$E$6:$AH$6))</f>
        <v>21.25</v>
      </c>
      <c r="AR121" s="61" cm="1">
        <f t="array" aca="1" ref="AR121" ca="1">SUMPRODUCT(($E121:$AH121)*(AR$3=$E$3:$AH$3)*(AR$4=$E$4:$AH$4)*(AR$5=$E$5:$AH$5)*(AR$6=$E$6:$AH$6))</f>
        <v>21.25</v>
      </c>
      <c r="AS121" s="61" cm="1">
        <f t="array" aca="1" ref="AS121" ca="1">SUMPRODUCT(($E121:$AH121)*(AS$3=$E$3:$AH$3)*(AS$4=$E$4:$AH$4)*(AS$5=$E$5:$AH$5)*(AS$6=$E$6:$AH$6))</f>
        <v>21.25</v>
      </c>
      <c r="AT121" s="61"/>
      <c r="AU121" s="61" cm="1">
        <f t="array" aca="1" ref="AU121" ca="1">SUMPRODUCT(($E121:$AH121)*(AU$5=$E$5:$AH$5))</f>
        <v>42.5</v>
      </c>
      <c r="AV121" s="61" cm="1">
        <f t="array" aca="1" ref="AV121" ca="1">SUMPRODUCT(($E121:$AH121)*(AV$5=$E$5:$AH$5))</f>
        <v>85</v>
      </c>
      <c r="AW121" s="61" cm="1">
        <f t="array" aca="1" ref="AW121" ca="1">SUMPRODUCT(($E121:$AH121)*(AW$5=$E$5:$AH$5))</f>
        <v>85</v>
      </c>
    </row>
    <row r="122" spans="2:49" ht="15.75" thickBot="1" x14ac:dyDescent="0.3">
      <c r="B122" t="s">
        <v>231</v>
      </c>
      <c r="C122" s="50" t="s">
        <v>96</v>
      </c>
      <c r="D122" s="50"/>
      <c r="E122" s="78">
        <f t="shared" ref="E122:V122" si="135">SUM(E119:E121)</f>
        <v>290.25</v>
      </c>
      <c r="F122" s="78">
        <f t="shared" si="135"/>
        <v>290.25</v>
      </c>
      <c r="G122" s="78">
        <f t="shared" si="135"/>
        <v>290.25</v>
      </c>
      <c r="H122" s="78">
        <f t="shared" si="135"/>
        <v>290.25</v>
      </c>
      <c r="I122" s="78">
        <f t="shared" si="135"/>
        <v>290.25</v>
      </c>
      <c r="J122" s="78">
        <f t="shared" si="135"/>
        <v>290.25</v>
      </c>
      <c r="K122" s="78">
        <f t="shared" si="135"/>
        <v>290.25</v>
      </c>
      <c r="L122" s="78">
        <f t="shared" si="135"/>
        <v>290.25</v>
      </c>
      <c r="M122" s="78">
        <f t="shared" si="135"/>
        <v>290.25</v>
      </c>
      <c r="N122" s="78">
        <f t="shared" si="135"/>
        <v>290.25</v>
      </c>
      <c r="O122" s="78">
        <f t="shared" si="135"/>
        <v>290.25</v>
      </c>
      <c r="P122" s="79">
        <f t="shared" si="135"/>
        <v>290.25</v>
      </c>
      <c r="Q122" s="78">
        <f t="shared" si="135"/>
        <v>297.01666666666665</v>
      </c>
      <c r="R122" s="78">
        <f t="shared" si="135"/>
        <v>304.4083333333333</v>
      </c>
      <c r="S122" s="78">
        <f t="shared" si="135"/>
        <v>319.97166666666664</v>
      </c>
      <c r="T122" s="78">
        <f t="shared" si="135"/>
        <v>317.94166666666666</v>
      </c>
      <c r="U122" s="78">
        <f t="shared" si="135"/>
        <v>317.94166666666666</v>
      </c>
      <c r="V122" s="78">
        <f t="shared" si="135"/>
        <v>317.94166666666666</v>
      </c>
      <c r="W122" s="78">
        <f t="shared" ref="W122:AW122" si="136">SUM(W119:W121)</f>
        <v>317.94166666666666</v>
      </c>
      <c r="X122" s="78">
        <f t="shared" si="136"/>
        <v>317.94166666666666</v>
      </c>
      <c r="Y122" s="78">
        <f t="shared" si="136"/>
        <v>333.22208333333339</v>
      </c>
      <c r="Z122" s="78">
        <f t="shared" si="136"/>
        <v>333.22208333333339</v>
      </c>
      <c r="AA122" s="78">
        <f t="shared" si="136"/>
        <v>333.22208333333339</v>
      </c>
      <c r="AB122" s="78">
        <f t="shared" si="136"/>
        <v>333.22208333333339</v>
      </c>
      <c r="AC122" s="78">
        <f t="shared" si="136"/>
        <v>333.22208333333339</v>
      </c>
      <c r="AD122" s="78">
        <f t="shared" si="136"/>
        <v>333.22208333333339</v>
      </c>
      <c r="AE122" s="78">
        <f t="shared" si="136"/>
        <v>333.22208333333339</v>
      </c>
      <c r="AF122" s="78">
        <f t="shared" si="136"/>
        <v>333.22208333333339</v>
      </c>
      <c r="AG122" s="78">
        <f t="shared" si="136"/>
        <v>333.22208333333339</v>
      </c>
      <c r="AH122" s="78">
        <f t="shared" si="136"/>
        <v>333.22208333333339</v>
      </c>
      <c r="AJ122" s="78">
        <f t="shared" ca="1" si="136"/>
        <v>870.75</v>
      </c>
      <c r="AK122" s="78">
        <f t="shared" ca="1" si="136"/>
        <v>870.75</v>
      </c>
      <c r="AL122" s="78">
        <f t="shared" ca="1" si="136"/>
        <v>870.75</v>
      </c>
      <c r="AM122" s="79">
        <f t="shared" ca="1" si="136"/>
        <v>870.75</v>
      </c>
      <c r="AN122" s="78">
        <f t="shared" ca="1" si="136"/>
        <v>921.39666666666665</v>
      </c>
      <c r="AO122" s="78">
        <f t="shared" ca="1" si="136"/>
        <v>953.82500000000005</v>
      </c>
      <c r="AP122" s="78">
        <f t="shared" ca="1" si="136"/>
        <v>969.10541666666677</v>
      </c>
      <c r="AQ122" s="78">
        <f t="shared" ca="1" si="136"/>
        <v>999.6662500000001</v>
      </c>
      <c r="AR122" s="78">
        <f t="shared" ca="1" si="136"/>
        <v>999.6662500000001</v>
      </c>
      <c r="AS122" s="78">
        <f t="shared" ca="1" si="136"/>
        <v>999.6662500000001</v>
      </c>
      <c r="AT122" s="78">
        <f t="shared" si="136"/>
        <v>0</v>
      </c>
      <c r="AU122" s="78">
        <f t="shared" ca="1" si="136"/>
        <v>1741.5000000000002</v>
      </c>
      <c r="AV122" s="78">
        <f t="shared" ca="1" si="136"/>
        <v>3616.7216666666673</v>
      </c>
      <c r="AW122" s="78">
        <f t="shared" ca="1" si="136"/>
        <v>3968.1041666666665</v>
      </c>
    </row>
    <row r="123" spans="2:49" ht="15.75" thickTop="1" x14ac:dyDescent="0.25">
      <c r="C123" s="25"/>
      <c r="D123" s="25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AM123" s="339"/>
    </row>
    <row r="124" spans="2:49" x14ac:dyDescent="0.25">
      <c r="C124" s="30" t="s">
        <v>104</v>
      </c>
      <c r="D124" s="30"/>
      <c r="E124" s="45" t="str">
        <f t="shared" ref="E124:K124" si="137">E$9</f>
        <v>Jul-20A</v>
      </c>
      <c r="F124" s="45" t="str">
        <f t="shared" si="137"/>
        <v>Aug-20A</v>
      </c>
      <c r="G124" s="45" t="str">
        <f t="shared" si="137"/>
        <v>Sep-20A</v>
      </c>
      <c r="H124" s="45" t="str">
        <f t="shared" si="137"/>
        <v>Oct-20A</v>
      </c>
      <c r="I124" s="45" t="str">
        <f t="shared" si="137"/>
        <v>Nov-20A</v>
      </c>
      <c r="J124" s="45" t="str">
        <f t="shared" si="137"/>
        <v>Dec-20A</v>
      </c>
      <c r="K124" s="45" t="str">
        <f t="shared" si="137"/>
        <v>Jan-21A</v>
      </c>
      <c r="L124" s="45" t="str">
        <f t="shared" ref="L124:AH124" si="138">L$9</f>
        <v>Feb-21A</v>
      </c>
      <c r="M124" s="45" t="str">
        <f t="shared" si="138"/>
        <v>Mar-21A</v>
      </c>
      <c r="N124" s="45" t="str">
        <f t="shared" si="138"/>
        <v>Apr-21A</v>
      </c>
      <c r="O124" s="45" t="str">
        <f t="shared" si="138"/>
        <v>May-21A</v>
      </c>
      <c r="P124" s="46" t="str">
        <f t="shared" si="138"/>
        <v>Jun-21A</v>
      </c>
      <c r="Q124" s="45" t="str">
        <f t="shared" si="138"/>
        <v>Jul-21F</v>
      </c>
      <c r="R124" s="45" t="str">
        <f t="shared" si="138"/>
        <v>Aug-21F</v>
      </c>
      <c r="S124" s="45" t="str">
        <f t="shared" si="138"/>
        <v>Sep-21F</v>
      </c>
      <c r="T124" s="45" t="str">
        <f t="shared" si="138"/>
        <v>Oct-21F</v>
      </c>
      <c r="U124" s="45" t="str">
        <f t="shared" si="138"/>
        <v>Nov-21F</v>
      </c>
      <c r="V124" s="45" t="str">
        <f t="shared" si="138"/>
        <v>Dec-21F</v>
      </c>
      <c r="W124" s="45" t="str">
        <f t="shared" si="138"/>
        <v>Jan-22F</v>
      </c>
      <c r="X124" s="45" t="str">
        <f t="shared" si="138"/>
        <v>Feb-22F</v>
      </c>
      <c r="Y124" s="45" t="str">
        <f t="shared" si="138"/>
        <v>Mar-22F</v>
      </c>
      <c r="Z124" s="45" t="str">
        <f t="shared" si="138"/>
        <v>Apr-22F</v>
      </c>
      <c r="AA124" s="45" t="str">
        <f t="shared" si="138"/>
        <v>May-22F</v>
      </c>
      <c r="AB124" s="45" t="str">
        <f t="shared" si="138"/>
        <v>Jun-22F</v>
      </c>
      <c r="AC124" s="45" t="str">
        <f t="shared" si="138"/>
        <v>Jul-22F</v>
      </c>
      <c r="AD124" s="45" t="str">
        <f t="shared" si="138"/>
        <v>Aug-22F</v>
      </c>
      <c r="AE124" s="45" t="str">
        <f t="shared" si="138"/>
        <v>Sep-22F</v>
      </c>
      <c r="AF124" s="45" t="str">
        <f t="shared" si="138"/>
        <v>Oct-22F</v>
      </c>
      <c r="AG124" s="45" t="str">
        <f t="shared" si="138"/>
        <v>Nov-22F</v>
      </c>
      <c r="AH124" s="45" t="str">
        <f t="shared" si="138"/>
        <v>Dec-22F</v>
      </c>
      <c r="AJ124" s="45" t="str">
        <f ca="1">AJ$10</f>
        <v>Q3'20A</v>
      </c>
      <c r="AK124" s="45" t="str">
        <f t="shared" ref="AK124:AW124" ca="1" si="139">AK$10</f>
        <v>Q4'20A</v>
      </c>
      <c r="AL124" s="45" t="str">
        <f t="shared" ca="1" si="139"/>
        <v>Q1'21A</v>
      </c>
      <c r="AM124" s="46" t="str">
        <f t="shared" ca="1" si="139"/>
        <v>Q2'21A</v>
      </c>
      <c r="AN124" s="45" t="str">
        <f t="shared" ca="1" si="139"/>
        <v>Q3'21F</v>
      </c>
      <c r="AO124" s="45" t="str">
        <f t="shared" ca="1" si="139"/>
        <v>Q4'21F</v>
      </c>
      <c r="AP124" s="45" t="str">
        <f t="shared" ca="1" si="139"/>
        <v>Q1'22F</v>
      </c>
      <c r="AQ124" s="45" t="str">
        <f t="shared" ca="1" si="139"/>
        <v>Q2'22F</v>
      </c>
      <c r="AR124" s="45" t="str">
        <f t="shared" ca="1" si="139"/>
        <v>Q3'22F</v>
      </c>
      <c r="AS124" s="45" t="str">
        <f t="shared" ca="1" si="139"/>
        <v>Q4'22F</v>
      </c>
      <c r="AU124" s="45" t="str">
        <f t="shared" ca="1" si="139"/>
        <v>FY20</v>
      </c>
      <c r="AV124" s="45" t="str">
        <f t="shared" ca="1" si="139"/>
        <v>FY21</v>
      </c>
      <c r="AW124" s="45" t="str">
        <f t="shared" ca="1" si="139"/>
        <v>FY22</v>
      </c>
    </row>
    <row r="125" spans="2:49" x14ac:dyDescent="0.25">
      <c r="C125" s="1" t="s">
        <v>107</v>
      </c>
      <c r="E125" s="77"/>
      <c r="F125" s="13">
        <f>E119*12</f>
        <v>3248</v>
      </c>
      <c r="G125" s="13">
        <f t="shared" ref="G125:AH125" si="140">F119*12</f>
        <v>3248</v>
      </c>
      <c r="H125" s="13">
        <f t="shared" si="140"/>
        <v>3248</v>
      </c>
      <c r="I125" s="13">
        <f t="shared" si="140"/>
        <v>3248</v>
      </c>
      <c r="J125" s="61">
        <f t="shared" si="140"/>
        <v>3248</v>
      </c>
      <c r="K125" s="13">
        <f t="shared" si="140"/>
        <v>3248</v>
      </c>
      <c r="L125" s="13">
        <f t="shared" si="140"/>
        <v>3248</v>
      </c>
      <c r="M125" s="13">
        <f t="shared" si="140"/>
        <v>3248</v>
      </c>
      <c r="N125" s="13">
        <f t="shared" si="140"/>
        <v>3248</v>
      </c>
      <c r="O125" s="13">
        <f t="shared" si="140"/>
        <v>3248</v>
      </c>
      <c r="P125" s="17">
        <f t="shared" si="140"/>
        <v>3248</v>
      </c>
      <c r="Q125" s="13">
        <f t="shared" si="140"/>
        <v>3248</v>
      </c>
      <c r="R125" s="13">
        <f t="shared" si="140"/>
        <v>3329.2</v>
      </c>
      <c r="S125" s="13">
        <f t="shared" si="140"/>
        <v>3410.3999999999996</v>
      </c>
      <c r="T125" s="13">
        <f t="shared" si="140"/>
        <v>3597.16</v>
      </c>
      <c r="U125" s="13">
        <f t="shared" si="140"/>
        <v>3572.8</v>
      </c>
      <c r="V125" s="13">
        <f t="shared" si="140"/>
        <v>3572.8</v>
      </c>
      <c r="W125" s="13">
        <f t="shared" si="140"/>
        <v>3572.8</v>
      </c>
      <c r="X125" s="13">
        <f t="shared" si="140"/>
        <v>3572.8</v>
      </c>
      <c r="Y125" s="13">
        <f t="shared" si="140"/>
        <v>3572.8</v>
      </c>
      <c r="Z125" s="13">
        <f t="shared" si="140"/>
        <v>3751.4400000000005</v>
      </c>
      <c r="AA125" s="13">
        <f t="shared" si="140"/>
        <v>3751.4400000000005</v>
      </c>
      <c r="AB125" s="13">
        <f t="shared" si="140"/>
        <v>3751.4400000000005</v>
      </c>
      <c r="AC125" s="13">
        <f t="shared" si="140"/>
        <v>3751.4400000000005</v>
      </c>
      <c r="AD125" s="13">
        <f t="shared" si="140"/>
        <v>3751.4400000000005</v>
      </c>
      <c r="AE125" s="13">
        <f t="shared" si="140"/>
        <v>3751.4400000000005</v>
      </c>
      <c r="AF125" s="13">
        <f t="shared" si="140"/>
        <v>3751.4400000000005</v>
      </c>
      <c r="AG125" s="13">
        <f t="shared" si="140"/>
        <v>3751.4400000000005</v>
      </c>
      <c r="AH125" s="13">
        <f t="shared" si="140"/>
        <v>3751.4400000000005</v>
      </c>
      <c r="AM125" s="338"/>
    </row>
    <row r="126" spans="2:49" x14ac:dyDescent="0.25">
      <c r="C126" s="23" t="s">
        <v>109</v>
      </c>
      <c r="D126" s="27"/>
      <c r="E126" s="267"/>
      <c r="F126" s="47">
        <f t="shared" ref="F126:P126" si="141">F127/F125</f>
        <v>0</v>
      </c>
      <c r="G126" s="47">
        <f t="shared" si="141"/>
        <v>0</v>
      </c>
      <c r="H126" s="47">
        <f t="shared" si="141"/>
        <v>0</v>
      </c>
      <c r="I126" s="47">
        <f t="shared" si="141"/>
        <v>0</v>
      </c>
      <c r="J126" s="47">
        <f t="shared" si="141"/>
        <v>0</v>
      </c>
      <c r="K126" s="47">
        <f t="shared" si="141"/>
        <v>0</v>
      </c>
      <c r="L126" s="47">
        <f t="shared" si="141"/>
        <v>0</v>
      </c>
      <c r="M126" s="47">
        <v>0.1225</v>
      </c>
      <c r="N126" s="47">
        <f t="shared" si="141"/>
        <v>0</v>
      </c>
      <c r="O126" s="47">
        <f t="shared" si="141"/>
        <v>0</v>
      </c>
      <c r="P126" s="92">
        <f t="shared" si="141"/>
        <v>0</v>
      </c>
      <c r="Q126" s="93">
        <v>0</v>
      </c>
      <c r="R126" s="93">
        <v>0</v>
      </c>
      <c r="S126" s="93">
        <v>0</v>
      </c>
      <c r="T126" s="93">
        <v>0</v>
      </c>
      <c r="U126" s="93">
        <v>0</v>
      </c>
      <c r="V126" s="93">
        <v>0</v>
      </c>
      <c r="W126" s="93">
        <v>0</v>
      </c>
      <c r="X126" s="93">
        <v>0</v>
      </c>
      <c r="Y126" s="93">
        <v>0.105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J126" s="27"/>
      <c r="AK126" s="27"/>
      <c r="AL126" s="27"/>
      <c r="AM126" s="28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2:49" x14ac:dyDescent="0.25">
      <c r="B127" t="s">
        <v>231</v>
      </c>
      <c r="C127" t="s">
        <v>105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7">
        <v>0</v>
      </c>
      <c r="K127" s="31">
        <v>0</v>
      </c>
      <c r="L127" s="31">
        <v>0</v>
      </c>
      <c r="M127" s="31">
        <f>L119*12*0.12</f>
        <v>389.76</v>
      </c>
      <c r="N127" s="31">
        <v>0</v>
      </c>
      <c r="O127" s="31">
        <v>0</v>
      </c>
      <c r="P127" s="32">
        <v>0</v>
      </c>
      <c r="Q127" s="13">
        <f t="shared" ref="Q127:AH127" si="142">Q125*Q126</f>
        <v>0</v>
      </c>
      <c r="R127" s="13">
        <f t="shared" si="142"/>
        <v>0</v>
      </c>
      <c r="S127" s="13">
        <f t="shared" si="142"/>
        <v>0</v>
      </c>
      <c r="T127" s="13">
        <f t="shared" si="142"/>
        <v>0</v>
      </c>
      <c r="U127" s="13">
        <f t="shared" si="142"/>
        <v>0</v>
      </c>
      <c r="V127" s="13">
        <f t="shared" si="142"/>
        <v>0</v>
      </c>
      <c r="W127" s="13">
        <f t="shared" si="142"/>
        <v>0</v>
      </c>
      <c r="X127" s="13">
        <f t="shared" si="142"/>
        <v>0</v>
      </c>
      <c r="Y127" s="13">
        <f t="shared" si="142"/>
        <v>375.14400000000001</v>
      </c>
      <c r="Z127" s="13">
        <f t="shared" si="142"/>
        <v>0</v>
      </c>
      <c r="AA127" s="13">
        <f t="shared" si="142"/>
        <v>0</v>
      </c>
      <c r="AB127" s="13">
        <f t="shared" si="142"/>
        <v>0</v>
      </c>
      <c r="AC127" s="13">
        <f t="shared" si="142"/>
        <v>0</v>
      </c>
      <c r="AD127" s="13">
        <f t="shared" si="142"/>
        <v>0</v>
      </c>
      <c r="AE127" s="13">
        <f t="shared" si="142"/>
        <v>0</v>
      </c>
      <c r="AF127" s="13">
        <f t="shared" si="142"/>
        <v>0</v>
      </c>
      <c r="AG127" s="13">
        <f t="shared" si="142"/>
        <v>0</v>
      </c>
      <c r="AH127" s="13">
        <f t="shared" si="142"/>
        <v>0</v>
      </c>
      <c r="AJ127" s="13" cm="1">
        <f t="array" aca="1" ref="AJ127" ca="1">SUMPRODUCT(($E127:$AH127)*(AJ$3&amp;AJ$4&amp;AJ$5&amp;AJ$6=$E$3:$AH$3&amp;$E$4:$AH$4&amp;$E$5:$AH$5&amp;$E$6:$AH$6))</f>
        <v>0</v>
      </c>
      <c r="AK127" s="13" cm="1">
        <f t="array" aca="1" ref="AK127" ca="1">SUMPRODUCT(($E127:$AH127)*(AK$3=$E$3:$AH$3)*(AK$4=$E$4:$AH$4)*(AK$5=$E$5:$AH$5)*(AK$6=$E$6:$AH$6))</f>
        <v>0</v>
      </c>
      <c r="AL127" s="13" cm="1">
        <f t="array" aca="1" ref="AL127" ca="1">SUMPRODUCT(($E127:$AH127)*(AL$3=$E$3:$AH$3)*(AL$4=$E$4:$AH$4)*(AL$5=$E$5:$AH$5)*(AL$6=$E$6:$AH$6))</f>
        <v>389.76</v>
      </c>
      <c r="AM127" s="17" cm="1">
        <f t="array" aca="1" ref="AM127" ca="1">SUMPRODUCT(($E127:$AH127)*(AM$3=$E$3:$AH$3)*(AM$4=$E$4:$AH$4)*(AM$5=$E$5:$AH$5)*(AM$6=$E$6:$AH$6))</f>
        <v>0</v>
      </c>
      <c r="AN127" s="13" cm="1">
        <f t="array" aca="1" ref="AN127" ca="1">SUMPRODUCT(($E127:$AH127)*(AN$3=$E$3:$AH$3)*(AN$4=$E$4:$AH$4)*(AN$5=$E$5:$AH$5)*(AN$6=$E$6:$AH$6))</f>
        <v>0</v>
      </c>
      <c r="AO127" s="13" cm="1">
        <f t="array" aca="1" ref="AO127" ca="1">SUMPRODUCT(($E127:$AH127)*(AO$3=$E$3:$AH$3)*(AO$4=$E$4:$AH$4)*(AO$5=$E$5:$AH$5)*(AO$6=$E$6:$AH$6))</f>
        <v>0</v>
      </c>
      <c r="AP127" s="13" cm="1">
        <f t="array" aca="1" ref="AP127" ca="1">SUMPRODUCT(($E127:$AH127)*(AP$3=$E$3:$AH$3)*(AP$4=$E$4:$AH$4)*(AP$5=$E$5:$AH$5)*(AP$6=$E$6:$AH$6))</f>
        <v>375.14400000000001</v>
      </c>
      <c r="AQ127" s="13" cm="1">
        <f t="array" aca="1" ref="AQ127" ca="1">SUMPRODUCT(($E127:$AH127)*(AQ$3=$E$3:$AH$3)*(AQ$4=$E$4:$AH$4)*(AQ$5=$E$5:$AH$5)*(AQ$6=$E$6:$AH$6))</f>
        <v>0</v>
      </c>
      <c r="AR127" s="13" cm="1">
        <f t="array" aca="1" ref="AR127" ca="1">SUMPRODUCT(($E127:$AH127)*(AR$3=$E$3:$AH$3)*(AR$4=$E$4:$AH$4)*(AR$5=$E$5:$AH$5)*(AR$6=$E$6:$AH$6))</f>
        <v>0</v>
      </c>
      <c r="AS127" s="13" cm="1">
        <f t="array" aca="1" ref="AS127" ca="1">SUMPRODUCT(($E127:$AH127)*(AS$3=$E$3:$AH$3)*(AS$4=$E$4:$AH$4)*(AS$5=$E$5:$AH$5)*(AS$6=$E$6:$AH$6))</f>
        <v>0</v>
      </c>
      <c r="AT127" s="13"/>
      <c r="AU127" s="13" cm="1">
        <f t="array" aca="1" ref="AU127" ca="1">SUMPRODUCT(($E127:$AH127)*(AU$5=$E$5:$AH$5))</f>
        <v>0</v>
      </c>
      <c r="AV127" s="13" cm="1">
        <f t="array" aca="1" ref="AV127" ca="1">SUMPRODUCT(($E127:$AH127)*(AV$5=$E$5:$AH$5))</f>
        <v>389.76</v>
      </c>
      <c r="AW127" s="13" cm="1">
        <f t="array" aca="1" ref="AW127" ca="1">SUMPRODUCT(($E127:$AH127)*(AW$5=$E$5:$AH$5))</f>
        <v>375.14400000000001</v>
      </c>
    </row>
    <row r="128" spans="2:49" x14ac:dyDescent="0.25">
      <c r="P128" s="8"/>
      <c r="AM128" s="8"/>
    </row>
    <row r="129" spans="2:64" x14ac:dyDescent="0.25">
      <c r="C129" s="30" t="s">
        <v>30</v>
      </c>
      <c r="D129" s="30"/>
      <c r="E129" s="45" t="str">
        <f t="shared" ref="E129:K129" si="143">E$9</f>
        <v>Jul-20A</v>
      </c>
      <c r="F129" s="45" t="str">
        <f t="shared" si="143"/>
        <v>Aug-20A</v>
      </c>
      <c r="G129" s="45" t="str">
        <f t="shared" si="143"/>
        <v>Sep-20A</v>
      </c>
      <c r="H129" s="45" t="str">
        <f t="shared" si="143"/>
        <v>Oct-20A</v>
      </c>
      <c r="I129" s="45" t="str">
        <f t="shared" si="143"/>
        <v>Nov-20A</v>
      </c>
      <c r="J129" s="45" t="str">
        <f t="shared" si="143"/>
        <v>Dec-20A</v>
      </c>
      <c r="K129" s="45" t="str">
        <f t="shared" si="143"/>
        <v>Jan-21A</v>
      </c>
      <c r="L129" s="45" t="str">
        <f t="shared" ref="L129:AH129" si="144">L$9</f>
        <v>Feb-21A</v>
      </c>
      <c r="M129" s="45" t="str">
        <f t="shared" si="144"/>
        <v>Mar-21A</v>
      </c>
      <c r="N129" s="45" t="str">
        <f t="shared" si="144"/>
        <v>Apr-21A</v>
      </c>
      <c r="O129" s="45" t="str">
        <f t="shared" si="144"/>
        <v>May-21A</v>
      </c>
      <c r="P129" s="46" t="str">
        <f t="shared" si="144"/>
        <v>Jun-21A</v>
      </c>
      <c r="Q129" s="45" t="str">
        <f t="shared" si="144"/>
        <v>Jul-21F</v>
      </c>
      <c r="R129" s="45" t="str">
        <f t="shared" si="144"/>
        <v>Aug-21F</v>
      </c>
      <c r="S129" s="45" t="str">
        <f t="shared" si="144"/>
        <v>Sep-21F</v>
      </c>
      <c r="T129" s="45" t="str">
        <f t="shared" si="144"/>
        <v>Oct-21F</v>
      </c>
      <c r="U129" s="45" t="str">
        <f t="shared" si="144"/>
        <v>Nov-21F</v>
      </c>
      <c r="V129" s="45" t="str">
        <f t="shared" si="144"/>
        <v>Dec-21F</v>
      </c>
      <c r="W129" s="45" t="str">
        <f t="shared" si="144"/>
        <v>Jan-22F</v>
      </c>
      <c r="X129" s="45" t="str">
        <f t="shared" si="144"/>
        <v>Feb-22F</v>
      </c>
      <c r="Y129" s="45" t="str">
        <f t="shared" si="144"/>
        <v>Mar-22F</v>
      </c>
      <c r="Z129" s="45" t="str">
        <f t="shared" si="144"/>
        <v>Apr-22F</v>
      </c>
      <c r="AA129" s="45" t="str">
        <f t="shared" si="144"/>
        <v>May-22F</v>
      </c>
      <c r="AB129" s="45" t="str">
        <f t="shared" si="144"/>
        <v>Jun-22F</v>
      </c>
      <c r="AC129" s="45" t="str">
        <f t="shared" si="144"/>
        <v>Jul-22F</v>
      </c>
      <c r="AD129" s="45" t="str">
        <f t="shared" si="144"/>
        <v>Aug-22F</v>
      </c>
      <c r="AE129" s="45" t="str">
        <f t="shared" si="144"/>
        <v>Sep-22F</v>
      </c>
      <c r="AF129" s="45" t="str">
        <f t="shared" si="144"/>
        <v>Oct-22F</v>
      </c>
      <c r="AG129" s="45" t="str">
        <f t="shared" si="144"/>
        <v>Nov-22F</v>
      </c>
      <c r="AH129" s="45" t="str">
        <f t="shared" si="144"/>
        <v>Dec-22F</v>
      </c>
      <c r="AJ129" s="45" t="str">
        <f ca="1">AJ$10</f>
        <v>Q3'20A</v>
      </c>
      <c r="AK129" s="45" t="str">
        <f t="shared" ref="AK129:AW129" ca="1" si="145">AK$10</f>
        <v>Q4'20A</v>
      </c>
      <c r="AL129" s="45" t="str">
        <f t="shared" ca="1" si="145"/>
        <v>Q1'21A</v>
      </c>
      <c r="AM129" s="46" t="str">
        <f t="shared" ca="1" si="145"/>
        <v>Q2'21A</v>
      </c>
      <c r="AN129" s="45" t="str">
        <f t="shared" ca="1" si="145"/>
        <v>Q3'21F</v>
      </c>
      <c r="AO129" s="45" t="str">
        <f t="shared" ca="1" si="145"/>
        <v>Q4'21F</v>
      </c>
      <c r="AP129" s="45" t="str">
        <f t="shared" ca="1" si="145"/>
        <v>Q1'22F</v>
      </c>
      <c r="AQ129" s="45" t="str">
        <f t="shared" ca="1" si="145"/>
        <v>Q2'22F</v>
      </c>
      <c r="AR129" s="45" t="str">
        <f t="shared" ca="1" si="145"/>
        <v>Q3'22F</v>
      </c>
      <c r="AS129" s="45" t="str">
        <f t="shared" ca="1" si="145"/>
        <v>Q4'22F</v>
      </c>
      <c r="AU129" s="45" t="str">
        <f t="shared" ca="1" si="145"/>
        <v>FY20</v>
      </c>
      <c r="AV129" s="45" t="str">
        <f t="shared" ca="1" si="145"/>
        <v>FY21</v>
      </c>
      <c r="AW129" s="45" t="str">
        <f t="shared" ca="1" si="145"/>
        <v>FY22</v>
      </c>
    </row>
    <row r="130" spans="2:64" x14ac:dyDescent="0.25">
      <c r="C130" s="1" t="s">
        <v>108</v>
      </c>
      <c r="E130" s="80">
        <f>Headcount!E12</f>
        <v>22400</v>
      </c>
      <c r="F130" s="80">
        <f>Headcount!F12</f>
        <v>22400</v>
      </c>
      <c r="G130" s="80">
        <f>Headcount!G12</f>
        <v>22400</v>
      </c>
      <c r="H130" s="80">
        <f>Headcount!H12</f>
        <v>22400</v>
      </c>
      <c r="I130" s="80">
        <f>Headcount!I12</f>
        <v>22400</v>
      </c>
      <c r="J130" s="81">
        <f>Headcount!J12</f>
        <v>22400</v>
      </c>
      <c r="K130" s="80">
        <f>Headcount!K12</f>
        <v>22400</v>
      </c>
      <c r="L130" s="80">
        <f>Headcount!L12</f>
        <v>22400</v>
      </c>
      <c r="M130" s="80">
        <f>Headcount!M12</f>
        <v>22400</v>
      </c>
      <c r="N130" s="80">
        <f>Headcount!N12</f>
        <v>22400</v>
      </c>
      <c r="O130" s="80">
        <f>Headcount!O12</f>
        <v>22400</v>
      </c>
      <c r="P130" s="82">
        <f>Headcount!P12</f>
        <v>22400</v>
      </c>
      <c r="Q130" s="80">
        <f>Headcount!Q12</f>
        <v>22959.999999999996</v>
      </c>
      <c r="R130" s="80">
        <f>Headcount!R12</f>
        <v>23520</v>
      </c>
      <c r="S130" s="80">
        <f>Headcount!S12</f>
        <v>24808</v>
      </c>
      <c r="T130" s="80">
        <f>Headcount!T12</f>
        <v>24640.000000000004</v>
      </c>
      <c r="U130" s="80">
        <f>Headcount!U12</f>
        <v>24640.000000000004</v>
      </c>
      <c r="V130" s="80">
        <f>Headcount!V12</f>
        <v>24640.000000000004</v>
      </c>
      <c r="W130" s="80">
        <f>Headcount!W12</f>
        <v>24640.000000000004</v>
      </c>
      <c r="X130" s="80">
        <f>Headcount!X12</f>
        <v>24640.000000000004</v>
      </c>
      <c r="Y130" s="80">
        <f>Headcount!Y12</f>
        <v>24640.000000000004</v>
      </c>
      <c r="Z130" s="80">
        <f>Headcount!Z12</f>
        <v>24640.000000000004</v>
      </c>
      <c r="AA130" s="80">
        <f>Headcount!AA12</f>
        <v>24640.000000000004</v>
      </c>
      <c r="AB130" s="80">
        <f>Headcount!AB12</f>
        <v>24640.000000000004</v>
      </c>
      <c r="AC130" s="80">
        <f>Headcount!AC12</f>
        <v>24640.000000000004</v>
      </c>
      <c r="AD130" s="80">
        <f>Headcount!AD12</f>
        <v>24640.000000000004</v>
      </c>
      <c r="AE130" s="80">
        <f>Headcount!AE12</f>
        <v>24640.000000000004</v>
      </c>
      <c r="AF130" s="80">
        <f>Headcount!AF12</f>
        <v>24640.000000000004</v>
      </c>
      <c r="AG130" s="80">
        <f>Headcount!AG12</f>
        <v>24640.000000000004</v>
      </c>
      <c r="AH130" s="80">
        <f>Headcount!AH12</f>
        <v>24640.000000000004</v>
      </c>
      <c r="AM130" s="8"/>
    </row>
    <row r="131" spans="2:64" x14ac:dyDescent="0.25">
      <c r="C131" s="23" t="s">
        <v>106</v>
      </c>
      <c r="D131" s="27"/>
      <c r="E131" s="24">
        <v>1252.714550462053</v>
      </c>
      <c r="F131" s="24">
        <v>1245.7390696568082</v>
      </c>
      <c r="G131" s="24">
        <v>1272.2140273377547</v>
      </c>
      <c r="H131" s="24">
        <v>1255.5115744812472</v>
      </c>
      <c r="I131" s="24">
        <v>1251.0004431349971</v>
      </c>
      <c r="J131" s="24">
        <v>1270.2159858486987</v>
      </c>
      <c r="K131" s="24">
        <v>1263.2719487786037</v>
      </c>
      <c r="L131" s="24">
        <v>1272.7412792252344</v>
      </c>
      <c r="M131" s="24">
        <v>1245.8142650554037</v>
      </c>
      <c r="N131" s="24">
        <v>1256.6388427176919</v>
      </c>
      <c r="O131" s="24">
        <v>1267.1138041220811</v>
      </c>
      <c r="P131" s="64">
        <v>1248.078022156554</v>
      </c>
      <c r="Q131" s="38">
        <f>AVERAGE(K131:P131)</f>
        <v>1258.9430270092614</v>
      </c>
      <c r="R131" s="38">
        <f t="shared" ref="R131:AH131" si="146">AVERAGE(L131:Q131)</f>
        <v>1258.2215400477044</v>
      </c>
      <c r="S131" s="38">
        <f t="shared" si="146"/>
        <v>1255.8015835181161</v>
      </c>
      <c r="T131" s="38">
        <f t="shared" si="146"/>
        <v>1257.4661365952347</v>
      </c>
      <c r="U131" s="38">
        <f t="shared" si="146"/>
        <v>1257.6040189081587</v>
      </c>
      <c r="V131" s="38">
        <f t="shared" si="146"/>
        <v>1256.019054705838</v>
      </c>
      <c r="W131" s="38">
        <f t="shared" si="146"/>
        <v>1257.342560130719</v>
      </c>
      <c r="X131" s="38">
        <f t="shared" si="146"/>
        <v>1257.0758156509617</v>
      </c>
      <c r="Y131" s="38">
        <f t="shared" si="146"/>
        <v>1256.8848615848381</v>
      </c>
      <c r="Z131" s="38">
        <f t="shared" si="146"/>
        <v>1257.0654079292917</v>
      </c>
      <c r="AA131" s="38">
        <f t="shared" si="146"/>
        <v>1256.9986198183012</v>
      </c>
      <c r="AB131" s="38">
        <f t="shared" si="146"/>
        <v>1256.8977199699918</v>
      </c>
      <c r="AC131" s="38">
        <f t="shared" si="146"/>
        <v>1257.044164180684</v>
      </c>
      <c r="AD131" s="38">
        <f t="shared" si="146"/>
        <v>1256.9944315223447</v>
      </c>
      <c r="AE131" s="38">
        <f t="shared" si="146"/>
        <v>1256.9808675009087</v>
      </c>
      <c r="AF131" s="38">
        <f t="shared" si="146"/>
        <v>1256.9968684869204</v>
      </c>
      <c r="AG131" s="38">
        <f t="shared" si="146"/>
        <v>1256.9854452465252</v>
      </c>
      <c r="AH131" s="38">
        <f t="shared" si="146"/>
        <v>1256.9832494845625</v>
      </c>
      <c r="AJ131" s="27"/>
      <c r="AK131" s="27"/>
      <c r="AL131" s="27"/>
      <c r="AM131" s="28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2:64" x14ac:dyDescent="0.25">
      <c r="B132" t="s">
        <v>231</v>
      </c>
      <c r="C132" t="s">
        <v>30</v>
      </c>
      <c r="E132" s="31">
        <f>E131*E130/1000000</f>
        <v>28.060805930349986</v>
      </c>
      <c r="F132" s="31">
        <f t="shared" ref="F132:P132" si="147">F131*F130/1000000</f>
        <v>27.904555160312505</v>
      </c>
      <c r="G132" s="31">
        <f t="shared" si="147"/>
        <v>28.497594212365705</v>
      </c>
      <c r="H132" s="31">
        <f t="shared" si="147"/>
        <v>28.123459268379939</v>
      </c>
      <c r="I132" s="31">
        <f t="shared" si="147"/>
        <v>28.022409926223933</v>
      </c>
      <c r="J132" s="37">
        <f t="shared" si="147"/>
        <v>28.45283808301085</v>
      </c>
      <c r="K132" s="31">
        <f t="shared" si="147"/>
        <v>28.297291652640723</v>
      </c>
      <c r="L132" s="31">
        <f t="shared" si="147"/>
        <v>28.509404654645248</v>
      </c>
      <c r="M132" s="31">
        <f t="shared" si="147"/>
        <v>27.906239537241042</v>
      </c>
      <c r="N132" s="31">
        <f t="shared" si="147"/>
        <v>28.148710076876299</v>
      </c>
      <c r="O132" s="31">
        <f t="shared" si="147"/>
        <v>28.383349212334618</v>
      </c>
      <c r="P132" s="32">
        <f t="shared" si="147"/>
        <v>27.956947696306809</v>
      </c>
      <c r="Q132" s="13">
        <f>Q131*Q130/1000000</f>
        <v>28.905331900132637</v>
      </c>
      <c r="R132" s="13">
        <f t="shared" ref="R132:AH132" si="148">R131*R130/1000000</f>
        <v>29.593370621922006</v>
      </c>
      <c r="S132" s="13">
        <f t="shared" si="148"/>
        <v>31.153925683917425</v>
      </c>
      <c r="T132" s="13">
        <f t="shared" si="148"/>
        <v>30.983965605706587</v>
      </c>
      <c r="U132" s="13">
        <f t="shared" si="148"/>
        <v>30.987363025897032</v>
      </c>
      <c r="V132" s="13">
        <f t="shared" si="148"/>
        <v>30.948309507951851</v>
      </c>
      <c r="W132" s="13">
        <f t="shared" si="148"/>
        <v>30.980920681620923</v>
      </c>
      <c r="X132" s="13">
        <f t="shared" si="148"/>
        <v>30.974348097639698</v>
      </c>
      <c r="Y132" s="13">
        <f t="shared" si="148"/>
        <v>30.969642989450413</v>
      </c>
      <c r="Z132" s="13">
        <f t="shared" si="148"/>
        <v>30.974091651377751</v>
      </c>
      <c r="AA132" s="13">
        <f t="shared" si="148"/>
        <v>30.97244599232295</v>
      </c>
      <c r="AB132" s="13">
        <f t="shared" si="148"/>
        <v>30.969959820060602</v>
      </c>
      <c r="AC132" s="13">
        <f t="shared" si="148"/>
        <v>30.973568205412057</v>
      </c>
      <c r="AD132" s="13">
        <f t="shared" si="148"/>
        <v>30.972342792710581</v>
      </c>
      <c r="AE132" s="13">
        <f t="shared" si="148"/>
        <v>30.972008575222397</v>
      </c>
      <c r="AF132" s="13">
        <f t="shared" si="148"/>
        <v>30.972402839517724</v>
      </c>
      <c r="AG132" s="13">
        <f t="shared" si="148"/>
        <v>30.972121370874387</v>
      </c>
      <c r="AH132" s="13">
        <f t="shared" si="148"/>
        <v>30.972067267299625</v>
      </c>
      <c r="AJ132" s="13" cm="1">
        <f t="array" aca="1" ref="AJ132" ca="1">SUMPRODUCT(($E132:$AH132)*(AJ$3&amp;AJ$4&amp;AJ$5&amp;AJ$6=$E$3:$AH$3&amp;$E$4:$AH$4&amp;$E$5:$AH$5&amp;$E$6:$AH$6))</f>
        <v>84.462955303028195</v>
      </c>
      <c r="AK132" s="13" cm="1">
        <f t="array" aca="1" ref="AK132" ca="1">SUMPRODUCT(($E132:$AH132)*(AK$3=$E$3:$AH$3)*(AK$4=$E$4:$AH$4)*(AK$5=$E$5:$AH$5)*(AK$6=$E$6:$AH$6))</f>
        <v>84.598707277614722</v>
      </c>
      <c r="AL132" s="13" cm="1">
        <f t="array" aca="1" ref="AL132" ca="1">SUMPRODUCT(($E132:$AH132)*(AL$3=$E$3:$AH$3)*(AL$4=$E$4:$AH$4)*(AL$5=$E$5:$AH$5)*(AL$6=$E$6:$AH$6))</f>
        <v>84.71293584452701</v>
      </c>
      <c r="AM132" s="17" cm="1">
        <f t="array" aca="1" ref="AM132" ca="1">SUMPRODUCT(($E132:$AH132)*(AM$3=$E$3:$AH$3)*(AM$4=$E$4:$AH$4)*(AM$5=$E$5:$AH$5)*(AM$6=$E$6:$AH$6))</f>
        <v>84.489006985517733</v>
      </c>
      <c r="AN132" s="13" cm="1">
        <f t="array" aca="1" ref="AN132" ca="1">SUMPRODUCT(($E132:$AH132)*(AN$3=$E$3:$AH$3)*(AN$4=$E$4:$AH$4)*(AN$5=$E$5:$AH$5)*(AN$6=$E$6:$AH$6))</f>
        <v>89.652628205972064</v>
      </c>
      <c r="AO132" s="13" cm="1">
        <f t="array" aca="1" ref="AO132" ca="1">SUMPRODUCT(($E132:$AH132)*(AO$3=$E$3:$AH$3)*(AO$4=$E$4:$AH$4)*(AO$5=$E$5:$AH$5)*(AO$6=$E$6:$AH$6))</f>
        <v>92.919638139555474</v>
      </c>
      <c r="AP132" s="13" cm="1">
        <f t="array" aca="1" ref="AP132" ca="1">SUMPRODUCT(($E132:$AH132)*(AP$3=$E$3:$AH$3)*(AP$4=$E$4:$AH$4)*(AP$5=$E$5:$AH$5)*(AP$6=$E$6:$AH$6))</f>
        <v>92.924911768711041</v>
      </c>
      <c r="AQ132" s="13" cm="1">
        <f t="array" aca="1" ref="AQ132" ca="1">SUMPRODUCT(($E132:$AH132)*(AQ$3=$E$3:$AH$3)*(AQ$4=$E$4:$AH$4)*(AQ$5=$E$5:$AH$5)*(AQ$6=$E$6:$AH$6))</f>
        <v>92.916497463761303</v>
      </c>
      <c r="AR132" s="13" cm="1">
        <f t="array" aca="1" ref="AR132" ca="1">SUMPRODUCT(($E132:$AH132)*(AR$3=$E$3:$AH$3)*(AR$4=$E$4:$AH$4)*(AR$5=$E$5:$AH$5)*(AR$6=$E$6:$AH$6))</f>
        <v>92.917919573345046</v>
      </c>
      <c r="AS132" s="13" cm="1">
        <f t="array" aca="1" ref="AS132" ca="1">SUMPRODUCT(($E132:$AH132)*(AS$3=$E$3:$AH$3)*(AS$4=$E$4:$AH$4)*(AS$5=$E$5:$AH$5)*(AS$6=$E$6:$AH$6))</f>
        <v>92.916591477691739</v>
      </c>
      <c r="AT132" s="13"/>
      <c r="AU132" s="13" cm="1">
        <f t="array" aca="1" ref="AU132" ca="1">SUMPRODUCT(($E132:$AH132)*(AU$5=$E$5:$AH$5))</f>
        <v>169.06166258064292</v>
      </c>
      <c r="AV132" s="13" cm="1">
        <f t="array" aca="1" ref="AV132" ca="1">SUMPRODUCT(($E132:$AH132)*(AV$5=$E$5:$AH$5))</f>
        <v>351.77420917557225</v>
      </c>
      <c r="AW132" s="13" cm="1">
        <f t="array" aca="1" ref="AW132" ca="1">SUMPRODUCT(($E132:$AH132)*(AW$5=$E$5:$AH$5))</f>
        <v>371.67592028350913</v>
      </c>
    </row>
    <row r="133" spans="2:64" x14ac:dyDescent="0.25">
      <c r="P133" s="8"/>
      <c r="AM133" s="8"/>
    </row>
    <row r="134" spans="2:64" x14ac:dyDescent="0.25">
      <c r="C134" s="30" t="s">
        <v>110</v>
      </c>
      <c r="D134" s="30"/>
      <c r="E134" s="45" t="str">
        <f t="shared" ref="E134:AH134" si="149">E$9</f>
        <v>Jul-20A</v>
      </c>
      <c r="F134" s="45" t="str">
        <f t="shared" si="149"/>
        <v>Aug-20A</v>
      </c>
      <c r="G134" s="45" t="str">
        <f t="shared" si="149"/>
        <v>Sep-20A</v>
      </c>
      <c r="H134" s="45" t="str">
        <f t="shared" si="149"/>
        <v>Oct-20A</v>
      </c>
      <c r="I134" s="45" t="str">
        <f t="shared" si="149"/>
        <v>Nov-20A</v>
      </c>
      <c r="J134" s="45" t="str">
        <f t="shared" si="149"/>
        <v>Dec-20A</v>
      </c>
      <c r="K134" s="45" t="str">
        <f t="shared" si="149"/>
        <v>Jan-21A</v>
      </c>
      <c r="L134" s="45" t="str">
        <f t="shared" si="149"/>
        <v>Feb-21A</v>
      </c>
      <c r="M134" s="45" t="str">
        <f t="shared" si="149"/>
        <v>Mar-21A</v>
      </c>
      <c r="N134" s="45" t="str">
        <f t="shared" si="149"/>
        <v>Apr-21A</v>
      </c>
      <c r="O134" s="45" t="str">
        <f t="shared" si="149"/>
        <v>May-21A</v>
      </c>
      <c r="P134" s="46" t="str">
        <f t="shared" si="149"/>
        <v>Jun-21A</v>
      </c>
      <c r="Q134" s="45" t="str">
        <f t="shared" si="149"/>
        <v>Jul-21F</v>
      </c>
      <c r="R134" s="45" t="str">
        <f t="shared" si="149"/>
        <v>Aug-21F</v>
      </c>
      <c r="S134" s="45" t="str">
        <f t="shared" si="149"/>
        <v>Sep-21F</v>
      </c>
      <c r="T134" s="45" t="str">
        <f t="shared" si="149"/>
        <v>Oct-21F</v>
      </c>
      <c r="U134" s="45" t="str">
        <f t="shared" si="149"/>
        <v>Nov-21F</v>
      </c>
      <c r="V134" s="45" t="str">
        <f t="shared" si="149"/>
        <v>Dec-21F</v>
      </c>
      <c r="W134" s="45" t="str">
        <f t="shared" si="149"/>
        <v>Jan-22F</v>
      </c>
      <c r="X134" s="45" t="str">
        <f t="shared" si="149"/>
        <v>Feb-22F</v>
      </c>
      <c r="Y134" s="45" t="str">
        <f t="shared" si="149"/>
        <v>Mar-22F</v>
      </c>
      <c r="Z134" s="45" t="str">
        <f t="shared" si="149"/>
        <v>Apr-22F</v>
      </c>
      <c r="AA134" s="45" t="str">
        <f t="shared" si="149"/>
        <v>May-22F</v>
      </c>
      <c r="AB134" s="45" t="str">
        <f t="shared" si="149"/>
        <v>Jun-22F</v>
      </c>
      <c r="AC134" s="45" t="str">
        <f t="shared" si="149"/>
        <v>Jul-22F</v>
      </c>
      <c r="AD134" s="45" t="str">
        <f t="shared" si="149"/>
        <v>Aug-22F</v>
      </c>
      <c r="AE134" s="45" t="str">
        <f t="shared" si="149"/>
        <v>Sep-22F</v>
      </c>
      <c r="AF134" s="45" t="str">
        <f t="shared" si="149"/>
        <v>Oct-22F</v>
      </c>
      <c r="AG134" s="45" t="str">
        <f t="shared" si="149"/>
        <v>Nov-22F</v>
      </c>
      <c r="AH134" s="45" t="str">
        <f t="shared" si="149"/>
        <v>Dec-22F</v>
      </c>
      <c r="AJ134" s="45" t="str">
        <f ca="1">AJ$10</f>
        <v>Q3'20A</v>
      </c>
      <c r="AK134" s="45" t="str">
        <f t="shared" ref="AK134:AW134" ca="1" si="150">AK$10</f>
        <v>Q4'20A</v>
      </c>
      <c r="AL134" s="45" t="str">
        <f t="shared" ca="1" si="150"/>
        <v>Q1'21A</v>
      </c>
      <c r="AM134" s="46" t="str">
        <f t="shared" ca="1" si="150"/>
        <v>Q2'21A</v>
      </c>
      <c r="AN134" s="45" t="str">
        <f t="shared" ca="1" si="150"/>
        <v>Q3'21F</v>
      </c>
      <c r="AO134" s="45" t="str">
        <f t="shared" ca="1" si="150"/>
        <v>Q4'21F</v>
      </c>
      <c r="AP134" s="45" t="str">
        <f t="shared" ca="1" si="150"/>
        <v>Q1'22F</v>
      </c>
      <c r="AQ134" s="45" t="str">
        <f t="shared" ca="1" si="150"/>
        <v>Q2'22F</v>
      </c>
      <c r="AR134" s="45" t="str">
        <f t="shared" ca="1" si="150"/>
        <v>Q3'22F</v>
      </c>
      <c r="AS134" s="45" t="str">
        <f t="shared" ca="1" si="150"/>
        <v>Q4'22F</v>
      </c>
      <c r="AU134" s="45" t="str">
        <f t="shared" ca="1" si="150"/>
        <v>FY20</v>
      </c>
      <c r="AV134" s="45" t="str">
        <f t="shared" ca="1" si="150"/>
        <v>FY21</v>
      </c>
      <c r="AW134" s="45" t="str">
        <f t="shared" ca="1" si="150"/>
        <v>FY22</v>
      </c>
    </row>
    <row r="135" spans="2:64" x14ac:dyDescent="0.25">
      <c r="C135" s="42" t="s">
        <v>108</v>
      </c>
      <c r="E135" s="80">
        <f>Headcount!E12</f>
        <v>22400</v>
      </c>
      <c r="F135" s="80">
        <f>Headcount!F12</f>
        <v>22400</v>
      </c>
      <c r="G135" s="80">
        <f>Headcount!G12</f>
        <v>22400</v>
      </c>
      <c r="H135" s="80">
        <f>Headcount!H12</f>
        <v>22400</v>
      </c>
      <c r="I135" s="80">
        <f>Headcount!I12</f>
        <v>22400</v>
      </c>
      <c r="J135" s="81">
        <f>Headcount!J12</f>
        <v>22400</v>
      </c>
      <c r="K135" s="80">
        <f>Headcount!K12</f>
        <v>22400</v>
      </c>
      <c r="L135" s="80">
        <f>Headcount!L12</f>
        <v>22400</v>
      </c>
      <c r="M135" s="80">
        <f>Headcount!M12</f>
        <v>22400</v>
      </c>
      <c r="N135" s="80">
        <f>Headcount!N12</f>
        <v>22400</v>
      </c>
      <c r="O135" s="80">
        <f>Headcount!O12</f>
        <v>22400</v>
      </c>
      <c r="P135" s="82">
        <f>Headcount!P12</f>
        <v>22400</v>
      </c>
      <c r="Q135" s="80">
        <f>Headcount!Q12</f>
        <v>22959.999999999996</v>
      </c>
      <c r="R135" s="80">
        <f>Headcount!R12</f>
        <v>23520</v>
      </c>
      <c r="S135" s="80">
        <f>Headcount!S12</f>
        <v>24808</v>
      </c>
      <c r="T135" s="80">
        <f>Headcount!T12</f>
        <v>24640.000000000004</v>
      </c>
      <c r="U135" s="80">
        <f>Headcount!U12</f>
        <v>24640.000000000004</v>
      </c>
      <c r="V135" s="80">
        <f>Headcount!V12</f>
        <v>24640.000000000004</v>
      </c>
      <c r="W135" s="80">
        <f>Headcount!W12</f>
        <v>24640.000000000004</v>
      </c>
      <c r="X135" s="80">
        <f>Headcount!X12</f>
        <v>24640.000000000004</v>
      </c>
      <c r="Y135" s="80">
        <f>Headcount!Y12</f>
        <v>24640.000000000004</v>
      </c>
      <c r="Z135" s="80">
        <f>Headcount!Z12</f>
        <v>24640.000000000004</v>
      </c>
      <c r="AA135" s="80">
        <f>Headcount!AA12</f>
        <v>24640.000000000004</v>
      </c>
      <c r="AB135" s="80">
        <f>Headcount!AB12</f>
        <v>24640.000000000004</v>
      </c>
      <c r="AC135" s="80">
        <f>Headcount!AC12</f>
        <v>24640.000000000004</v>
      </c>
      <c r="AD135" s="80">
        <f>Headcount!AD12</f>
        <v>24640.000000000004</v>
      </c>
      <c r="AE135" s="80">
        <f>Headcount!AE12</f>
        <v>24640.000000000004</v>
      </c>
      <c r="AF135" s="80">
        <f>Headcount!AF12</f>
        <v>24640.000000000004</v>
      </c>
      <c r="AG135" s="80">
        <f>Headcount!AG12</f>
        <v>24640.000000000004</v>
      </c>
      <c r="AH135" s="80">
        <f>Headcount!AH12</f>
        <v>24640.000000000004</v>
      </c>
      <c r="AM135" s="8"/>
      <c r="AZ135" s="11"/>
      <c r="BA135" s="319"/>
      <c r="BB135" s="319"/>
      <c r="BC135" s="319"/>
      <c r="BD135" s="319"/>
      <c r="BE135" s="319"/>
      <c r="BF135" s="319"/>
      <c r="BG135" s="319"/>
      <c r="BH135" s="319"/>
      <c r="BI135" s="319"/>
      <c r="BJ135" s="319"/>
      <c r="BK135" s="319"/>
      <c r="BL135" s="319"/>
    </row>
    <row r="136" spans="2:64" x14ac:dyDescent="0.25">
      <c r="C136" s="84" t="s">
        <v>111</v>
      </c>
      <c r="D136" s="27"/>
      <c r="E136" s="85">
        <f>Headcount!E13</f>
        <v>2000</v>
      </c>
      <c r="F136" s="85">
        <f>Headcount!F13</f>
        <v>2000</v>
      </c>
      <c r="G136" s="85">
        <f>Headcount!G13</f>
        <v>2000</v>
      </c>
      <c r="H136" s="85">
        <f>Headcount!H13</f>
        <v>2000</v>
      </c>
      <c r="I136" s="85">
        <f>Headcount!I13</f>
        <v>2000</v>
      </c>
      <c r="J136" s="85">
        <f>Headcount!J13</f>
        <v>2000</v>
      </c>
      <c r="K136" s="85">
        <f>Headcount!K13</f>
        <v>2000</v>
      </c>
      <c r="L136" s="85">
        <f>Headcount!L13</f>
        <v>2000</v>
      </c>
      <c r="M136" s="85">
        <f>Headcount!M13</f>
        <v>2000</v>
      </c>
      <c r="N136" s="85">
        <f>Headcount!N13</f>
        <v>2000</v>
      </c>
      <c r="O136" s="85">
        <f>Headcount!O13</f>
        <v>2000</v>
      </c>
      <c r="P136" s="86">
        <f>Headcount!P13</f>
        <v>2000</v>
      </c>
      <c r="Q136" s="85">
        <f>Headcount!Q13</f>
        <v>2000</v>
      </c>
      <c r="R136" s="85">
        <f>Headcount!R13</f>
        <v>2100</v>
      </c>
      <c r="S136" s="85">
        <f>Headcount!S13</f>
        <v>2100</v>
      </c>
      <c r="T136" s="85">
        <f>Headcount!T13</f>
        <v>2100</v>
      </c>
      <c r="U136" s="85">
        <f>Headcount!U13</f>
        <v>2100</v>
      </c>
      <c r="V136" s="85">
        <f>Headcount!V13</f>
        <v>2100</v>
      </c>
      <c r="W136" s="85">
        <f>Headcount!W13</f>
        <v>2100</v>
      </c>
      <c r="X136" s="85">
        <f>Headcount!X13</f>
        <v>2100</v>
      </c>
      <c r="Y136" s="85">
        <f>Headcount!Y13</f>
        <v>2100</v>
      </c>
      <c r="Z136" s="85">
        <f>Headcount!Z13</f>
        <v>2100</v>
      </c>
      <c r="AA136" s="85">
        <f>Headcount!AA13</f>
        <v>2100</v>
      </c>
      <c r="AB136" s="85">
        <f>Headcount!AB13</f>
        <v>2100</v>
      </c>
      <c r="AC136" s="85">
        <f>Headcount!AC13</f>
        <v>2100</v>
      </c>
      <c r="AD136" s="85">
        <f>Headcount!AD13</f>
        <v>2100</v>
      </c>
      <c r="AE136" s="85">
        <f>Headcount!AE13</f>
        <v>2100</v>
      </c>
      <c r="AF136" s="85">
        <f>Headcount!AF13</f>
        <v>2100</v>
      </c>
      <c r="AG136" s="85">
        <f>Headcount!AG13</f>
        <v>2100</v>
      </c>
      <c r="AH136" s="85">
        <f>Headcount!AH13</f>
        <v>2100</v>
      </c>
      <c r="AJ136" s="27"/>
      <c r="AK136" s="27"/>
      <c r="AL136" s="27"/>
      <c r="AM136" s="28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BA136" s="319"/>
      <c r="BB136" s="319"/>
      <c r="BC136" s="319"/>
      <c r="BD136" s="319"/>
      <c r="BE136" s="319"/>
      <c r="BF136" s="319"/>
      <c r="BG136" s="58"/>
      <c r="BH136" s="58"/>
      <c r="BI136" s="58"/>
      <c r="BJ136" s="58"/>
      <c r="BK136" s="58"/>
      <c r="BL136" s="58"/>
    </row>
    <row r="137" spans="2:64" x14ac:dyDescent="0.25">
      <c r="C137" s="1" t="s">
        <v>112</v>
      </c>
      <c r="E137" s="83">
        <f>SUM(E135:E136)</f>
        <v>24400</v>
      </c>
      <c r="F137" s="80">
        <f t="shared" ref="F137:AH137" si="151">SUM(F135:F136)</f>
        <v>24400</v>
      </c>
      <c r="G137" s="80">
        <f t="shared" si="151"/>
        <v>24400</v>
      </c>
      <c r="H137" s="80">
        <f t="shared" si="151"/>
        <v>24400</v>
      </c>
      <c r="I137" s="80">
        <f t="shared" si="151"/>
        <v>24400</v>
      </c>
      <c r="J137" s="81">
        <f t="shared" si="151"/>
        <v>24400</v>
      </c>
      <c r="K137" s="80">
        <f t="shared" si="151"/>
        <v>24400</v>
      </c>
      <c r="L137" s="80">
        <f t="shared" si="151"/>
        <v>24400</v>
      </c>
      <c r="M137" s="80">
        <f t="shared" si="151"/>
        <v>24400</v>
      </c>
      <c r="N137" s="80">
        <f t="shared" si="151"/>
        <v>24400</v>
      </c>
      <c r="O137" s="80">
        <f t="shared" si="151"/>
        <v>24400</v>
      </c>
      <c r="P137" s="82">
        <f t="shared" si="151"/>
        <v>24400</v>
      </c>
      <c r="Q137" s="80">
        <f t="shared" si="151"/>
        <v>24959.999999999996</v>
      </c>
      <c r="R137" s="80">
        <f t="shared" si="151"/>
        <v>25620</v>
      </c>
      <c r="S137" s="80">
        <f t="shared" si="151"/>
        <v>26908</v>
      </c>
      <c r="T137" s="80">
        <f t="shared" si="151"/>
        <v>26740.000000000004</v>
      </c>
      <c r="U137" s="80">
        <f t="shared" si="151"/>
        <v>26740.000000000004</v>
      </c>
      <c r="V137" s="80">
        <f t="shared" si="151"/>
        <v>26740.000000000004</v>
      </c>
      <c r="W137" s="80">
        <f t="shared" si="151"/>
        <v>26740.000000000004</v>
      </c>
      <c r="X137" s="80">
        <f t="shared" si="151"/>
        <v>26740.000000000004</v>
      </c>
      <c r="Y137" s="80">
        <f t="shared" si="151"/>
        <v>26740.000000000004</v>
      </c>
      <c r="Z137" s="80">
        <f t="shared" si="151"/>
        <v>26740.000000000004</v>
      </c>
      <c r="AA137" s="80">
        <f t="shared" si="151"/>
        <v>26740.000000000004</v>
      </c>
      <c r="AB137" s="80">
        <f t="shared" si="151"/>
        <v>26740.000000000004</v>
      </c>
      <c r="AC137" s="80">
        <f t="shared" si="151"/>
        <v>26740.000000000004</v>
      </c>
      <c r="AD137" s="80">
        <f t="shared" si="151"/>
        <v>26740.000000000004</v>
      </c>
      <c r="AE137" s="80">
        <f t="shared" si="151"/>
        <v>26740.000000000004</v>
      </c>
      <c r="AF137" s="80">
        <f t="shared" si="151"/>
        <v>26740.000000000004</v>
      </c>
      <c r="AG137" s="80">
        <f t="shared" si="151"/>
        <v>26740.000000000004</v>
      </c>
      <c r="AH137" s="80">
        <f t="shared" si="151"/>
        <v>26740.000000000004</v>
      </c>
      <c r="AM137" s="8"/>
      <c r="BA137" s="319"/>
      <c r="BB137" s="319"/>
      <c r="BC137" s="319"/>
      <c r="BD137" s="319"/>
      <c r="BE137" s="319"/>
      <c r="BF137" s="319"/>
      <c r="BG137" s="58"/>
      <c r="BH137" s="58"/>
      <c r="BI137" s="58"/>
      <c r="BJ137" s="58"/>
      <c r="BK137" s="58"/>
      <c r="BL137" s="58"/>
    </row>
    <row r="138" spans="2:64" x14ac:dyDescent="0.25">
      <c r="C138" s="23" t="s">
        <v>113</v>
      </c>
      <c r="D138" s="27"/>
      <c r="E138" s="24">
        <f>E139*1000000/E137</f>
        <v>499.42385289540721</v>
      </c>
      <c r="F138" s="24">
        <f t="shared" ref="F138:P138" si="152">F139*1000000/F137</f>
        <v>498.1199685914919</v>
      </c>
      <c r="G138" s="24">
        <f t="shared" si="152"/>
        <v>505.28289622848126</v>
      </c>
      <c r="H138" s="24">
        <f t="shared" si="152"/>
        <v>508.22995704472953</v>
      </c>
      <c r="I138" s="24">
        <f t="shared" si="152"/>
        <v>504.25924528038882</v>
      </c>
      <c r="J138" s="24">
        <f t="shared" si="152"/>
        <v>509.81247026232023</v>
      </c>
      <c r="K138" s="24">
        <f t="shared" si="152"/>
        <v>497.2909818746229</v>
      </c>
      <c r="L138" s="24">
        <f t="shared" si="152"/>
        <v>489.93664273888538</v>
      </c>
      <c r="M138" s="24">
        <f t="shared" si="152"/>
        <v>498.99298459585754</v>
      </c>
      <c r="N138" s="24">
        <f t="shared" si="152"/>
        <v>503.68877137076674</v>
      </c>
      <c r="O138" s="24">
        <f t="shared" si="152"/>
        <v>503.58822193937573</v>
      </c>
      <c r="P138" s="64">
        <f t="shared" si="152"/>
        <v>492.3970173462663</v>
      </c>
      <c r="Q138" s="38">
        <f>AVERAGE(E138:P138)</f>
        <v>500.91858418071615</v>
      </c>
      <c r="R138" s="38">
        <f t="shared" ref="R138:AH138" si="153">AVERAGE(F138:Q138)</f>
        <v>501.0431451211586</v>
      </c>
      <c r="S138" s="38">
        <f t="shared" si="153"/>
        <v>501.28674316529759</v>
      </c>
      <c r="T138" s="38">
        <f t="shared" si="153"/>
        <v>500.95373041003222</v>
      </c>
      <c r="U138" s="38">
        <f t="shared" si="153"/>
        <v>500.34737819047405</v>
      </c>
      <c r="V138" s="38">
        <f t="shared" si="153"/>
        <v>500.02138926631443</v>
      </c>
      <c r="W138" s="38">
        <f t="shared" si="153"/>
        <v>499.20546584998056</v>
      </c>
      <c r="X138" s="38">
        <f t="shared" si="153"/>
        <v>499.3650061812603</v>
      </c>
      <c r="Y138" s="38">
        <f t="shared" si="153"/>
        <v>500.15070313479163</v>
      </c>
      <c r="Z138" s="38">
        <f t="shared" si="153"/>
        <v>500.24717967970292</v>
      </c>
      <c r="AA138" s="38">
        <f t="shared" si="153"/>
        <v>499.96038037211423</v>
      </c>
      <c r="AB138" s="38">
        <f t="shared" si="153"/>
        <v>499.65806024150908</v>
      </c>
      <c r="AC138" s="38">
        <f t="shared" si="153"/>
        <v>500.26314714944596</v>
      </c>
      <c r="AD138" s="38">
        <f t="shared" si="153"/>
        <v>500.20852739684005</v>
      </c>
      <c r="AE138" s="38">
        <f t="shared" si="153"/>
        <v>500.1389759198135</v>
      </c>
      <c r="AF138" s="38">
        <f t="shared" si="153"/>
        <v>500.04332864935651</v>
      </c>
      <c r="AG138" s="38">
        <f t="shared" si="153"/>
        <v>499.96746183596684</v>
      </c>
      <c r="AH138" s="38">
        <f t="shared" si="153"/>
        <v>499.93580213975798</v>
      </c>
      <c r="AJ138" s="27"/>
      <c r="AK138" s="27"/>
      <c r="AL138" s="27"/>
      <c r="AM138" s="28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</row>
    <row r="139" spans="2:64" x14ac:dyDescent="0.25">
      <c r="B139" t="s">
        <v>231</v>
      </c>
      <c r="C139" t="s">
        <v>110</v>
      </c>
      <c r="E139" s="31">
        <v>12.185942010647937</v>
      </c>
      <c r="F139" s="31">
        <v>12.154127233632403</v>
      </c>
      <c r="G139" s="31">
        <v>12.328902667974944</v>
      </c>
      <c r="H139" s="31">
        <v>12.400810951891399</v>
      </c>
      <c r="I139" s="31">
        <v>12.303925584841489</v>
      </c>
      <c r="J139" s="37">
        <v>12.439424274400615</v>
      </c>
      <c r="K139" s="31">
        <v>12.133899957740798</v>
      </c>
      <c r="L139" s="31">
        <v>11.954454082828804</v>
      </c>
      <c r="M139" s="31">
        <v>12.175428824138924</v>
      </c>
      <c r="N139" s="31">
        <v>12.290006021446709</v>
      </c>
      <c r="O139" s="31">
        <v>12.287552615320768</v>
      </c>
      <c r="P139" s="32">
        <v>12.014487223248898</v>
      </c>
      <c r="Q139" s="13">
        <f>Q138*Q137/1000000</f>
        <v>12.502927861150672</v>
      </c>
      <c r="R139" s="13">
        <f t="shared" ref="R139:AH139" si="154">R138*R137/1000000</f>
        <v>12.836725378004083</v>
      </c>
      <c r="S139" s="13">
        <f t="shared" si="154"/>
        <v>13.488623685091827</v>
      </c>
      <c r="T139" s="13">
        <f t="shared" si="154"/>
        <v>13.395502751164264</v>
      </c>
      <c r="U139" s="13">
        <f t="shared" si="154"/>
        <v>13.379288892813278</v>
      </c>
      <c r="V139" s="13">
        <f t="shared" si="154"/>
        <v>13.370571948981249</v>
      </c>
      <c r="W139" s="13">
        <f t="shared" si="154"/>
        <v>13.348754156828482</v>
      </c>
      <c r="X139" s="13">
        <f t="shared" si="154"/>
        <v>13.353020265286903</v>
      </c>
      <c r="Y139" s="13">
        <f t="shared" si="154"/>
        <v>13.37402980182433</v>
      </c>
      <c r="Z139" s="13">
        <f t="shared" si="154"/>
        <v>13.376609584635258</v>
      </c>
      <c r="AA139" s="13">
        <f t="shared" si="154"/>
        <v>13.368940571150336</v>
      </c>
      <c r="AB139" s="13">
        <f t="shared" si="154"/>
        <v>13.360856530857955</v>
      </c>
      <c r="AC139" s="13">
        <f t="shared" si="154"/>
        <v>13.377036554776186</v>
      </c>
      <c r="AD139" s="13">
        <f t="shared" si="154"/>
        <v>13.375576022591504</v>
      </c>
      <c r="AE139" s="13">
        <f t="shared" si="154"/>
        <v>13.373716216095815</v>
      </c>
      <c r="AF139" s="13">
        <f t="shared" si="154"/>
        <v>13.371158608083796</v>
      </c>
      <c r="AG139" s="13">
        <f t="shared" si="154"/>
        <v>13.369129929493756</v>
      </c>
      <c r="AH139" s="13">
        <f t="shared" si="154"/>
        <v>13.36828334921713</v>
      </c>
      <c r="AJ139" s="13" cm="1">
        <f t="array" aca="1" ref="AJ139" ca="1">SUMPRODUCT(($E139:$AH139)*(AJ$3&amp;AJ$4&amp;AJ$5&amp;AJ$6=$E$3:$AH$3&amp;$E$4:$AH$4&amp;$E$5:$AH$5&amp;$E$6:$AH$6))</f>
        <v>36.668971912255287</v>
      </c>
      <c r="AK139" s="13" cm="1">
        <f t="array" aca="1" ref="AK139" ca="1">SUMPRODUCT(($E139:$AH139)*(AK$3=$E$3:$AH$3)*(AK$4=$E$4:$AH$4)*(AK$5=$E$5:$AH$5)*(AK$6=$E$6:$AH$6))</f>
        <v>37.144160811133503</v>
      </c>
      <c r="AL139" s="13" cm="1">
        <f t="array" aca="1" ref="AL139" ca="1">SUMPRODUCT(($E139:$AH139)*(AL$3=$E$3:$AH$3)*(AL$4=$E$4:$AH$4)*(AL$5=$E$5:$AH$5)*(AL$6=$E$6:$AH$6))</f>
        <v>36.263782864708524</v>
      </c>
      <c r="AM139" s="17" cm="1">
        <f t="array" aca="1" ref="AM139" ca="1">SUMPRODUCT(($E139:$AH139)*(AM$3=$E$3:$AH$3)*(AM$4=$E$4:$AH$4)*(AM$5=$E$5:$AH$5)*(AM$6=$E$6:$AH$6))</f>
        <v>36.592045860016377</v>
      </c>
      <c r="AN139" s="13" cm="1">
        <f t="array" aca="1" ref="AN139" ca="1">SUMPRODUCT(($E139:$AH139)*(AN$3=$E$3:$AH$3)*(AN$4=$E$4:$AH$4)*(AN$5=$E$5:$AH$5)*(AN$6=$E$6:$AH$6))</f>
        <v>38.82827692424658</v>
      </c>
      <c r="AO139" s="13" cm="1">
        <f t="array" aca="1" ref="AO139" ca="1">SUMPRODUCT(($E139:$AH139)*(AO$3=$E$3:$AH$3)*(AO$4=$E$4:$AH$4)*(AO$5=$E$5:$AH$5)*(AO$6=$E$6:$AH$6))</f>
        <v>40.145363592958795</v>
      </c>
      <c r="AP139" s="13" cm="1">
        <f t="array" aca="1" ref="AP139" ca="1">SUMPRODUCT(($E139:$AH139)*(AP$3=$E$3:$AH$3)*(AP$4=$E$4:$AH$4)*(AP$5=$E$5:$AH$5)*(AP$6=$E$6:$AH$6))</f>
        <v>40.075804223939713</v>
      </c>
      <c r="AQ139" s="13" cm="1">
        <f t="array" aca="1" ref="AQ139" ca="1">SUMPRODUCT(($E139:$AH139)*(AQ$3=$E$3:$AH$3)*(AQ$4=$E$4:$AH$4)*(AQ$5=$E$5:$AH$5)*(AQ$6=$E$6:$AH$6))</f>
        <v>40.106406686643552</v>
      </c>
      <c r="AR139" s="13" cm="1">
        <f t="array" aca="1" ref="AR139" ca="1">SUMPRODUCT(($E139:$AH139)*(AR$3=$E$3:$AH$3)*(AR$4=$E$4:$AH$4)*(AR$5=$E$5:$AH$5)*(AR$6=$E$6:$AH$6))</f>
        <v>40.126328793463507</v>
      </c>
      <c r="AS139" s="13" cm="1">
        <f t="array" aca="1" ref="AS139" ca="1">SUMPRODUCT(($E139:$AH139)*(AS$3=$E$3:$AH$3)*(AS$4=$E$4:$AH$4)*(AS$5=$E$5:$AH$5)*(AS$6=$E$6:$AH$6))</f>
        <v>40.108571886794678</v>
      </c>
      <c r="AT139" s="13"/>
      <c r="AU139" s="13" cm="1">
        <f t="array" aca="1" ref="AU139" ca="1">SUMPRODUCT(($E139:$AH139)*(AU$5=$E$5:$AH$5))</f>
        <v>73.81313272338879</v>
      </c>
      <c r="AV139" s="13" cm="1">
        <f t="array" aca="1" ref="AV139" ca="1">SUMPRODUCT(($E139:$AH139)*(AV$5=$E$5:$AH$5))</f>
        <v>151.82946924193027</v>
      </c>
      <c r="AW139" s="13" cm="1">
        <f t="array" aca="1" ref="AW139" ca="1">SUMPRODUCT(($E139:$AH139)*(AW$5=$E$5:$AH$5))</f>
        <v>160.41711159084147</v>
      </c>
    </row>
    <row r="140" spans="2:64" x14ac:dyDescent="0.25">
      <c r="P140" s="8"/>
      <c r="AM140" s="8"/>
      <c r="BA140">
        <v>1</v>
      </c>
      <c r="BB140">
        <f>BA140+1</f>
        <v>2</v>
      </c>
      <c r="BC140">
        <f t="shared" ref="BC140:BL140" si="155">BB140+1</f>
        <v>3</v>
      </c>
      <c r="BD140">
        <f t="shared" si="155"/>
        <v>4</v>
      </c>
      <c r="BE140">
        <f t="shared" si="155"/>
        <v>5</v>
      </c>
      <c r="BF140">
        <f t="shared" si="155"/>
        <v>6</v>
      </c>
      <c r="BG140">
        <f t="shared" si="155"/>
        <v>7</v>
      </c>
      <c r="BH140">
        <f t="shared" si="155"/>
        <v>8</v>
      </c>
      <c r="BI140">
        <f t="shared" si="155"/>
        <v>9</v>
      </c>
      <c r="BJ140">
        <f t="shared" si="155"/>
        <v>10</v>
      </c>
      <c r="BK140">
        <f t="shared" si="155"/>
        <v>11</v>
      </c>
      <c r="BL140">
        <f t="shared" si="155"/>
        <v>12</v>
      </c>
    </row>
    <row r="141" spans="2:64" x14ac:dyDescent="0.25">
      <c r="C141" s="30" t="s">
        <v>114</v>
      </c>
      <c r="D141" s="30"/>
      <c r="E141" s="45" t="str">
        <f t="shared" ref="E141:AH141" si="156">E$9</f>
        <v>Jul-20A</v>
      </c>
      <c r="F141" s="45" t="str">
        <f t="shared" si="156"/>
        <v>Aug-20A</v>
      </c>
      <c r="G141" s="45" t="str">
        <f t="shared" si="156"/>
        <v>Sep-20A</v>
      </c>
      <c r="H141" s="45" t="str">
        <f t="shared" si="156"/>
        <v>Oct-20A</v>
      </c>
      <c r="I141" s="45" t="str">
        <f t="shared" si="156"/>
        <v>Nov-20A</v>
      </c>
      <c r="J141" s="45" t="str">
        <f t="shared" si="156"/>
        <v>Dec-20A</v>
      </c>
      <c r="K141" s="45" t="str">
        <f t="shared" si="156"/>
        <v>Jan-21A</v>
      </c>
      <c r="L141" s="45" t="str">
        <f t="shared" si="156"/>
        <v>Feb-21A</v>
      </c>
      <c r="M141" s="45" t="str">
        <f t="shared" si="156"/>
        <v>Mar-21A</v>
      </c>
      <c r="N141" s="45" t="str">
        <f t="shared" si="156"/>
        <v>Apr-21A</v>
      </c>
      <c r="O141" s="45" t="str">
        <f t="shared" si="156"/>
        <v>May-21A</v>
      </c>
      <c r="P141" s="46" t="str">
        <f t="shared" si="156"/>
        <v>Jun-21A</v>
      </c>
      <c r="Q141" s="45" t="str">
        <f t="shared" si="156"/>
        <v>Jul-21F</v>
      </c>
      <c r="R141" s="45" t="str">
        <f t="shared" si="156"/>
        <v>Aug-21F</v>
      </c>
      <c r="S141" s="45" t="str">
        <f t="shared" si="156"/>
        <v>Sep-21F</v>
      </c>
      <c r="T141" s="45" t="str">
        <f t="shared" si="156"/>
        <v>Oct-21F</v>
      </c>
      <c r="U141" s="45" t="str">
        <f t="shared" si="156"/>
        <v>Nov-21F</v>
      </c>
      <c r="V141" s="45" t="str">
        <f t="shared" si="156"/>
        <v>Dec-21F</v>
      </c>
      <c r="W141" s="45" t="str">
        <f t="shared" si="156"/>
        <v>Jan-22F</v>
      </c>
      <c r="X141" s="45" t="str">
        <f t="shared" si="156"/>
        <v>Feb-22F</v>
      </c>
      <c r="Y141" s="45" t="str">
        <f t="shared" si="156"/>
        <v>Mar-22F</v>
      </c>
      <c r="Z141" s="45" t="str">
        <f t="shared" si="156"/>
        <v>Apr-22F</v>
      </c>
      <c r="AA141" s="45" t="str">
        <f t="shared" si="156"/>
        <v>May-22F</v>
      </c>
      <c r="AB141" s="45" t="str">
        <f t="shared" si="156"/>
        <v>Jun-22F</v>
      </c>
      <c r="AC141" s="45" t="str">
        <f t="shared" si="156"/>
        <v>Jul-22F</v>
      </c>
      <c r="AD141" s="45" t="str">
        <f t="shared" si="156"/>
        <v>Aug-22F</v>
      </c>
      <c r="AE141" s="45" t="str">
        <f t="shared" si="156"/>
        <v>Sep-22F</v>
      </c>
      <c r="AF141" s="45" t="str">
        <f t="shared" si="156"/>
        <v>Oct-22F</v>
      </c>
      <c r="AG141" s="45" t="str">
        <f t="shared" si="156"/>
        <v>Nov-22F</v>
      </c>
      <c r="AH141" s="45" t="str">
        <f t="shared" si="156"/>
        <v>Dec-22F</v>
      </c>
      <c r="AJ141" s="45" t="str">
        <f ca="1">AJ$10</f>
        <v>Q3'20A</v>
      </c>
      <c r="AK141" s="45" t="str">
        <f t="shared" ref="AK141:AW141" ca="1" si="157">AK$10</f>
        <v>Q4'20A</v>
      </c>
      <c r="AL141" s="45" t="str">
        <f t="shared" ca="1" si="157"/>
        <v>Q1'21A</v>
      </c>
      <c r="AM141" s="46" t="str">
        <f t="shared" ca="1" si="157"/>
        <v>Q2'21A</v>
      </c>
      <c r="AN141" s="45" t="str">
        <f t="shared" ca="1" si="157"/>
        <v>Q3'21F</v>
      </c>
      <c r="AO141" s="45" t="str">
        <f t="shared" ca="1" si="157"/>
        <v>Q4'21F</v>
      </c>
      <c r="AP141" s="45" t="str">
        <f t="shared" ca="1" si="157"/>
        <v>Q1'22F</v>
      </c>
      <c r="AQ141" s="45" t="str">
        <f t="shared" ca="1" si="157"/>
        <v>Q2'22F</v>
      </c>
      <c r="AR141" s="45" t="str">
        <f t="shared" ca="1" si="157"/>
        <v>Q3'22F</v>
      </c>
      <c r="AS141" s="45" t="str">
        <f t="shared" ca="1" si="157"/>
        <v>Q4'22F</v>
      </c>
      <c r="AU141" s="45" t="str">
        <f t="shared" ca="1" si="157"/>
        <v>FY20</v>
      </c>
      <c r="AV141" s="45" t="str">
        <f t="shared" ca="1" si="157"/>
        <v>FY21</v>
      </c>
      <c r="AW141" s="45" t="str">
        <f t="shared" ca="1" si="157"/>
        <v>FY22</v>
      </c>
      <c r="AZ141" t="str">
        <f>C144</f>
        <v>Brand Marketing</v>
      </c>
      <c r="BA141" s="319" t="str">
        <f>_xlfn.XLOOKUP(BA$140,REF!$H$3:$H$14,REF!$I$3:$I$14)</f>
        <v>Jan</v>
      </c>
      <c r="BB141" s="319" t="str">
        <f>_xlfn.XLOOKUP(BB$140,REF!$H$3:$H$14,REF!$I$3:$I$14)</f>
        <v>Feb</v>
      </c>
      <c r="BC141" s="319" t="str">
        <f>_xlfn.XLOOKUP(BC$140,REF!$H$3:$H$14,REF!$I$3:$I$14)</f>
        <v>Mar</v>
      </c>
      <c r="BD141" s="319" t="str">
        <f>_xlfn.XLOOKUP(BD$140,REF!$H$3:$H$14,REF!$I$3:$I$14)</f>
        <v>Apr</v>
      </c>
      <c r="BE141" s="319" t="str">
        <f>_xlfn.XLOOKUP(BE$140,REF!$H$3:$H$14,REF!$I$3:$I$14)</f>
        <v>May</v>
      </c>
      <c r="BF141" s="319" t="str">
        <f>_xlfn.XLOOKUP(BF$140,REF!$H$3:$H$14,REF!$I$3:$I$14)</f>
        <v>Jun</v>
      </c>
      <c r="BG141" s="319" t="str">
        <f>_xlfn.XLOOKUP(BG$140,REF!$H$3:$H$14,REF!$I$3:$I$14)</f>
        <v>Jul</v>
      </c>
      <c r="BH141" s="319" t="str">
        <f>_xlfn.XLOOKUP(BH$140,REF!$H$3:$H$14,REF!$I$3:$I$14)</f>
        <v>Aug</v>
      </c>
      <c r="BI141" s="319" t="str">
        <f>_xlfn.XLOOKUP(BI$140,REF!$H$3:$H$14,REF!$I$3:$I$14)</f>
        <v>Sep</v>
      </c>
      <c r="BJ141" s="319" t="str">
        <f>_xlfn.XLOOKUP(BJ$140,REF!$H$3:$H$14,REF!$I$3:$I$14)</f>
        <v>Oct</v>
      </c>
      <c r="BK141" s="319" t="str">
        <f>_xlfn.XLOOKUP(BK$140,REF!$H$3:$H$14,REF!$I$3:$I$14)</f>
        <v>Nov</v>
      </c>
      <c r="BL141" s="319" t="str">
        <f>_xlfn.XLOOKUP(BL$140,REF!$H$3:$H$14,REF!$I$3:$I$14)</f>
        <v>Dec</v>
      </c>
    </row>
    <row r="142" spans="2:64" x14ac:dyDescent="0.25">
      <c r="C142" s="42" t="s">
        <v>478</v>
      </c>
      <c r="E142" s="33">
        <f>Revenue!E21</f>
        <v>1076.0245631271903</v>
      </c>
      <c r="F142" s="33">
        <f>Revenue!F21</f>
        <v>859.26920010937727</v>
      </c>
      <c r="G142" s="33">
        <f>Revenue!G21</f>
        <v>836.52248099866563</v>
      </c>
      <c r="H142" s="33">
        <f>Revenue!H21</f>
        <v>856.34353116215016</v>
      </c>
      <c r="I142" s="33">
        <f>Revenue!I21</f>
        <v>867.96401434551092</v>
      </c>
      <c r="J142" s="56">
        <f>Revenue!J21</f>
        <v>1202.7235625694784</v>
      </c>
      <c r="K142" s="33">
        <f>Revenue!K21</f>
        <v>999.30327627363522</v>
      </c>
      <c r="L142" s="33">
        <f>Revenue!L21</f>
        <v>871.88490961518551</v>
      </c>
      <c r="M142" s="33">
        <f>Revenue!M21</f>
        <v>872.77456928733591</v>
      </c>
      <c r="N142" s="33">
        <f>Revenue!N21</f>
        <v>1197.1562696903486</v>
      </c>
      <c r="O142" s="33">
        <f>Revenue!O21</f>
        <v>1183.4780841029253</v>
      </c>
      <c r="P142" s="34">
        <f>Revenue!P21</f>
        <v>1250.1871922417429</v>
      </c>
      <c r="Q142" s="33">
        <f>Revenue!Q21</f>
        <v>1132.808116934413</v>
      </c>
      <c r="R142" s="33">
        <f>Revenue!R21</f>
        <v>924.28989330578554</v>
      </c>
      <c r="S142" s="33">
        <f>Revenue!S21</f>
        <v>881.48613024466636</v>
      </c>
      <c r="T142" s="33">
        <f>Revenue!T21</f>
        <v>897.76544844326088</v>
      </c>
      <c r="U142" s="33">
        <f>Revenue!U21</f>
        <v>916.16025491466962</v>
      </c>
      <c r="V142" s="33">
        <f>Revenue!V21</f>
        <v>1204.916359100057</v>
      </c>
      <c r="W142" s="33">
        <f>Revenue!W21</f>
        <v>1057.131134894355</v>
      </c>
      <c r="X142" s="33">
        <f>Revenue!X21</f>
        <v>909.33744398212934</v>
      </c>
      <c r="Y142" s="33">
        <f>Revenue!Y21</f>
        <v>897.40647334653238</v>
      </c>
      <c r="Z142" s="33">
        <f>Revenue!Z21</f>
        <v>1285.0423590273199</v>
      </c>
      <c r="AA142" s="33">
        <f>Revenue!AA21</f>
        <v>1205.9135471960133</v>
      </c>
      <c r="AB142" s="33">
        <f>Revenue!AB21</f>
        <v>1313.002590548946</v>
      </c>
      <c r="AC142" s="33">
        <f>Revenue!AC21</f>
        <v>1185.0629560611505</v>
      </c>
      <c r="AD142" s="33">
        <f>Revenue!AD21</f>
        <v>967.14486205329683</v>
      </c>
      <c r="AE142" s="33">
        <f>Revenue!AE21</f>
        <v>922.39951981466538</v>
      </c>
      <c r="AF142" s="33">
        <f>Revenue!AF21</f>
        <v>939.58156234665057</v>
      </c>
      <c r="AG142" s="33">
        <f>Revenue!AG21</f>
        <v>958.88043189295263</v>
      </c>
      <c r="AH142" s="33">
        <f>Revenue!AH21</f>
        <v>1260.9299508968747</v>
      </c>
      <c r="AM142" s="8"/>
      <c r="AZ142">
        <v>2020</v>
      </c>
      <c r="BA142" s="365"/>
      <c r="BB142" s="365"/>
      <c r="BC142" s="365"/>
      <c r="BD142" s="365"/>
      <c r="BE142" s="365"/>
      <c r="BF142" s="365"/>
      <c r="BG142" s="13" cm="1">
        <f t="array" ref="BG142">INDEX($E$144:$AH$144,1,MATCH(BG$140&amp;$AZ142,$E$7:$AH$7&amp;$E$5:$AH$5,0))</f>
        <v>85</v>
      </c>
      <c r="BH142" s="13" cm="1">
        <f t="array" ref="BH142">INDEX($E$144:$AH$144,1,MATCH(BH$140&amp;$AZ142,$E$7:$AH$7&amp;$E$5:$AH$5,0))</f>
        <v>73</v>
      </c>
      <c r="BI142" s="13" cm="1">
        <f t="array" ref="BI142">INDEX($E$144:$AH$144,1,MATCH(BI$140&amp;$AZ142,$E$7:$AH$7&amp;$E$5:$AH$5,0))</f>
        <v>45</v>
      </c>
      <c r="BJ142" s="13" cm="1">
        <f t="array" ref="BJ142">INDEX($E$144:$AH$144,1,MATCH(BJ$140&amp;$AZ142,$E$7:$AH$7&amp;$E$5:$AH$5,0))</f>
        <v>13</v>
      </c>
      <c r="BK142" s="13" cm="1">
        <f t="array" ref="BK142">INDEX($E$144:$AH$144,1,MATCH(BK$140&amp;$AZ142,$E$7:$AH$7&amp;$E$5:$AH$5,0))</f>
        <v>13</v>
      </c>
      <c r="BL142" s="13" cm="1">
        <f t="array" ref="BL142">INDEX($E$144:$AB$144,1,MATCH(BL$140&amp;$AZ142,$E$7:$AB$7&amp;$E$5:$AB$5,0))</f>
        <v>37</v>
      </c>
    </row>
    <row r="143" spans="2:64" x14ac:dyDescent="0.25">
      <c r="C143" s="84" t="s">
        <v>137</v>
      </c>
      <c r="D143" s="27"/>
      <c r="E143" s="47">
        <f>E144/E142</f>
        <v>7.8994479227285697E-2</v>
      </c>
      <c r="F143" s="260">
        <f t="shared" ref="F143:AH143" si="158">F144/F142</f>
        <v>8.4955913688873938E-2</v>
      </c>
      <c r="G143" s="260">
        <f t="shared" si="158"/>
        <v>5.3794131086922672E-2</v>
      </c>
      <c r="H143" s="260">
        <f t="shared" si="158"/>
        <v>1.5180823497735311E-2</v>
      </c>
      <c r="I143" s="260">
        <f t="shared" si="158"/>
        <v>1.4977579467741715E-2</v>
      </c>
      <c r="J143" s="260">
        <f t="shared" si="158"/>
        <v>3.0763511376590828E-2</v>
      </c>
      <c r="K143" s="260">
        <f t="shared" si="158"/>
        <v>4.5031374426994106E-2</v>
      </c>
      <c r="L143" s="260">
        <f t="shared" si="158"/>
        <v>2.4085747749973727E-2</v>
      </c>
      <c r="M143" s="260">
        <f t="shared" si="158"/>
        <v>2.4061196028142239E-2</v>
      </c>
      <c r="N143" s="260">
        <f t="shared" si="158"/>
        <v>3.7589077666226073E-2</v>
      </c>
      <c r="O143" s="260">
        <f t="shared" si="158"/>
        <v>7.1822200294000271E-2</v>
      </c>
      <c r="P143" s="261">
        <f t="shared" si="158"/>
        <v>9.9985026862944637E-2</v>
      </c>
      <c r="Q143" s="47">
        <f t="shared" si="158"/>
        <v>7.5034773082334222E-2</v>
      </c>
      <c r="R143" s="47">
        <f t="shared" si="158"/>
        <v>7.8979550170034371E-2</v>
      </c>
      <c r="S143" s="47">
        <f t="shared" si="158"/>
        <v>5.1050150939425158E-2</v>
      </c>
      <c r="T143" s="47">
        <f t="shared" si="158"/>
        <v>1.4480396881548738E-2</v>
      </c>
      <c r="U143" s="47">
        <f t="shared" si="158"/>
        <v>1.4189657246385141E-2</v>
      </c>
      <c r="V143" s="47">
        <f t="shared" si="158"/>
        <v>3.0707525647369435E-2</v>
      </c>
      <c r="W143" s="47">
        <f t="shared" si="158"/>
        <v>4.2568039588103797E-2</v>
      </c>
      <c r="X143" s="47">
        <f t="shared" si="158"/>
        <v>2.309373724679999E-2</v>
      </c>
      <c r="Y143" s="47">
        <f t="shared" si="158"/>
        <v>2.3400767237268274E-2</v>
      </c>
      <c r="Z143" s="47">
        <f t="shared" si="158"/>
        <v>3.5018300901817435E-2</v>
      </c>
      <c r="AA143" s="47">
        <f t="shared" si="158"/>
        <v>7.0485981518029844E-2</v>
      </c>
      <c r="AB143" s="47">
        <f t="shared" si="158"/>
        <v>9.5201640042263308E-2</v>
      </c>
      <c r="AC143" s="47">
        <f t="shared" si="158"/>
        <v>7.1726147176617933E-2</v>
      </c>
      <c r="AD143" s="47">
        <f t="shared" si="158"/>
        <v>7.5479902612538674E-2</v>
      </c>
      <c r="AE143" s="47">
        <f t="shared" si="158"/>
        <v>4.8785801632942848E-2</v>
      </c>
      <c r="AF143" s="47">
        <f t="shared" si="158"/>
        <v>1.383594625625887E-2</v>
      </c>
      <c r="AG143" s="47">
        <f t="shared" si="158"/>
        <v>1.3557477624542132E-2</v>
      </c>
      <c r="AH143" s="47">
        <f t="shared" si="158"/>
        <v>2.9343422268368377E-2</v>
      </c>
      <c r="AI143" t="s">
        <v>146</v>
      </c>
      <c r="AJ143" s="27"/>
      <c r="AK143" s="27"/>
      <c r="AL143" s="27"/>
      <c r="AM143" s="28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Z143">
        <v>2021</v>
      </c>
      <c r="BA143" s="366" cm="1">
        <f t="array" ref="BA143">INDEX($E$144:$AH$144,1,MATCH(BA$140&amp;$AZ143,$E$7:$AH$7&amp;$E$5:$AH$5,0))</f>
        <v>45</v>
      </c>
      <c r="BB143" s="366" cm="1">
        <f t="array" ref="BB143">INDEX($E$144:$AH$144,1,MATCH(BB$140&amp;$AZ143,$E$7:$AH$7&amp;$E$5:$AH$5,0))</f>
        <v>21</v>
      </c>
      <c r="BC143" s="366" cm="1">
        <f t="array" ref="BC143">INDEX($E$144:$AH$144,1,MATCH(BC$140&amp;$AZ143,$E$7:$AH$7&amp;$E$5:$AH$5,0))</f>
        <v>21</v>
      </c>
      <c r="BD143" s="366" cm="1">
        <f t="array" ref="BD143">INDEX($E$144:$AH$144,1,MATCH(BD$140&amp;$AZ143,$E$7:$AH$7&amp;$E$5:$AH$5,0))</f>
        <v>45</v>
      </c>
      <c r="BE143" s="366" cm="1">
        <f t="array" ref="BE143">INDEX($E$144:$AH$144,1,MATCH(BE$140&amp;$AZ143,$E$7:$AH$7&amp;$E$5:$AH$5,0))</f>
        <v>85</v>
      </c>
      <c r="BF143" s="366" cm="1">
        <f t="array" ref="BF143">INDEX($E$144:$AH$144,1,MATCH(BF$140&amp;$AZ143,$E$7:$AH$7&amp;$E$5:$AH$5,0))</f>
        <v>125</v>
      </c>
      <c r="BG143" s="366" cm="1">
        <f t="array" ref="BG143">INDEX($E$144:$AH$144,1,MATCH(BG$140&amp;$AZ143,$E$7:$AH$7&amp;$E$5:$AH$5,0))</f>
        <v>85</v>
      </c>
      <c r="BH143" s="366" cm="1">
        <f t="array" ref="BH143">INDEX($E$144:$AH$144,1,MATCH(BH$140&amp;$AZ143,$E$7:$AH$7&amp;$E$5:$AH$5,0))</f>
        <v>73</v>
      </c>
      <c r="BI143" s="366" cm="1">
        <f t="array" ref="BI143">INDEX($E$144:$AH$144,1,MATCH(BI$140&amp;$AZ143,$E$7:$AH$7&amp;$E$5:$AH$5,0))</f>
        <v>45</v>
      </c>
      <c r="BJ143" s="366" cm="1">
        <f t="array" ref="BJ143">INDEX($E$144:$AH$144,1,MATCH(BJ$140&amp;$AZ143,$E$7:$AH$7&amp;$E$5:$AH$5,0))</f>
        <v>13</v>
      </c>
      <c r="BK143" s="366" cm="1">
        <f t="array" ref="BK143">INDEX($E$144:$AH$144,1,MATCH(BK$140&amp;$AZ143,$E$7:$AH$7&amp;$E$5:$AH$5,0))</f>
        <v>13</v>
      </c>
      <c r="BL143" s="366" cm="1">
        <f t="array" ref="BL143">INDEX($E$144:$AH$144,1,MATCH(BL$140&amp;$AZ143,$E$7:$AH$7&amp;$E$5:$AH$5,0))</f>
        <v>37</v>
      </c>
    </row>
    <row r="144" spans="2:64" x14ac:dyDescent="0.25">
      <c r="B144" t="s">
        <v>231</v>
      </c>
      <c r="C144" s="1" t="s">
        <v>115</v>
      </c>
      <c r="E144" s="31">
        <v>85</v>
      </c>
      <c r="F144" s="31">
        <v>73</v>
      </c>
      <c r="G144" s="31">
        <v>45</v>
      </c>
      <c r="H144" s="31">
        <v>13</v>
      </c>
      <c r="I144" s="31">
        <v>13</v>
      </c>
      <c r="J144" s="37">
        <v>37</v>
      </c>
      <c r="K144" s="31">
        <v>45</v>
      </c>
      <c r="L144" s="31">
        <v>21</v>
      </c>
      <c r="M144" s="31">
        <v>21</v>
      </c>
      <c r="N144" s="31">
        <v>45</v>
      </c>
      <c r="O144" s="31">
        <v>85</v>
      </c>
      <c r="P144" s="32">
        <v>125</v>
      </c>
      <c r="Q144" s="31">
        <f>E144</f>
        <v>85</v>
      </c>
      <c r="R144" s="31">
        <f t="shared" ref="R144:AH144" si="159">F144</f>
        <v>73</v>
      </c>
      <c r="S144" s="31">
        <f t="shared" si="159"/>
        <v>45</v>
      </c>
      <c r="T144" s="31">
        <f t="shared" si="159"/>
        <v>13</v>
      </c>
      <c r="U144" s="31">
        <f t="shared" si="159"/>
        <v>13</v>
      </c>
      <c r="V144" s="31">
        <f t="shared" si="159"/>
        <v>37</v>
      </c>
      <c r="W144" s="31">
        <f t="shared" si="159"/>
        <v>45</v>
      </c>
      <c r="X144" s="31">
        <f t="shared" si="159"/>
        <v>21</v>
      </c>
      <c r="Y144" s="31">
        <f t="shared" si="159"/>
        <v>21</v>
      </c>
      <c r="Z144" s="31">
        <f t="shared" si="159"/>
        <v>45</v>
      </c>
      <c r="AA144" s="31">
        <f t="shared" si="159"/>
        <v>85</v>
      </c>
      <c r="AB144" s="31">
        <f t="shared" si="159"/>
        <v>125</v>
      </c>
      <c r="AC144" s="31">
        <f t="shared" si="159"/>
        <v>85</v>
      </c>
      <c r="AD144" s="31">
        <f t="shared" si="159"/>
        <v>73</v>
      </c>
      <c r="AE144" s="31">
        <f t="shared" si="159"/>
        <v>45</v>
      </c>
      <c r="AF144" s="31">
        <f t="shared" si="159"/>
        <v>13</v>
      </c>
      <c r="AG144" s="31">
        <f t="shared" si="159"/>
        <v>13</v>
      </c>
      <c r="AH144" s="31">
        <f t="shared" si="159"/>
        <v>37</v>
      </c>
      <c r="AJ144" s="13" cm="1">
        <f t="array" aca="1" ref="AJ144" ca="1">SUMPRODUCT(($E144:$AH144)*(AJ$3&amp;AJ$4&amp;AJ$5&amp;AJ$6=$E$3:$AH$3&amp;$E$4:$AH$4&amp;$E$5:$AH$5&amp;$E$6:$AH$6))</f>
        <v>203</v>
      </c>
      <c r="AK144" s="13" cm="1">
        <f t="array" aca="1" ref="AK144" ca="1">SUMPRODUCT(($E144:$AH144)*(AK$3=$E$3:$AH$3)*(AK$4=$E$4:$AH$4)*(AK$5=$E$5:$AH$5)*(AK$6=$E$6:$AH$6))</f>
        <v>63</v>
      </c>
      <c r="AL144" s="13" cm="1">
        <f t="array" aca="1" ref="AL144" ca="1">SUMPRODUCT(($E144:$AH144)*(AL$3=$E$3:$AH$3)*(AL$4=$E$4:$AH$4)*(AL$5=$E$5:$AH$5)*(AL$6=$E$6:$AH$6))</f>
        <v>87</v>
      </c>
      <c r="AM144" s="17" cm="1">
        <f t="array" aca="1" ref="AM144" ca="1">SUMPRODUCT(($E144:$AH144)*(AM$3=$E$3:$AH$3)*(AM$4=$E$4:$AH$4)*(AM$5=$E$5:$AH$5)*(AM$6=$E$6:$AH$6))</f>
        <v>255</v>
      </c>
      <c r="AN144" s="13" cm="1">
        <f t="array" aca="1" ref="AN144" ca="1">SUMPRODUCT(($E144:$AH144)*(AN$3=$E$3:$AH$3)*(AN$4=$E$4:$AH$4)*(AN$5=$E$5:$AH$5)*(AN$6=$E$6:$AH$6))</f>
        <v>203</v>
      </c>
      <c r="AO144" s="13" cm="1">
        <f t="array" aca="1" ref="AO144" ca="1">SUMPRODUCT(($E144:$AH144)*(AO$3=$E$3:$AH$3)*(AO$4=$E$4:$AH$4)*(AO$5=$E$5:$AH$5)*(AO$6=$E$6:$AH$6))</f>
        <v>63</v>
      </c>
      <c r="AP144" s="13" cm="1">
        <f t="array" aca="1" ref="AP144" ca="1">SUMPRODUCT(($E144:$AH144)*(AP$3=$E$3:$AH$3)*(AP$4=$E$4:$AH$4)*(AP$5=$E$5:$AH$5)*(AP$6=$E$6:$AH$6))</f>
        <v>87</v>
      </c>
      <c r="AQ144" s="13" cm="1">
        <f t="array" aca="1" ref="AQ144" ca="1">SUMPRODUCT(($E144:$AH144)*(AQ$3=$E$3:$AH$3)*(AQ$4=$E$4:$AH$4)*(AQ$5=$E$5:$AH$5)*(AQ$6=$E$6:$AH$6))</f>
        <v>255</v>
      </c>
      <c r="AR144" s="13" cm="1">
        <f t="array" aca="1" ref="AR144" ca="1">SUMPRODUCT(($E144:$AH144)*(AR$3=$E$3:$AH$3)*(AR$4=$E$4:$AH$4)*(AR$5=$E$5:$AH$5)*(AR$6=$E$6:$AH$6))</f>
        <v>203</v>
      </c>
      <c r="AS144" s="13" cm="1">
        <f t="array" aca="1" ref="AS144" ca="1">SUMPRODUCT(($E144:$AH144)*(AS$3=$E$3:$AH$3)*(AS$4=$E$4:$AH$4)*(AS$5=$E$5:$AH$5)*(AS$6=$E$6:$AH$6))</f>
        <v>63</v>
      </c>
      <c r="AT144" s="13"/>
      <c r="AU144" s="13" cm="1">
        <f t="array" aca="1" ref="AU144" ca="1">SUMPRODUCT(($E144:$AH144)*(AU$5=$E$5:$AH$5))</f>
        <v>266</v>
      </c>
      <c r="AV144" s="13" cm="1">
        <f t="array" aca="1" ref="AV144" ca="1">SUMPRODUCT(($E144:$AH144)*(AV$5=$E$5:$AH$5))</f>
        <v>608</v>
      </c>
      <c r="AW144" s="13" cm="1">
        <f t="array" aca="1" ref="AW144" ca="1">SUMPRODUCT(($E144:$AH144)*(AW$5=$E$5:$AH$5))</f>
        <v>608</v>
      </c>
      <c r="AZ144">
        <v>2022</v>
      </c>
      <c r="BA144" s="366" cm="1">
        <f t="array" ref="BA144">INDEX($E$144:$AH$144,1,MATCH(BA$140&amp;$AZ144,$E$7:$AH$7&amp;$E$5:$AH$5,0))</f>
        <v>45</v>
      </c>
      <c r="BB144" s="366" cm="1">
        <f t="array" ref="BB144">INDEX($E$144:$AH$144,1,MATCH(BB$140&amp;$AZ144,$E$7:$AH$7&amp;$E$5:$AH$5,0))</f>
        <v>21</v>
      </c>
      <c r="BC144" s="366" cm="1">
        <f t="array" ref="BC144">INDEX($E$144:$AH$144,1,MATCH(BC$140&amp;$AZ144,$E$7:$AH$7&amp;$E$5:$AH$5,0))</f>
        <v>21</v>
      </c>
      <c r="BD144" s="366" cm="1">
        <f t="array" ref="BD144">INDEX($E$144:$AH$144,1,MATCH(BD$140&amp;$AZ144,$E$7:$AH$7&amp;$E$5:$AH$5,0))</f>
        <v>45</v>
      </c>
      <c r="BE144" s="366" cm="1">
        <f t="array" ref="BE144">INDEX($E$144:$AH$144,1,MATCH(BE$140&amp;$AZ144,$E$7:$AH$7&amp;$E$5:$AH$5,0))</f>
        <v>85</v>
      </c>
      <c r="BF144" s="366" cm="1">
        <f t="array" ref="BF144">INDEX($E$144:$AH$144,1,MATCH(BF$140&amp;$AZ144,$E$7:$AH$7&amp;$E$5:$AH$5,0))</f>
        <v>125</v>
      </c>
      <c r="BG144" s="366" cm="1">
        <f t="array" ref="BG144">INDEX($E$144:$AH$144,1,MATCH(BG$140&amp;$AZ144,$E$7:$AH$7&amp;$E$5:$AH$5,0))</f>
        <v>85</v>
      </c>
      <c r="BH144" s="366" cm="1">
        <f t="array" ref="BH144">INDEX($E$144:$AH$144,1,MATCH(BH$140&amp;$AZ144,$E$7:$AH$7&amp;$E$5:$AH$5,0))</f>
        <v>73</v>
      </c>
      <c r="BI144" s="366" cm="1">
        <f t="array" ref="BI144">INDEX($E$144:$AH$144,1,MATCH(BI$140&amp;$AZ144,$E$7:$AH$7&amp;$E$5:$AH$5,0))</f>
        <v>45</v>
      </c>
      <c r="BJ144" s="366" cm="1">
        <f t="array" ref="BJ144">INDEX($E$144:$AH$144,1,MATCH(BJ$140&amp;$AZ144,$E$7:$AH$7&amp;$E$5:$AH$5,0))</f>
        <v>13</v>
      </c>
      <c r="BK144" s="366" cm="1">
        <f t="array" ref="BK144">INDEX($E$144:$AH$144,1,MATCH(BK$140&amp;$AZ144,$E$7:$AH$7&amp;$E$5:$AH$5,0))</f>
        <v>13</v>
      </c>
      <c r="BL144" s="366" cm="1">
        <f t="array" ref="BL144">INDEX($E$144:$AH$144,1,MATCH(BL$140&amp;$AZ144,$E$7:$AH$7&amp;$E$5:$AH$5,0))</f>
        <v>37</v>
      </c>
    </row>
    <row r="145" spans="3:49" x14ac:dyDescent="0.25">
      <c r="C145" s="1"/>
      <c r="E145" s="87"/>
      <c r="F145" s="87"/>
      <c r="G145" s="87"/>
      <c r="H145" s="87"/>
      <c r="I145" s="87"/>
      <c r="J145" s="62"/>
      <c r="K145" s="87"/>
      <c r="L145" s="87"/>
      <c r="M145" s="87"/>
      <c r="N145" s="87"/>
      <c r="O145" s="87"/>
      <c r="P145" s="63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M145" s="8"/>
    </row>
    <row r="146" spans="3:49" x14ac:dyDescent="0.25">
      <c r="C146" s="1" t="s">
        <v>116</v>
      </c>
      <c r="E146" s="87"/>
      <c r="F146" s="87"/>
      <c r="G146" s="87"/>
      <c r="H146" s="87"/>
      <c r="I146" s="87"/>
      <c r="J146" s="62"/>
      <c r="K146" s="87"/>
      <c r="L146" s="87"/>
      <c r="M146" s="87"/>
      <c r="N146" s="87"/>
      <c r="O146" s="87"/>
      <c r="P146" s="63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M146" s="8"/>
    </row>
    <row r="147" spans="3:49" x14ac:dyDescent="0.25">
      <c r="C147" s="42" t="s">
        <v>129</v>
      </c>
      <c r="E147" s="87"/>
      <c r="F147" s="87"/>
      <c r="G147" s="87"/>
      <c r="H147" s="87"/>
      <c r="I147" s="87"/>
      <c r="J147" s="62"/>
      <c r="K147" s="87"/>
      <c r="L147" s="87"/>
      <c r="M147" s="87"/>
      <c r="N147" s="87"/>
      <c r="O147" s="87"/>
      <c r="P147" s="63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M147" s="8"/>
    </row>
    <row r="148" spans="3:49" x14ac:dyDescent="0.25">
      <c r="C148" s="99" t="s">
        <v>138</v>
      </c>
      <c r="D148" s="27"/>
      <c r="E148" s="38">
        <v>15</v>
      </c>
      <c r="F148" s="38">
        <v>15</v>
      </c>
      <c r="G148" s="38">
        <v>15</v>
      </c>
      <c r="H148" s="38">
        <v>15</v>
      </c>
      <c r="I148" s="38">
        <v>15</v>
      </c>
      <c r="J148" s="38">
        <v>15</v>
      </c>
      <c r="K148" s="38">
        <v>15</v>
      </c>
      <c r="L148" s="38">
        <v>15</v>
      </c>
      <c r="M148" s="38">
        <v>15</v>
      </c>
      <c r="N148" s="38">
        <v>15</v>
      </c>
      <c r="O148" s="38">
        <v>15</v>
      </c>
      <c r="P148" s="39">
        <v>15</v>
      </c>
      <c r="Q148" s="38">
        <v>18</v>
      </c>
      <c r="R148" s="38">
        <v>18</v>
      </c>
      <c r="S148" s="38">
        <v>18</v>
      </c>
      <c r="T148" s="38">
        <v>18</v>
      </c>
      <c r="U148" s="38">
        <v>18</v>
      </c>
      <c r="V148" s="38">
        <v>18</v>
      </c>
      <c r="W148" s="38">
        <v>18</v>
      </c>
      <c r="X148" s="38">
        <v>18</v>
      </c>
      <c r="Y148" s="38">
        <v>18</v>
      </c>
      <c r="Z148" s="38">
        <v>18</v>
      </c>
      <c r="AA148" s="38">
        <v>18</v>
      </c>
      <c r="AB148" s="38">
        <v>18</v>
      </c>
      <c r="AC148" s="38">
        <v>18</v>
      </c>
      <c r="AD148" s="38">
        <v>18</v>
      </c>
      <c r="AE148" s="38">
        <v>18</v>
      </c>
      <c r="AF148" s="38">
        <v>18</v>
      </c>
      <c r="AG148" s="38">
        <v>18</v>
      </c>
      <c r="AH148" s="38">
        <v>18</v>
      </c>
      <c r="AJ148" s="27"/>
      <c r="AK148" s="27"/>
      <c r="AL148" s="27"/>
      <c r="AM148" s="28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</row>
    <row r="149" spans="3:49" x14ac:dyDescent="0.25">
      <c r="C149" s="42" t="s">
        <v>139</v>
      </c>
      <c r="E149" s="13">
        <f>E148</f>
        <v>15</v>
      </c>
      <c r="F149" s="13">
        <f t="shared" ref="F149:AH149" si="160">F148</f>
        <v>15</v>
      </c>
      <c r="G149" s="13">
        <f t="shared" si="160"/>
        <v>15</v>
      </c>
      <c r="H149" s="13">
        <f t="shared" si="160"/>
        <v>15</v>
      </c>
      <c r="I149" s="13">
        <f t="shared" si="160"/>
        <v>15</v>
      </c>
      <c r="J149" s="61">
        <f t="shared" si="160"/>
        <v>15</v>
      </c>
      <c r="K149" s="13">
        <f t="shared" si="160"/>
        <v>15</v>
      </c>
      <c r="L149" s="13">
        <f t="shared" si="160"/>
        <v>15</v>
      </c>
      <c r="M149" s="13">
        <f t="shared" si="160"/>
        <v>15</v>
      </c>
      <c r="N149" s="13">
        <f t="shared" si="160"/>
        <v>15</v>
      </c>
      <c r="O149" s="13">
        <f t="shared" si="160"/>
        <v>15</v>
      </c>
      <c r="P149" s="17">
        <f t="shared" si="160"/>
        <v>15</v>
      </c>
      <c r="Q149" s="13">
        <f t="shared" si="160"/>
        <v>18</v>
      </c>
      <c r="R149" s="13">
        <f t="shared" si="160"/>
        <v>18</v>
      </c>
      <c r="S149" s="13">
        <f t="shared" si="160"/>
        <v>18</v>
      </c>
      <c r="T149" s="13">
        <f t="shared" si="160"/>
        <v>18</v>
      </c>
      <c r="U149" s="13">
        <f t="shared" si="160"/>
        <v>18</v>
      </c>
      <c r="V149" s="13">
        <f t="shared" si="160"/>
        <v>18</v>
      </c>
      <c r="W149" s="13">
        <f t="shared" si="160"/>
        <v>18</v>
      </c>
      <c r="X149" s="13">
        <f t="shared" si="160"/>
        <v>18</v>
      </c>
      <c r="Y149" s="13">
        <f t="shared" si="160"/>
        <v>18</v>
      </c>
      <c r="Z149" s="13">
        <f t="shared" si="160"/>
        <v>18</v>
      </c>
      <c r="AA149" s="13">
        <f t="shared" si="160"/>
        <v>18</v>
      </c>
      <c r="AB149" s="13">
        <f t="shared" si="160"/>
        <v>18</v>
      </c>
      <c r="AC149" s="13">
        <f t="shared" si="160"/>
        <v>18</v>
      </c>
      <c r="AD149" s="13">
        <f t="shared" si="160"/>
        <v>18</v>
      </c>
      <c r="AE149" s="13">
        <f t="shared" si="160"/>
        <v>18</v>
      </c>
      <c r="AF149" s="13">
        <f t="shared" si="160"/>
        <v>18</v>
      </c>
      <c r="AG149" s="13">
        <f t="shared" si="160"/>
        <v>18</v>
      </c>
      <c r="AH149" s="13">
        <f t="shared" si="160"/>
        <v>18</v>
      </c>
      <c r="AJ149" s="13" cm="1">
        <f t="array" aca="1" ref="AJ149" ca="1">SUMPRODUCT(($E149:$AH149)*(AJ$3&amp;AJ$4&amp;AJ$5&amp;AJ$6=$E$3:$AH$3&amp;$E$4:$AH$4&amp;$E$5:$AH$5&amp;$E$6:$AH$6))</f>
        <v>45</v>
      </c>
      <c r="AK149" s="13" cm="1">
        <f t="array" aca="1" ref="AK149" ca="1">SUMPRODUCT(($E149:$AH149)*(AK$3=$E$3:$AH$3)*(AK$4=$E$4:$AH$4)*(AK$5=$E$5:$AH$5)*(AK$6=$E$6:$AH$6))</f>
        <v>45</v>
      </c>
      <c r="AL149" s="13" cm="1">
        <f t="array" aca="1" ref="AL149" ca="1">SUMPRODUCT(($E149:$AH149)*(AL$3=$E$3:$AH$3)*(AL$4=$E$4:$AH$4)*(AL$5=$E$5:$AH$5)*(AL$6=$E$6:$AH$6))</f>
        <v>45</v>
      </c>
      <c r="AM149" s="17" cm="1">
        <f t="array" aca="1" ref="AM149" ca="1">SUMPRODUCT(($E149:$AH149)*(AM$3=$E$3:$AH$3)*(AM$4=$E$4:$AH$4)*(AM$5=$E$5:$AH$5)*(AM$6=$E$6:$AH$6))</f>
        <v>45</v>
      </c>
      <c r="AN149" s="13" cm="1">
        <f t="array" aca="1" ref="AN149" ca="1">SUMPRODUCT(($E149:$AH149)*(AN$3=$E$3:$AH$3)*(AN$4=$E$4:$AH$4)*(AN$5=$E$5:$AH$5)*(AN$6=$E$6:$AH$6))</f>
        <v>54</v>
      </c>
      <c r="AO149" s="13" cm="1">
        <f t="array" aca="1" ref="AO149" ca="1">SUMPRODUCT(($E149:$AH149)*(AO$3=$E$3:$AH$3)*(AO$4=$E$4:$AH$4)*(AO$5=$E$5:$AH$5)*(AO$6=$E$6:$AH$6))</f>
        <v>54</v>
      </c>
      <c r="AP149" s="13" cm="1">
        <f t="array" aca="1" ref="AP149" ca="1">SUMPRODUCT(($E149:$AH149)*(AP$3=$E$3:$AH$3)*(AP$4=$E$4:$AH$4)*(AP$5=$E$5:$AH$5)*(AP$6=$E$6:$AH$6))</f>
        <v>54</v>
      </c>
      <c r="AQ149" s="13" cm="1">
        <f t="array" aca="1" ref="AQ149" ca="1">SUMPRODUCT(($E149:$AH149)*(AQ$3=$E$3:$AH$3)*(AQ$4=$E$4:$AH$4)*(AQ$5=$E$5:$AH$5)*(AQ$6=$E$6:$AH$6))</f>
        <v>54</v>
      </c>
      <c r="AR149" s="13" cm="1">
        <f t="array" aca="1" ref="AR149" ca="1">SUMPRODUCT(($E149:$AH149)*(AR$3=$E$3:$AH$3)*(AR$4=$E$4:$AH$4)*(AR$5=$E$5:$AH$5)*(AR$6=$E$6:$AH$6))</f>
        <v>54</v>
      </c>
      <c r="AS149" s="13" cm="1">
        <f t="array" aca="1" ref="AS149" ca="1">SUMPRODUCT(($E149:$AH149)*(AS$3=$E$3:$AH$3)*(AS$4=$E$4:$AH$4)*(AS$5=$E$5:$AH$5)*(AS$6=$E$6:$AH$6))</f>
        <v>54</v>
      </c>
      <c r="AT149" s="13"/>
      <c r="AU149" s="13" cm="1">
        <f t="array" aca="1" ref="AU149" ca="1">SUMPRODUCT(($E149:$AH149)*(AU$5=$E$5:$AH$5))</f>
        <v>90</v>
      </c>
      <c r="AV149" s="13" cm="1">
        <f t="array" aca="1" ref="AV149" ca="1">SUMPRODUCT(($E149:$AH149)*(AV$5=$E$5:$AH$5))</f>
        <v>198</v>
      </c>
      <c r="AW149" s="13" cm="1">
        <f t="array" aca="1" ref="AW149" ca="1">SUMPRODUCT(($E149:$AH149)*(AW$5=$E$5:$AH$5))</f>
        <v>216</v>
      </c>
    </row>
    <row r="150" spans="3:49" x14ac:dyDescent="0.25">
      <c r="C150" s="42"/>
      <c r="E150" s="87"/>
      <c r="F150" s="87"/>
      <c r="G150" s="87"/>
      <c r="H150" s="87"/>
      <c r="I150" s="87"/>
      <c r="J150" s="62"/>
      <c r="K150" s="87"/>
      <c r="L150" s="87"/>
      <c r="M150" s="87"/>
      <c r="N150" s="87"/>
      <c r="O150" s="87"/>
      <c r="P150" s="63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M150" s="8"/>
    </row>
    <row r="151" spans="3:49" x14ac:dyDescent="0.25">
      <c r="C151" s="42" t="s">
        <v>130</v>
      </c>
      <c r="E151" s="87"/>
      <c r="F151" s="87"/>
      <c r="G151" s="87"/>
      <c r="H151" s="87"/>
      <c r="I151" s="87"/>
      <c r="J151" s="62"/>
      <c r="K151" s="87"/>
      <c r="L151" s="87"/>
      <c r="M151" s="87"/>
      <c r="N151" s="87"/>
      <c r="O151" s="87"/>
      <c r="P151" s="63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M151" s="8"/>
    </row>
    <row r="152" spans="3:49" x14ac:dyDescent="0.25">
      <c r="C152" s="100" t="s">
        <v>140</v>
      </c>
      <c r="E152" s="80">
        <f>Revenue!E44</f>
        <v>260240.43562125921</v>
      </c>
      <c r="F152" s="80">
        <f>Revenue!F44</f>
        <v>230509.93525365114</v>
      </c>
      <c r="G152" s="80">
        <f>Revenue!G44</f>
        <v>198327.34520530072</v>
      </c>
      <c r="H152" s="80">
        <f>Revenue!H44</f>
        <v>206511.92080969442</v>
      </c>
      <c r="I152" s="80">
        <f>Revenue!I44</f>
        <v>183375.69470653331</v>
      </c>
      <c r="J152" s="81">
        <f>Revenue!J44</f>
        <v>217599.55551154693</v>
      </c>
      <c r="K152" s="80">
        <f>Revenue!K44</f>
        <v>250940.26467379177</v>
      </c>
      <c r="L152" s="80">
        <f>Revenue!L44</f>
        <v>216825.70680027452</v>
      </c>
      <c r="M152" s="80">
        <f>Revenue!M44</f>
        <v>198340.23793072524</v>
      </c>
      <c r="N152" s="80">
        <f>Revenue!N44</f>
        <v>232561.85068582834</v>
      </c>
      <c r="O152" s="80">
        <f>Revenue!O44</f>
        <v>241296.02111192641</v>
      </c>
      <c r="P152" s="82">
        <f>Revenue!P44</f>
        <v>251714.48475674939</v>
      </c>
      <c r="Q152" s="80">
        <f>Revenue!Q44</f>
        <v>270650.05304610956</v>
      </c>
      <c r="R152" s="80">
        <f>Revenue!R44</f>
        <v>239730.33266379719</v>
      </c>
      <c r="S152" s="80">
        <f>Revenue!S44</f>
        <v>206260.43901351275</v>
      </c>
      <c r="T152" s="80">
        <f>Revenue!T44</f>
        <v>214772.39764208221</v>
      </c>
      <c r="U152" s="80">
        <f>Revenue!U44</f>
        <v>190710.72249479464</v>
      </c>
      <c r="V152" s="80">
        <f>Revenue!V44</f>
        <v>226303.53773200882</v>
      </c>
      <c r="W152" s="80">
        <f>Revenue!W44</f>
        <v>260977.87526074346</v>
      </c>
      <c r="X152" s="80">
        <f>Revenue!X44</f>
        <v>225498.73507228552</v>
      </c>
      <c r="Y152" s="80">
        <f>Revenue!Y44</f>
        <v>206273.84744795426</v>
      </c>
      <c r="Z152" s="80">
        <f>Revenue!Z44</f>
        <v>241864.32471326148</v>
      </c>
      <c r="AA152" s="80">
        <f>Revenue!AA44</f>
        <v>250947.86195640347</v>
      </c>
      <c r="AB152" s="80">
        <f>Revenue!AB44</f>
        <v>261783.06414701938</v>
      </c>
      <c r="AC152" s="80">
        <f>Revenue!AC44</f>
        <v>281476.05516795395</v>
      </c>
      <c r="AD152" s="80">
        <f>Revenue!AD44</f>
        <v>249319.54597034908</v>
      </c>
      <c r="AE152" s="80">
        <f>Revenue!AE44</f>
        <v>214510.85657405326</v>
      </c>
      <c r="AF152" s="80">
        <f>Revenue!AF44</f>
        <v>223363.2935477655</v>
      </c>
      <c r="AG152" s="80">
        <f>Revenue!AG44</f>
        <v>198339.15139458643</v>
      </c>
      <c r="AH152" s="80">
        <f>Revenue!AH44</f>
        <v>235355.67924128918</v>
      </c>
      <c r="AM152" s="8"/>
    </row>
    <row r="153" spans="3:49" x14ac:dyDescent="0.25">
      <c r="C153" s="99" t="s">
        <v>141</v>
      </c>
      <c r="D153" s="27"/>
      <c r="E153" s="95">
        <v>1.1571619500000003</v>
      </c>
      <c r="F153" s="95">
        <v>1.1571619500000003</v>
      </c>
      <c r="G153" s="95">
        <v>1.1089468687500001</v>
      </c>
      <c r="H153" s="95">
        <v>1.01251670625</v>
      </c>
      <c r="I153" s="95">
        <v>1.01251670625</v>
      </c>
      <c r="J153" s="95">
        <v>1.0607317875</v>
      </c>
      <c r="K153" s="95">
        <v>0.96430162500000005</v>
      </c>
      <c r="L153" s="95">
        <v>0.96430162500000005</v>
      </c>
      <c r="M153" s="95">
        <v>1.01251670625</v>
      </c>
      <c r="N153" s="95">
        <v>0.96430162500000005</v>
      </c>
      <c r="O153" s="95">
        <v>1.0607317875</v>
      </c>
      <c r="P153" s="96">
        <v>1.1571619500000003</v>
      </c>
      <c r="Q153" s="94">
        <f>AVERAGE(K153:P153)</f>
        <v>1.0205525531250002</v>
      </c>
      <c r="R153" s="94">
        <f>Q153</f>
        <v>1.0205525531250002</v>
      </c>
      <c r="S153" s="94">
        <f t="shared" ref="S153:AH153" si="161">R153</f>
        <v>1.0205525531250002</v>
      </c>
      <c r="T153" s="94">
        <f t="shared" si="161"/>
        <v>1.0205525531250002</v>
      </c>
      <c r="U153" s="94">
        <f t="shared" si="161"/>
        <v>1.0205525531250002</v>
      </c>
      <c r="V153" s="94">
        <f t="shared" si="161"/>
        <v>1.0205525531250002</v>
      </c>
      <c r="W153" s="94">
        <f t="shared" si="161"/>
        <v>1.0205525531250002</v>
      </c>
      <c r="X153" s="94">
        <f t="shared" si="161"/>
        <v>1.0205525531250002</v>
      </c>
      <c r="Y153" s="94">
        <f t="shared" si="161"/>
        <v>1.0205525531250002</v>
      </c>
      <c r="Z153" s="94">
        <f t="shared" si="161"/>
        <v>1.0205525531250002</v>
      </c>
      <c r="AA153" s="94">
        <f t="shared" si="161"/>
        <v>1.0205525531250002</v>
      </c>
      <c r="AB153" s="94">
        <f t="shared" si="161"/>
        <v>1.0205525531250002</v>
      </c>
      <c r="AC153" s="94">
        <f t="shared" si="161"/>
        <v>1.0205525531250002</v>
      </c>
      <c r="AD153" s="94">
        <f t="shared" si="161"/>
        <v>1.0205525531250002</v>
      </c>
      <c r="AE153" s="94">
        <f t="shared" si="161"/>
        <v>1.0205525531250002</v>
      </c>
      <c r="AF153" s="94">
        <f t="shared" si="161"/>
        <v>1.0205525531250002</v>
      </c>
      <c r="AG153" s="94">
        <f t="shared" si="161"/>
        <v>1.0205525531250002</v>
      </c>
      <c r="AH153" s="94">
        <f t="shared" si="161"/>
        <v>1.0205525531250002</v>
      </c>
      <c r="AJ153" s="27"/>
      <c r="AK153" s="27"/>
      <c r="AL153" s="27"/>
      <c r="AM153" s="28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3:49" x14ac:dyDescent="0.25">
      <c r="C154" s="42" t="s">
        <v>142</v>
      </c>
      <c r="E154" s="31">
        <f>E152*E153/1000</f>
        <v>301.14032995234589</v>
      </c>
      <c r="F154" s="31">
        <f t="shared" ref="F154:AH154" si="162">F152*F153/1000</f>
        <v>266.73732617248879</v>
      </c>
      <c r="G154" s="31">
        <f t="shared" si="162"/>
        <v>219.9344884529186</v>
      </c>
      <c r="H154" s="31">
        <f t="shared" si="162"/>
        <v>209.09676985959263</v>
      </c>
      <c r="I154" s="31">
        <f t="shared" si="162"/>
        <v>185.67095441056469</v>
      </c>
      <c r="J154" s="37">
        <f t="shared" si="162"/>
        <v>230.81476547696863</v>
      </c>
      <c r="K154" s="31">
        <f t="shared" si="162"/>
        <v>241.98210500286751</v>
      </c>
      <c r="L154" s="31">
        <f t="shared" si="162"/>
        <v>209.08538140927828</v>
      </c>
      <c r="M154" s="31">
        <f t="shared" si="162"/>
        <v>200.82280442645924</v>
      </c>
      <c r="N154" s="31">
        <f t="shared" si="162"/>
        <v>224.25977052935164</v>
      </c>
      <c r="O154" s="31">
        <f t="shared" si="162"/>
        <v>255.95035979069144</v>
      </c>
      <c r="P154" s="32">
        <f t="shared" si="162"/>
        <v>291.27442402436549</v>
      </c>
      <c r="Q154" s="13">
        <f t="shared" si="162"/>
        <v>276.21260263962387</v>
      </c>
      <c r="R154" s="13">
        <f t="shared" si="162"/>
        <v>244.65740306154385</v>
      </c>
      <c r="S154" s="13">
        <f t="shared" si="162"/>
        <v>210.49961764392381</v>
      </c>
      <c r="T154" s="13">
        <f t="shared" si="162"/>
        <v>219.18651875440477</v>
      </c>
      <c r="U154" s="13">
        <f t="shared" si="162"/>
        <v>194.63031475037607</v>
      </c>
      <c r="V154" s="13">
        <f t="shared" si="162"/>
        <v>230.95465321362141</v>
      </c>
      <c r="W154" s="13">
        <f t="shared" si="162"/>
        <v>266.34163690648955</v>
      </c>
      <c r="X154" s="13">
        <f t="shared" si="162"/>
        <v>230.13330980447901</v>
      </c>
      <c r="Y154" s="13">
        <f t="shared" si="162"/>
        <v>210.51330165592651</v>
      </c>
      <c r="Z154" s="13">
        <f t="shared" si="162"/>
        <v>246.83525409597306</v>
      </c>
      <c r="AA154" s="13">
        <f t="shared" si="162"/>
        <v>256.10548122086766</v>
      </c>
      <c r="AB154" s="13">
        <f t="shared" si="162"/>
        <v>267.16337448012632</v>
      </c>
      <c r="AC154" s="13">
        <f t="shared" si="162"/>
        <v>287.26110674520879</v>
      </c>
      <c r="AD154" s="13">
        <f t="shared" si="162"/>
        <v>254.4436991840056</v>
      </c>
      <c r="AE154" s="13">
        <f t="shared" si="162"/>
        <v>218.91960234968079</v>
      </c>
      <c r="AF154" s="13">
        <f t="shared" si="162"/>
        <v>227.95397950458096</v>
      </c>
      <c r="AG154" s="13">
        <f t="shared" si="162"/>
        <v>202.41552734039112</v>
      </c>
      <c r="AH154" s="13">
        <f t="shared" si="162"/>
        <v>240.19283934216625</v>
      </c>
      <c r="AJ154" s="13" cm="1">
        <f t="array" aca="1" ref="AJ154" ca="1">SUMPRODUCT(($E154:$AH154)*(AJ$3&amp;AJ$4&amp;AJ$5&amp;AJ$6=$E$3:$AH$3&amp;$E$4:$AH$4&amp;$E$5:$AH$5&amp;$E$6:$AH$6))</f>
        <v>787.8121445777532</v>
      </c>
      <c r="AK154" s="13" cm="1">
        <f t="array" aca="1" ref="AK154" ca="1">SUMPRODUCT(($E154:$AH154)*(AK$3=$E$3:$AH$3)*(AK$4=$E$4:$AH$4)*(AK$5=$E$5:$AH$5)*(AK$6=$E$6:$AH$6))</f>
        <v>625.58248974712592</v>
      </c>
      <c r="AL154" s="13" cm="1">
        <f t="array" aca="1" ref="AL154" ca="1">SUMPRODUCT(($E154:$AH154)*(AL$3=$E$3:$AH$3)*(AL$4=$E$4:$AH$4)*(AL$5=$E$5:$AH$5)*(AL$6=$E$6:$AH$6))</f>
        <v>651.8902908386051</v>
      </c>
      <c r="AM154" s="17" cm="1">
        <f t="array" aca="1" ref="AM154" ca="1">SUMPRODUCT(($E154:$AH154)*(AM$3=$E$3:$AH$3)*(AM$4=$E$4:$AH$4)*(AM$5=$E$5:$AH$5)*(AM$6=$E$6:$AH$6))</f>
        <v>771.48455434440848</v>
      </c>
      <c r="AN154" s="13" cm="1">
        <f t="array" aca="1" ref="AN154" ca="1">SUMPRODUCT(($E154:$AH154)*(AN$3=$E$3:$AH$3)*(AN$4=$E$4:$AH$4)*(AN$5=$E$5:$AH$5)*(AN$6=$E$6:$AH$6))</f>
        <v>731.36962334509144</v>
      </c>
      <c r="AO154" s="13" cm="1">
        <f t="array" aca="1" ref="AO154" ca="1">SUMPRODUCT(($E154:$AH154)*(AO$3=$E$3:$AH$3)*(AO$4=$E$4:$AH$4)*(AO$5=$E$5:$AH$5)*(AO$6=$E$6:$AH$6))</f>
        <v>644.77148671840223</v>
      </c>
      <c r="AP154" s="13" cm="1">
        <f t="array" aca="1" ref="AP154" ca="1">SUMPRODUCT(($E154:$AH154)*(AP$3=$E$3:$AH$3)*(AP$4=$E$4:$AH$4)*(AP$5=$E$5:$AH$5)*(AP$6=$E$6:$AH$6))</f>
        <v>706.98824836689505</v>
      </c>
      <c r="AQ154" s="13" cm="1">
        <f t="array" aca="1" ref="AQ154" ca="1">SUMPRODUCT(($E154:$AH154)*(AQ$3=$E$3:$AH$3)*(AQ$4=$E$4:$AH$4)*(AQ$5=$E$5:$AH$5)*(AQ$6=$E$6:$AH$6))</f>
        <v>770.10410979696701</v>
      </c>
      <c r="AR154" s="13" cm="1">
        <f t="array" aca="1" ref="AR154" ca="1">SUMPRODUCT(($E154:$AH154)*(AR$3=$E$3:$AH$3)*(AR$4=$E$4:$AH$4)*(AR$5=$E$5:$AH$5)*(AR$6=$E$6:$AH$6))</f>
        <v>760.6244082788952</v>
      </c>
      <c r="AS154" s="13" cm="1">
        <f t="array" aca="1" ref="AS154" ca="1">SUMPRODUCT(($E154:$AH154)*(AS$3=$E$3:$AH$3)*(AS$4=$E$4:$AH$4)*(AS$5=$E$5:$AH$5)*(AS$6=$E$6:$AH$6))</f>
        <v>670.56234618713836</v>
      </c>
      <c r="AT154" s="13"/>
      <c r="AU154" s="13" cm="1">
        <f t="array" aca="1" ref="AU154" ca="1">SUMPRODUCT(($E154:$AH154)*(AU$5=$E$5:$AH$5))</f>
        <v>1413.3946343248792</v>
      </c>
      <c r="AV154" s="13" cm="1">
        <f t="array" aca="1" ref="AV154" ca="1">SUMPRODUCT(($E154:$AH154)*(AV$5=$E$5:$AH$5))</f>
        <v>2799.5159552465075</v>
      </c>
      <c r="AW154" s="13" cm="1">
        <f t="array" aca="1" ref="AW154" ca="1">SUMPRODUCT(($E154:$AH154)*(AW$5=$E$5:$AH$5))</f>
        <v>2908.2791126298957</v>
      </c>
    </row>
    <row r="155" spans="3:49" x14ac:dyDescent="0.25">
      <c r="C155" s="42"/>
      <c r="E155" s="87"/>
      <c r="F155" s="87"/>
      <c r="G155" s="87"/>
      <c r="H155" s="87"/>
      <c r="I155" s="87"/>
      <c r="J155" s="62"/>
      <c r="K155" s="87"/>
      <c r="L155" s="87"/>
      <c r="M155" s="87"/>
      <c r="N155" s="87"/>
      <c r="O155" s="87"/>
      <c r="P155" s="63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M155" s="8"/>
    </row>
    <row r="156" spans="3:49" x14ac:dyDescent="0.25">
      <c r="C156" s="42" t="s">
        <v>136</v>
      </c>
      <c r="E156" s="97"/>
      <c r="F156" s="87"/>
      <c r="G156" s="87"/>
      <c r="H156" s="87"/>
      <c r="I156" s="87"/>
      <c r="J156" s="62"/>
      <c r="K156" s="87"/>
      <c r="L156" s="87"/>
      <c r="M156" s="87"/>
      <c r="N156" s="87"/>
      <c r="O156" s="87"/>
      <c r="P156" s="63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M156" s="8"/>
    </row>
    <row r="157" spans="3:49" x14ac:dyDescent="0.25">
      <c r="C157" s="100" t="s">
        <v>143</v>
      </c>
      <c r="E157" s="80">
        <f>Revenue!E46</f>
        <v>55971.055266467527</v>
      </c>
      <c r="F157" s="80">
        <f>Revenue!F46</f>
        <v>50254.086052397084</v>
      </c>
      <c r="G157" s="80">
        <f>Revenue!G46</f>
        <v>45312.579691087107</v>
      </c>
      <c r="H157" s="80">
        <f>Revenue!H46</f>
        <v>47725.23421171253</v>
      </c>
      <c r="I157" s="80">
        <f>Revenue!I46</f>
        <v>43666.856397975353</v>
      </c>
      <c r="J157" s="81">
        <f>Revenue!J46</f>
        <v>50319.756413845069</v>
      </c>
      <c r="K157" s="80">
        <f>Revenue!K46</f>
        <v>53676.131536539215</v>
      </c>
      <c r="L157" s="80">
        <f>Revenue!L46</f>
        <v>50217.230143148663</v>
      </c>
      <c r="M157" s="80">
        <f>Revenue!M46</f>
        <v>44544.044657853345</v>
      </c>
      <c r="N157" s="80">
        <f>Revenue!N46</f>
        <v>55541.209424923713</v>
      </c>
      <c r="O157" s="80">
        <f>Revenue!O46</f>
        <v>53955.178687652551</v>
      </c>
      <c r="P157" s="82">
        <f>Revenue!P46</f>
        <v>54495.766604981982</v>
      </c>
      <c r="Q157" s="80">
        <f>Revenue!Q46</f>
        <v>57370.331648129213</v>
      </c>
      <c r="R157" s="80">
        <f>Revenue!R46</f>
        <v>51510.43820370701</v>
      </c>
      <c r="S157" s="80">
        <f>Revenue!S46</f>
        <v>46445.394183364282</v>
      </c>
      <c r="T157" s="80">
        <f>Revenue!T46</f>
        <v>48918.365067005339</v>
      </c>
      <c r="U157" s="80">
        <f>Revenue!U46</f>
        <v>44758.527807924729</v>
      </c>
      <c r="V157" s="80">
        <f>Revenue!V46</f>
        <v>51577.750324191191</v>
      </c>
      <c r="W157" s="80">
        <f>Revenue!W46</f>
        <v>55018.034824952687</v>
      </c>
      <c r="X157" s="80">
        <f>Revenue!X46</f>
        <v>51472.660896727379</v>
      </c>
      <c r="Y157" s="80">
        <f>Revenue!Y46</f>
        <v>45657.645774299672</v>
      </c>
      <c r="Z157" s="80">
        <f>Revenue!Z46</f>
        <v>56929.739660546802</v>
      </c>
      <c r="AA157" s="80">
        <f>Revenue!AA46</f>
        <v>55304.058154843857</v>
      </c>
      <c r="AB157" s="80">
        <f>Revenue!AB46</f>
        <v>55858.16077010653</v>
      </c>
      <c r="AC157" s="80">
        <f>Revenue!AC46</f>
        <v>58804.589939332436</v>
      </c>
      <c r="AD157" s="80">
        <f>Revenue!AD46</f>
        <v>52798.199158799682</v>
      </c>
      <c r="AE157" s="80">
        <f>Revenue!AE46</f>
        <v>47606.529037948385</v>
      </c>
      <c r="AF157" s="80">
        <f>Revenue!AF46</f>
        <v>50141.32419368047</v>
      </c>
      <c r="AG157" s="80">
        <f>Revenue!AG46</f>
        <v>45877.491003122843</v>
      </c>
      <c r="AH157" s="80">
        <f>Revenue!AH46</f>
        <v>52867.194082295966</v>
      </c>
      <c r="AM157" s="8"/>
    </row>
    <row r="158" spans="3:49" x14ac:dyDescent="0.25">
      <c r="C158" s="99" t="s">
        <v>141</v>
      </c>
      <c r="D158" s="27"/>
      <c r="E158" s="95">
        <v>1.1647125</v>
      </c>
      <c r="F158" s="95">
        <v>1.1245500000000002</v>
      </c>
      <c r="G158" s="95">
        <v>1.0040625000000001</v>
      </c>
      <c r="H158" s="95">
        <v>0.9639000000000002</v>
      </c>
      <c r="I158" s="95">
        <v>0.9639000000000002</v>
      </c>
      <c r="J158" s="95">
        <v>0.9639000000000002</v>
      </c>
      <c r="K158" s="95">
        <v>0.84341250000000001</v>
      </c>
      <c r="L158" s="95">
        <v>0.84341250000000001</v>
      </c>
      <c r="M158" s="95">
        <v>0.88357499999999989</v>
      </c>
      <c r="N158" s="95">
        <v>0.84341250000000001</v>
      </c>
      <c r="O158" s="95">
        <v>1.0040625000000001</v>
      </c>
      <c r="P158" s="96">
        <v>1.1245500000000002</v>
      </c>
      <c r="Q158" s="94">
        <f>AVERAGE(K158:P158)</f>
        <v>0.92373749999999999</v>
      </c>
      <c r="R158" s="94">
        <f>Q158</f>
        <v>0.92373749999999999</v>
      </c>
      <c r="S158" s="94">
        <f t="shared" ref="S158:AH158" si="163">R158</f>
        <v>0.92373749999999999</v>
      </c>
      <c r="T158" s="94">
        <f t="shared" si="163"/>
        <v>0.92373749999999999</v>
      </c>
      <c r="U158" s="94">
        <f t="shared" si="163"/>
        <v>0.92373749999999999</v>
      </c>
      <c r="V158" s="94">
        <f t="shared" si="163"/>
        <v>0.92373749999999999</v>
      </c>
      <c r="W158" s="94">
        <f t="shared" si="163"/>
        <v>0.92373749999999999</v>
      </c>
      <c r="X158" s="94">
        <f t="shared" si="163"/>
        <v>0.92373749999999999</v>
      </c>
      <c r="Y158" s="94">
        <f t="shared" si="163"/>
        <v>0.92373749999999999</v>
      </c>
      <c r="Z158" s="94">
        <f t="shared" si="163"/>
        <v>0.92373749999999999</v>
      </c>
      <c r="AA158" s="94">
        <f t="shared" si="163"/>
        <v>0.92373749999999999</v>
      </c>
      <c r="AB158" s="94">
        <f t="shared" si="163"/>
        <v>0.92373749999999999</v>
      </c>
      <c r="AC158" s="94">
        <f t="shared" si="163"/>
        <v>0.92373749999999999</v>
      </c>
      <c r="AD158" s="94">
        <f t="shared" si="163"/>
        <v>0.92373749999999999</v>
      </c>
      <c r="AE158" s="94">
        <f t="shared" si="163"/>
        <v>0.92373749999999999</v>
      </c>
      <c r="AF158" s="94">
        <f t="shared" si="163"/>
        <v>0.92373749999999999</v>
      </c>
      <c r="AG158" s="94">
        <f t="shared" si="163"/>
        <v>0.92373749999999999</v>
      </c>
      <c r="AH158" s="94">
        <f t="shared" si="163"/>
        <v>0.92373749999999999</v>
      </c>
      <c r="AJ158" s="27"/>
      <c r="AK158" s="27"/>
      <c r="AL158" s="27"/>
      <c r="AM158" s="28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3:49" x14ac:dyDescent="0.25">
      <c r="C159" s="42" t="s">
        <v>144</v>
      </c>
      <c r="E159" s="31">
        <f>E157*E158/1000</f>
        <v>65.190187707045553</v>
      </c>
      <c r="F159" s="31">
        <f t="shared" ref="F159:AH159" si="164">F157*F158/1000</f>
        <v>56.513232470223151</v>
      </c>
      <c r="G159" s="31">
        <f t="shared" si="164"/>
        <v>45.49666204608215</v>
      </c>
      <c r="H159" s="31">
        <f t="shared" si="164"/>
        <v>46.002353256669714</v>
      </c>
      <c r="I159" s="31">
        <f t="shared" si="164"/>
        <v>42.090482882008452</v>
      </c>
      <c r="J159" s="37">
        <f t="shared" si="164"/>
        <v>48.503213207305272</v>
      </c>
      <c r="K159" s="31">
        <f t="shared" si="164"/>
        <v>45.271120289561381</v>
      </c>
      <c r="L159" s="31">
        <f t="shared" si="164"/>
        <v>42.353839618108374</v>
      </c>
      <c r="M159" s="31">
        <f t="shared" si="164"/>
        <v>39.358004258562765</v>
      </c>
      <c r="N159" s="31">
        <f t="shared" si="164"/>
        <v>46.844150294098469</v>
      </c>
      <c r="O159" s="31">
        <f t="shared" si="164"/>
        <v>54.174371601071144</v>
      </c>
      <c r="P159" s="32">
        <f t="shared" si="164"/>
        <v>61.283214335632493</v>
      </c>
      <c r="Q159" s="31">
        <f t="shared" si="164"/>
        <v>52.995126730813759</v>
      </c>
      <c r="R159" s="31">
        <f t="shared" si="164"/>
        <v>47.5821234101968</v>
      </c>
      <c r="S159" s="31">
        <f t="shared" si="164"/>
        <v>42.903352309455464</v>
      </c>
      <c r="T159" s="31">
        <f t="shared" si="164"/>
        <v>45.187728251082845</v>
      </c>
      <c r="U159" s="31">
        <f t="shared" si="164"/>
        <v>41.345130580972864</v>
      </c>
      <c r="V159" s="31">
        <f t="shared" si="164"/>
        <v>47.644302140092556</v>
      </c>
      <c r="W159" s="31">
        <f t="shared" si="164"/>
        <v>50.82222194411473</v>
      </c>
      <c r="X159" s="31">
        <f t="shared" si="164"/>
        <v>47.547227095090705</v>
      </c>
      <c r="Y159" s="31">
        <f t="shared" si="164"/>
        <v>42.175679563437143</v>
      </c>
      <c r="Z159" s="31">
        <f t="shared" si="164"/>
        <v>52.588135389684354</v>
      </c>
      <c r="AA159" s="31">
        <f t="shared" si="164"/>
        <v>51.086432419810073</v>
      </c>
      <c r="AB159" s="31">
        <f t="shared" si="164"/>
        <v>51.598277784376279</v>
      </c>
      <c r="AC159" s="31">
        <f t="shared" si="164"/>
        <v>54.320004899084097</v>
      </c>
      <c r="AD159" s="31">
        <f t="shared" si="164"/>
        <v>48.771676495451722</v>
      </c>
      <c r="AE159" s="31">
        <f t="shared" si="164"/>
        <v>43.975936117191843</v>
      </c>
      <c r="AF159" s="31">
        <f t="shared" si="164"/>
        <v>46.317421457359906</v>
      </c>
      <c r="AG159" s="31">
        <f t="shared" si="164"/>
        <v>42.378758845497188</v>
      </c>
      <c r="AH159" s="31">
        <f t="shared" si="164"/>
        <v>48.835409693594869</v>
      </c>
      <c r="AJ159" s="13" cm="1">
        <f t="array" aca="1" ref="AJ159" ca="1">SUMPRODUCT(($E159:$AH159)*(AJ$3&amp;AJ$4&amp;AJ$5&amp;AJ$6=$E$3:$AH$3&amp;$E$4:$AH$4&amp;$E$5:$AH$5&amp;$E$6:$AH$6))</f>
        <v>167.20008222335085</v>
      </c>
      <c r="AK159" s="13" cm="1">
        <f t="array" aca="1" ref="AK159" ca="1">SUMPRODUCT(($E159:$AH159)*(AK$3=$E$3:$AH$3)*(AK$4=$E$4:$AH$4)*(AK$5=$E$5:$AH$5)*(AK$6=$E$6:$AH$6))</f>
        <v>136.59604934598343</v>
      </c>
      <c r="AL159" s="13" cm="1">
        <f t="array" aca="1" ref="AL159" ca="1">SUMPRODUCT(($E159:$AH159)*(AL$3=$E$3:$AH$3)*(AL$4=$E$4:$AH$4)*(AL$5=$E$5:$AH$5)*(AL$6=$E$6:$AH$6))</f>
        <v>126.98296416623253</v>
      </c>
      <c r="AM159" s="17" cm="1">
        <f t="array" aca="1" ref="AM159" ca="1">SUMPRODUCT(($E159:$AH159)*(AM$3=$E$3:$AH$3)*(AM$4=$E$4:$AH$4)*(AM$5=$E$5:$AH$5)*(AM$6=$E$6:$AH$6))</f>
        <v>162.30173623080211</v>
      </c>
      <c r="AN159" s="13" cm="1">
        <f t="array" aca="1" ref="AN159" ca="1">SUMPRODUCT(($E159:$AH159)*(AN$3=$E$3:$AH$3)*(AN$4=$E$4:$AH$4)*(AN$5=$E$5:$AH$5)*(AN$6=$E$6:$AH$6))</f>
        <v>143.48060245046602</v>
      </c>
      <c r="AO159" s="13" cm="1">
        <f t="array" aca="1" ref="AO159" ca="1">SUMPRODUCT(($E159:$AH159)*(AO$3=$E$3:$AH$3)*(AO$4=$E$4:$AH$4)*(AO$5=$E$5:$AH$5)*(AO$6=$E$6:$AH$6))</f>
        <v>134.17716097214827</v>
      </c>
      <c r="AP159" s="13" cm="1">
        <f t="array" aca="1" ref="AP159" ca="1">SUMPRODUCT(($E159:$AH159)*(AP$3=$E$3:$AH$3)*(AP$4=$E$4:$AH$4)*(AP$5=$E$5:$AH$5)*(AP$6=$E$6:$AH$6))</f>
        <v>140.54512860264259</v>
      </c>
      <c r="AQ159" s="13" cm="1">
        <f t="array" aca="1" ref="AQ159" ca="1">SUMPRODUCT(($E159:$AH159)*(AQ$3=$E$3:$AH$3)*(AQ$4=$E$4:$AH$4)*(AQ$5=$E$5:$AH$5)*(AQ$6=$E$6:$AH$6))</f>
        <v>155.2728455938707</v>
      </c>
      <c r="AR159" s="13" cm="1">
        <f t="array" aca="1" ref="AR159" ca="1">SUMPRODUCT(($E159:$AH159)*(AR$3=$E$3:$AH$3)*(AR$4=$E$4:$AH$4)*(AR$5=$E$5:$AH$5)*(AR$6=$E$6:$AH$6))</f>
        <v>147.06761751172766</v>
      </c>
      <c r="AS159" s="13" cm="1">
        <f t="array" aca="1" ref="AS159" ca="1">SUMPRODUCT(($E159:$AH159)*(AS$3=$E$3:$AH$3)*(AS$4=$E$4:$AH$4)*(AS$5=$E$5:$AH$5)*(AS$6=$E$6:$AH$6))</f>
        <v>137.53158999645197</v>
      </c>
      <c r="AT159" s="13"/>
      <c r="AU159" s="13" cm="1">
        <f t="array" aca="1" ref="AU159" ca="1">SUMPRODUCT(($E159:$AH159)*(AU$5=$E$5:$AH$5))</f>
        <v>303.79613156933431</v>
      </c>
      <c r="AV159" s="13" cm="1">
        <f t="array" aca="1" ref="AV159" ca="1">SUMPRODUCT(($E159:$AH159)*(AV$5=$E$5:$AH$5))</f>
        <v>566.94246381964888</v>
      </c>
      <c r="AW159" s="13" cm="1">
        <f t="array" aca="1" ref="AW159" ca="1">SUMPRODUCT(($E159:$AH159)*(AW$5=$E$5:$AH$5))</f>
        <v>580.41718170469301</v>
      </c>
    </row>
    <row r="160" spans="3:49" x14ac:dyDescent="0.25">
      <c r="C160" s="42"/>
      <c r="E160" s="97"/>
      <c r="F160" s="87"/>
      <c r="G160" s="87"/>
      <c r="H160" s="87"/>
      <c r="I160" s="87"/>
      <c r="J160" s="62"/>
      <c r="K160" s="87"/>
      <c r="L160" s="87"/>
      <c r="M160" s="87"/>
      <c r="N160" s="87"/>
      <c r="O160" s="87"/>
      <c r="P160" s="63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M160" s="8"/>
      <c r="AT160" s="13"/>
    </row>
    <row r="161" spans="2:49" x14ac:dyDescent="0.25">
      <c r="B161" t="s">
        <v>231</v>
      </c>
      <c r="C161" s="23" t="s">
        <v>145</v>
      </c>
      <c r="D161" s="27"/>
      <c r="E161" s="24">
        <f>SUM(E149,E154,E159)</f>
        <v>381.33051765939143</v>
      </c>
      <c r="F161" s="24">
        <f t="shared" ref="F161:AH161" si="165">SUM(F149,F154,F159)</f>
        <v>338.25055864271195</v>
      </c>
      <c r="G161" s="24">
        <f t="shared" si="165"/>
        <v>280.43115049900075</v>
      </c>
      <c r="H161" s="24">
        <f t="shared" si="165"/>
        <v>270.09912311626232</v>
      </c>
      <c r="I161" s="24">
        <f t="shared" si="165"/>
        <v>242.76143729257313</v>
      </c>
      <c r="J161" s="24">
        <f t="shared" si="165"/>
        <v>294.3179786842739</v>
      </c>
      <c r="K161" s="24">
        <f t="shared" si="165"/>
        <v>302.25322529242891</v>
      </c>
      <c r="L161" s="24">
        <f t="shared" si="165"/>
        <v>266.43922102738668</v>
      </c>
      <c r="M161" s="24">
        <f t="shared" si="165"/>
        <v>255.18080868502201</v>
      </c>
      <c r="N161" s="24">
        <f t="shared" si="165"/>
        <v>286.1039208234501</v>
      </c>
      <c r="O161" s="24">
        <f t="shared" si="165"/>
        <v>325.12473139176257</v>
      </c>
      <c r="P161" s="64">
        <f t="shared" si="165"/>
        <v>367.55763835999801</v>
      </c>
      <c r="Q161" s="24">
        <f t="shared" si="165"/>
        <v>347.20772937043762</v>
      </c>
      <c r="R161" s="24">
        <f t="shared" si="165"/>
        <v>310.23952647174065</v>
      </c>
      <c r="S161" s="24">
        <f t="shared" si="165"/>
        <v>271.40296995337928</v>
      </c>
      <c r="T161" s="24">
        <f t="shared" si="165"/>
        <v>282.37424700548763</v>
      </c>
      <c r="U161" s="24">
        <f t="shared" si="165"/>
        <v>253.97544533134894</v>
      </c>
      <c r="V161" s="24">
        <f t="shared" si="165"/>
        <v>296.59895535371396</v>
      </c>
      <c r="W161" s="24">
        <f t="shared" si="165"/>
        <v>335.1638588506043</v>
      </c>
      <c r="X161" s="24">
        <f t="shared" si="165"/>
        <v>295.68053689956969</v>
      </c>
      <c r="Y161" s="24">
        <f t="shared" si="165"/>
        <v>270.68898121936365</v>
      </c>
      <c r="Z161" s="24">
        <f t="shared" si="165"/>
        <v>317.42338948565737</v>
      </c>
      <c r="AA161" s="24">
        <f t="shared" si="165"/>
        <v>325.19191364067774</v>
      </c>
      <c r="AB161" s="24">
        <f t="shared" si="165"/>
        <v>336.76165226450257</v>
      </c>
      <c r="AC161" s="24">
        <f t="shared" si="165"/>
        <v>359.58111164429289</v>
      </c>
      <c r="AD161" s="24">
        <f t="shared" si="165"/>
        <v>321.21537567945734</v>
      </c>
      <c r="AE161" s="24">
        <f t="shared" si="165"/>
        <v>280.89553846687261</v>
      </c>
      <c r="AF161" s="24">
        <f t="shared" si="165"/>
        <v>292.27140096194086</v>
      </c>
      <c r="AG161" s="24">
        <f t="shared" si="165"/>
        <v>262.79428618588832</v>
      </c>
      <c r="AH161" s="24">
        <f t="shared" si="165"/>
        <v>307.02824903576118</v>
      </c>
      <c r="AJ161" s="24">
        <f t="shared" ref="AJ161:AW161" ca="1" si="166">SUM(AJ149,AJ154,AJ159)</f>
        <v>1000.012226801104</v>
      </c>
      <c r="AK161" s="24">
        <f t="shared" ca="1" si="166"/>
        <v>807.17853909310929</v>
      </c>
      <c r="AL161" s="24">
        <f t="shared" ca="1" si="166"/>
        <v>823.87325500483757</v>
      </c>
      <c r="AM161" s="64">
        <f t="shared" ca="1" si="166"/>
        <v>978.78629057521061</v>
      </c>
      <c r="AN161" s="24">
        <f t="shared" ca="1" si="166"/>
        <v>928.85022579555744</v>
      </c>
      <c r="AO161" s="24">
        <f t="shared" ca="1" si="166"/>
        <v>832.9486476905505</v>
      </c>
      <c r="AP161" s="24">
        <f t="shared" ca="1" si="166"/>
        <v>901.53337696953758</v>
      </c>
      <c r="AQ161" s="24">
        <f t="shared" ca="1" si="166"/>
        <v>979.37695539083768</v>
      </c>
      <c r="AR161" s="24">
        <f t="shared" ca="1" si="166"/>
        <v>961.69202579062289</v>
      </c>
      <c r="AS161" s="24">
        <f t="shared" ca="1" si="166"/>
        <v>862.09393618359036</v>
      </c>
      <c r="AT161" s="13"/>
      <c r="AU161" s="24">
        <f t="shared" ca="1" si="166"/>
        <v>1807.1907658942137</v>
      </c>
      <c r="AV161" s="24">
        <f t="shared" ca="1" si="166"/>
        <v>3564.4584190661562</v>
      </c>
      <c r="AW161" s="24">
        <f t="shared" ca="1" si="166"/>
        <v>3704.6962943345889</v>
      </c>
    </row>
    <row r="162" spans="2:49" x14ac:dyDescent="0.25">
      <c r="B162" t="s">
        <v>231</v>
      </c>
      <c r="C162" t="s">
        <v>117</v>
      </c>
      <c r="E162" s="13">
        <f t="shared" ref="E162:AH162" si="167">E144+E161</f>
        <v>466.33051765939143</v>
      </c>
      <c r="F162" s="13">
        <f t="shared" si="167"/>
        <v>411.25055864271195</v>
      </c>
      <c r="G162" s="13">
        <f t="shared" si="167"/>
        <v>325.43115049900075</v>
      </c>
      <c r="H162" s="13">
        <f t="shared" si="167"/>
        <v>283.09912311626232</v>
      </c>
      <c r="I162" s="13">
        <f t="shared" si="167"/>
        <v>255.76143729257313</v>
      </c>
      <c r="J162" s="61">
        <f t="shared" si="167"/>
        <v>331.3179786842739</v>
      </c>
      <c r="K162" s="13">
        <f t="shared" si="167"/>
        <v>347.25322529242891</v>
      </c>
      <c r="L162" s="13">
        <f t="shared" si="167"/>
        <v>287.43922102738668</v>
      </c>
      <c r="M162" s="13">
        <f t="shared" si="167"/>
        <v>276.18080868502204</v>
      </c>
      <c r="N162" s="13">
        <f t="shared" si="167"/>
        <v>331.1039208234501</v>
      </c>
      <c r="O162" s="13">
        <f t="shared" si="167"/>
        <v>410.12473139176257</v>
      </c>
      <c r="P162" s="17">
        <f t="shared" si="167"/>
        <v>492.55763835999801</v>
      </c>
      <c r="Q162" s="13">
        <f t="shared" si="167"/>
        <v>432.20772937043762</v>
      </c>
      <c r="R162" s="13">
        <f t="shared" si="167"/>
        <v>383.23952647174065</v>
      </c>
      <c r="S162" s="13">
        <f t="shared" si="167"/>
        <v>316.40296995337928</v>
      </c>
      <c r="T162" s="13">
        <f t="shared" si="167"/>
        <v>295.37424700548763</v>
      </c>
      <c r="U162" s="13">
        <f t="shared" si="167"/>
        <v>266.97544533134896</v>
      </c>
      <c r="V162" s="13">
        <f t="shared" si="167"/>
        <v>333.59895535371396</v>
      </c>
      <c r="W162" s="13">
        <f t="shared" si="167"/>
        <v>380.1638588506043</v>
      </c>
      <c r="X162" s="13">
        <f t="shared" si="167"/>
        <v>316.68053689956969</v>
      </c>
      <c r="Y162" s="13">
        <f t="shared" si="167"/>
        <v>291.68898121936365</v>
      </c>
      <c r="Z162" s="13">
        <f t="shared" si="167"/>
        <v>362.42338948565737</v>
      </c>
      <c r="AA162" s="13">
        <f t="shared" si="167"/>
        <v>410.19191364067774</v>
      </c>
      <c r="AB162" s="13">
        <f t="shared" si="167"/>
        <v>461.76165226450257</v>
      </c>
      <c r="AC162" s="13">
        <f t="shared" si="167"/>
        <v>444.58111164429289</v>
      </c>
      <c r="AD162" s="13">
        <f t="shared" si="167"/>
        <v>394.21537567945734</v>
      </c>
      <c r="AE162" s="13">
        <f t="shared" si="167"/>
        <v>325.89553846687261</v>
      </c>
      <c r="AF162" s="13">
        <f t="shared" si="167"/>
        <v>305.27140096194086</v>
      </c>
      <c r="AG162" s="13">
        <f t="shared" si="167"/>
        <v>275.79428618588832</v>
      </c>
      <c r="AH162" s="13">
        <f t="shared" si="167"/>
        <v>344.02824903576118</v>
      </c>
      <c r="AJ162" s="14">
        <f t="shared" ref="AJ162:AW162" ca="1" si="168">AJ144+AJ161</f>
        <v>1203.0122268011041</v>
      </c>
      <c r="AK162" s="14">
        <f t="shared" ca="1" si="168"/>
        <v>870.17853909310929</v>
      </c>
      <c r="AL162" s="14">
        <f t="shared" ca="1" si="168"/>
        <v>910.87325500483757</v>
      </c>
      <c r="AM162" s="102">
        <f t="shared" ca="1" si="168"/>
        <v>1233.7862905752106</v>
      </c>
      <c r="AN162" s="14">
        <f t="shared" ca="1" si="168"/>
        <v>1131.8502257955574</v>
      </c>
      <c r="AO162" s="14">
        <f t="shared" ca="1" si="168"/>
        <v>895.9486476905505</v>
      </c>
      <c r="AP162" s="14">
        <f t="shared" ca="1" si="168"/>
        <v>988.53337696953758</v>
      </c>
      <c r="AQ162" s="14">
        <f t="shared" ca="1" si="168"/>
        <v>1234.3769553908378</v>
      </c>
      <c r="AR162" s="14">
        <f t="shared" ca="1" si="168"/>
        <v>1164.6920257906229</v>
      </c>
      <c r="AS162" s="14">
        <f t="shared" ca="1" si="168"/>
        <v>925.09393618359036</v>
      </c>
      <c r="AT162" s="13"/>
      <c r="AU162" s="14">
        <f t="shared" ca="1" si="168"/>
        <v>2073.1907658942137</v>
      </c>
      <c r="AV162" s="14">
        <f t="shared" ca="1" si="168"/>
        <v>4172.4584190661562</v>
      </c>
      <c r="AW162" s="14">
        <f t="shared" ca="1" si="168"/>
        <v>4312.6962943345889</v>
      </c>
    </row>
    <row r="163" spans="2:49" x14ac:dyDescent="0.25">
      <c r="P163" s="8"/>
      <c r="AM163" s="8"/>
      <c r="AT163" s="13"/>
    </row>
    <row r="164" spans="2:49" x14ac:dyDescent="0.25">
      <c r="C164" s="30" t="s">
        <v>120</v>
      </c>
      <c r="D164" s="30"/>
      <c r="E164" s="45" t="str">
        <f t="shared" ref="E164:AH164" si="169">E$9</f>
        <v>Jul-20A</v>
      </c>
      <c r="F164" s="45" t="str">
        <f t="shared" si="169"/>
        <v>Aug-20A</v>
      </c>
      <c r="G164" s="45" t="str">
        <f t="shared" si="169"/>
        <v>Sep-20A</v>
      </c>
      <c r="H164" s="45" t="str">
        <f t="shared" si="169"/>
        <v>Oct-20A</v>
      </c>
      <c r="I164" s="45" t="str">
        <f t="shared" si="169"/>
        <v>Nov-20A</v>
      </c>
      <c r="J164" s="45" t="str">
        <f t="shared" si="169"/>
        <v>Dec-20A</v>
      </c>
      <c r="K164" s="45" t="str">
        <f t="shared" si="169"/>
        <v>Jan-21A</v>
      </c>
      <c r="L164" s="45" t="str">
        <f t="shared" si="169"/>
        <v>Feb-21A</v>
      </c>
      <c r="M164" s="45" t="str">
        <f t="shared" si="169"/>
        <v>Mar-21A</v>
      </c>
      <c r="N164" s="45" t="str">
        <f t="shared" si="169"/>
        <v>Apr-21A</v>
      </c>
      <c r="O164" s="45" t="str">
        <f t="shared" si="169"/>
        <v>May-21A</v>
      </c>
      <c r="P164" s="46" t="str">
        <f t="shared" si="169"/>
        <v>Jun-21A</v>
      </c>
      <c r="Q164" s="45" t="str">
        <f t="shared" si="169"/>
        <v>Jul-21F</v>
      </c>
      <c r="R164" s="45" t="str">
        <f t="shared" si="169"/>
        <v>Aug-21F</v>
      </c>
      <c r="S164" s="45" t="str">
        <f t="shared" si="169"/>
        <v>Sep-21F</v>
      </c>
      <c r="T164" s="45" t="str">
        <f t="shared" si="169"/>
        <v>Oct-21F</v>
      </c>
      <c r="U164" s="45" t="str">
        <f t="shared" si="169"/>
        <v>Nov-21F</v>
      </c>
      <c r="V164" s="45" t="str">
        <f t="shared" si="169"/>
        <v>Dec-21F</v>
      </c>
      <c r="W164" s="45" t="str">
        <f t="shared" si="169"/>
        <v>Jan-22F</v>
      </c>
      <c r="X164" s="45" t="str">
        <f t="shared" si="169"/>
        <v>Feb-22F</v>
      </c>
      <c r="Y164" s="45" t="str">
        <f t="shared" si="169"/>
        <v>Mar-22F</v>
      </c>
      <c r="Z164" s="45" t="str">
        <f t="shared" si="169"/>
        <v>Apr-22F</v>
      </c>
      <c r="AA164" s="45" t="str">
        <f t="shared" si="169"/>
        <v>May-22F</v>
      </c>
      <c r="AB164" s="45" t="str">
        <f t="shared" si="169"/>
        <v>Jun-22F</v>
      </c>
      <c r="AC164" s="45" t="str">
        <f t="shared" si="169"/>
        <v>Jul-22F</v>
      </c>
      <c r="AD164" s="45" t="str">
        <f t="shared" si="169"/>
        <v>Aug-22F</v>
      </c>
      <c r="AE164" s="45" t="str">
        <f t="shared" si="169"/>
        <v>Sep-22F</v>
      </c>
      <c r="AF164" s="45" t="str">
        <f t="shared" si="169"/>
        <v>Oct-22F</v>
      </c>
      <c r="AG164" s="45" t="str">
        <f t="shared" si="169"/>
        <v>Nov-22F</v>
      </c>
      <c r="AH164" s="45" t="str">
        <f t="shared" si="169"/>
        <v>Dec-22F</v>
      </c>
      <c r="AJ164" s="45" t="str">
        <f ca="1">AJ$10</f>
        <v>Q3'20A</v>
      </c>
      <c r="AK164" s="45" t="str">
        <f t="shared" ref="AK164:AW164" ca="1" si="170">AK$10</f>
        <v>Q4'20A</v>
      </c>
      <c r="AL164" s="45" t="str">
        <f t="shared" ca="1" si="170"/>
        <v>Q1'21A</v>
      </c>
      <c r="AM164" s="46" t="str">
        <f t="shared" ca="1" si="170"/>
        <v>Q2'21A</v>
      </c>
      <c r="AN164" s="45" t="str">
        <f t="shared" ca="1" si="170"/>
        <v>Q3'21F</v>
      </c>
      <c r="AO164" s="45" t="str">
        <f t="shared" ca="1" si="170"/>
        <v>Q4'21F</v>
      </c>
      <c r="AP164" s="45" t="str">
        <f t="shared" ca="1" si="170"/>
        <v>Q1'22F</v>
      </c>
      <c r="AQ164" s="45" t="str">
        <f t="shared" ca="1" si="170"/>
        <v>Q2'22F</v>
      </c>
      <c r="AR164" s="45" t="str">
        <f t="shared" ca="1" si="170"/>
        <v>Q3'22F</v>
      </c>
      <c r="AS164" s="45" t="str">
        <f t="shared" ca="1" si="170"/>
        <v>Q4'22F</v>
      </c>
      <c r="AT164" s="13"/>
      <c r="AU164" s="45" t="str">
        <f t="shared" ca="1" si="170"/>
        <v>FY20</v>
      </c>
      <c r="AV164" s="45" t="str">
        <f t="shared" ca="1" si="170"/>
        <v>FY21</v>
      </c>
      <c r="AW164" s="45" t="str">
        <f t="shared" ca="1" si="170"/>
        <v>FY22</v>
      </c>
    </row>
    <row r="165" spans="2:49" x14ac:dyDescent="0.25">
      <c r="C165" s="1" t="s">
        <v>506</v>
      </c>
      <c r="E165" s="33">
        <f>Balance_Sheet!E155</f>
        <v>915.08386040870118</v>
      </c>
      <c r="F165" s="33">
        <f>Balance_Sheet!F155</f>
        <v>915.08386040870118</v>
      </c>
      <c r="G165" s="33">
        <f>Balance_Sheet!G155</f>
        <v>1230.0838604087012</v>
      </c>
      <c r="H165" s="33">
        <f>Balance_Sheet!H155</f>
        <v>1230.0838604087012</v>
      </c>
      <c r="I165" s="33">
        <f>Balance_Sheet!I155</f>
        <v>1230.0838604087012</v>
      </c>
      <c r="J165" s="56">
        <f>Balance_Sheet!J155</f>
        <v>1230.0838604087012</v>
      </c>
      <c r="K165" s="33">
        <f>Balance_Sheet!K155</f>
        <v>885.08386040870118</v>
      </c>
      <c r="L165" s="33">
        <f>Balance_Sheet!L155</f>
        <v>885.08386040870118</v>
      </c>
      <c r="M165" s="33">
        <f>Balance_Sheet!M155</f>
        <v>885.08386040870118</v>
      </c>
      <c r="N165" s="33">
        <f>Balance_Sheet!N155</f>
        <v>885.08386040870118</v>
      </c>
      <c r="O165" s="33">
        <f>Balance_Sheet!O155</f>
        <v>885.08386040870118</v>
      </c>
      <c r="P165" s="34">
        <f>Balance_Sheet!P155</f>
        <v>905.08386040870118</v>
      </c>
      <c r="Q165" s="33">
        <f>Balance_Sheet!Q155</f>
        <v>905.08386040870118</v>
      </c>
      <c r="R165" s="33">
        <f>Balance_Sheet!R155</f>
        <v>905.08386040870118</v>
      </c>
      <c r="S165" s="33">
        <f>Balance_Sheet!S155</f>
        <v>905.08386040870118</v>
      </c>
      <c r="T165" s="33">
        <f>Balance_Sheet!T155</f>
        <v>905.08386040870118</v>
      </c>
      <c r="U165" s="33">
        <f>Balance_Sheet!U155</f>
        <v>905.08386040870118</v>
      </c>
      <c r="V165" s="33">
        <f>Balance_Sheet!V155</f>
        <v>905.08386040870118</v>
      </c>
      <c r="W165" s="33">
        <f>Balance_Sheet!W155</f>
        <v>905.08386040870118</v>
      </c>
      <c r="X165" s="33">
        <f>Balance_Sheet!X155</f>
        <v>905.08386040870118</v>
      </c>
      <c r="Y165" s="33">
        <f>Balance_Sheet!Y155</f>
        <v>905.08386040870118</v>
      </c>
      <c r="Z165" s="33">
        <f>Balance_Sheet!Z155</f>
        <v>905.08386040870118</v>
      </c>
      <c r="AA165" s="33">
        <f>Balance_Sheet!AA155</f>
        <v>905.08386040870118</v>
      </c>
      <c r="AB165" s="33">
        <f>Balance_Sheet!AB155</f>
        <v>905.08386040870118</v>
      </c>
      <c r="AC165" s="33">
        <f>Balance_Sheet!AC155</f>
        <v>905.08386040870118</v>
      </c>
      <c r="AD165" s="33">
        <f>Balance_Sheet!AD155</f>
        <v>905.08386040870118</v>
      </c>
      <c r="AE165" s="33">
        <f>Balance_Sheet!AE155</f>
        <v>905.08386040870118</v>
      </c>
      <c r="AF165" s="33">
        <f>Balance_Sheet!AF155</f>
        <v>905.08386040870118</v>
      </c>
      <c r="AG165" s="33">
        <f>Balance_Sheet!AG155</f>
        <v>905.08386040870118</v>
      </c>
      <c r="AH165" s="33">
        <f>Balance_Sheet!AH155</f>
        <v>905.08386040870118</v>
      </c>
      <c r="AM165" s="8"/>
    </row>
    <row r="166" spans="2:49" x14ac:dyDescent="0.25">
      <c r="C166" s="1" t="s">
        <v>261</v>
      </c>
      <c r="E166" s="57">
        <v>3.15E-2</v>
      </c>
      <c r="F166" s="33"/>
      <c r="G166" s="33"/>
      <c r="H166" s="33"/>
      <c r="I166" s="33"/>
      <c r="J166" s="56"/>
      <c r="K166" s="33"/>
      <c r="L166" s="33"/>
      <c r="M166" s="33"/>
      <c r="N166" s="33"/>
      <c r="O166" s="33"/>
      <c r="P166" s="34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M166" s="8"/>
    </row>
    <row r="167" spans="2:49" x14ac:dyDescent="0.25">
      <c r="C167" s="23" t="s">
        <v>149</v>
      </c>
      <c r="D167" s="27"/>
      <c r="E167" s="47">
        <f>$E$166/12</f>
        <v>2.6250000000000002E-3</v>
      </c>
      <c r="F167" s="47">
        <f t="shared" ref="F167:P167" si="171">$E$166/12</f>
        <v>2.6250000000000002E-3</v>
      </c>
      <c r="G167" s="47">
        <f t="shared" si="171"/>
        <v>2.6250000000000002E-3</v>
      </c>
      <c r="H167" s="47">
        <f t="shared" si="171"/>
        <v>2.6250000000000002E-3</v>
      </c>
      <c r="I167" s="47">
        <f t="shared" si="171"/>
        <v>2.6250000000000002E-3</v>
      </c>
      <c r="J167" s="47">
        <f t="shared" si="171"/>
        <v>2.6250000000000002E-3</v>
      </c>
      <c r="K167" s="47">
        <f t="shared" si="171"/>
        <v>2.6250000000000002E-3</v>
      </c>
      <c r="L167" s="47">
        <f t="shared" si="171"/>
        <v>2.6250000000000002E-3</v>
      </c>
      <c r="M167" s="47">
        <f t="shared" si="171"/>
        <v>2.6250000000000002E-3</v>
      </c>
      <c r="N167" s="47">
        <f t="shared" si="171"/>
        <v>2.6250000000000002E-3</v>
      </c>
      <c r="O167" s="47">
        <f t="shared" si="171"/>
        <v>2.6250000000000002E-3</v>
      </c>
      <c r="P167" s="92">
        <f t="shared" si="171"/>
        <v>2.6250000000000002E-3</v>
      </c>
      <c r="Q167" s="93">
        <f>AVERAGE(K167:P167)</f>
        <v>2.6250000000000002E-3</v>
      </c>
      <c r="R167" s="103">
        <f t="shared" ref="R167" si="172">AVERAGE(L167:Q167)</f>
        <v>2.6250000000000002E-3</v>
      </c>
      <c r="S167" s="103">
        <f t="shared" ref="S167" si="173">AVERAGE(M167:R167)</f>
        <v>2.6250000000000002E-3</v>
      </c>
      <c r="T167" s="103">
        <f t="shared" ref="T167" si="174">AVERAGE(N167:S167)</f>
        <v>2.6250000000000002E-3</v>
      </c>
      <c r="U167" s="103">
        <f t="shared" ref="U167" si="175">AVERAGE(O167:T167)</f>
        <v>2.6250000000000002E-3</v>
      </c>
      <c r="V167" s="103">
        <f t="shared" ref="V167" si="176">AVERAGE(P167:U167)</f>
        <v>2.6250000000000002E-3</v>
      </c>
      <c r="W167" s="103">
        <f t="shared" ref="W167" si="177">AVERAGE(Q167:V167)</f>
        <v>2.6250000000000002E-3</v>
      </c>
      <c r="X167" s="103">
        <f t="shared" ref="X167" si="178">AVERAGE(R167:W167)</f>
        <v>2.6250000000000002E-3</v>
      </c>
      <c r="Y167" s="103">
        <f t="shared" ref="Y167" si="179">AVERAGE(S167:X167)</f>
        <v>2.6250000000000002E-3</v>
      </c>
      <c r="Z167" s="103">
        <f t="shared" ref="Z167" si="180">AVERAGE(T167:Y167)</f>
        <v>2.6250000000000002E-3</v>
      </c>
      <c r="AA167" s="103">
        <f t="shared" ref="AA167" si="181">AVERAGE(U167:Z167)</f>
        <v>2.6250000000000002E-3</v>
      </c>
      <c r="AB167" s="103">
        <f t="shared" ref="AB167" si="182">AVERAGE(V167:AA167)</f>
        <v>2.6250000000000002E-3</v>
      </c>
      <c r="AC167" s="103">
        <f t="shared" ref="AC167" si="183">AVERAGE(W167:AB167)</f>
        <v>2.6250000000000002E-3</v>
      </c>
      <c r="AD167" s="103">
        <f t="shared" ref="AD167" si="184">AVERAGE(X167:AC167)</f>
        <v>2.6250000000000002E-3</v>
      </c>
      <c r="AE167" s="103">
        <f t="shared" ref="AE167" si="185">AVERAGE(Y167:AD167)</f>
        <v>2.6250000000000002E-3</v>
      </c>
      <c r="AF167" s="103">
        <f t="shared" ref="AF167" si="186">AVERAGE(Z167:AE167)</f>
        <v>2.6250000000000002E-3</v>
      </c>
      <c r="AG167" s="103">
        <f t="shared" ref="AG167" si="187">AVERAGE(AA167:AF167)</f>
        <v>2.6250000000000002E-3</v>
      </c>
      <c r="AH167" s="103">
        <f t="shared" ref="AH167" si="188">AVERAGE(AB167:AG167)</f>
        <v>2.6250000000000002E-3</v>
      </c>
      <c r="AJ167" s="27"/>
      <c r="AK167" s="27"/>
      <c r="AL167" s="27"/>
      <c r="AM167" s="28"/>
      <c r="AN167" s="27"/>
      <c r="AO167" s="27"/>
      <c r="AP167" s="27"/>
      <c r="AQ167" s="27"/>
      <c r="AR167" s="27"/>
      <c r="AS167" s="27"/>
      <c r="AU167" s="27"/>
      <c r="AV167" s="27"/>
      <c r="AW167" s="27"/>
    </row>
    <row r="168" spans="2:49" x14ac:dyDescent="0.25">
      <c r="C168" t="s">
        <v>508</v>
      </c>
      <c r="E168" s="31">
        <f>E165*E167</f>
        <v>2.4020951335728409</v>
      </c>
      <c r="F168" s="31">
        <f t="shared" ref="F168:P168" si="189">F165*F167</f>
        <v>2.4020951335728409</v>
      </c>
      <c r="G168" s="31">
        <f t="shared" si="189"/>
        <v>3.2289701335728407</v>
      </c>
      <c r="H168" s="31">
        <f t="shared" si="189"/>
        <v>3.2289701335728407</v>
      </c>
      <c r="I168" s="31">
        <f t="shared" si="189"/>
        <v>3.2289701335728407</v>
      </c>
      <c r="J168" s="37">
        <f t="shared" si="189"/>
        <v>3.2289701335728407</v>
      </c>
      <c r="K168" s="31">
        <f t="shared" si="189"/>
        <v>2.3233451335728406</v>
      </c>
      <c r="L168" s="31">
        <f t="shared" si="189"/>
        <v>2.3233451335728406</v>
      </c>
      <c r="M168" s="31">
        <f t="shared" si="189"/>
        <v>2.3233451335728406</v>
      </c>
      <c r="N168" s="31">
        <f t="shared" si="189"/>
        <v>2.3233451335728406</v>
      </c>
      <c r="O168" s="31">
        <f t="shared" si="189"/>
        <v>2.3233451335728406</v>
      </c>
      <c r="P168" s="32">
        <f t="shared" si="189"/>
        <v>2.3758451335728408</v>
      </c>
      <c r="Q168" s="13">
        <f>Q165*Q167</f>
        <v>2.3758451335728408</v>
      </c>
      <c r="R168" s="13">
        <f t="shared" ref="R168:AH168" si="190">R165*R167</f>
        <v>2.3758451335728408</v>
      </c>
      <c r="S168" s="13">
        <f t="shared" si="190"/>
        <v>2.3758451335728408</v>
      </c>
      <c r="T168" s="13">
        <f t="shared" si="190"/>
        <v>2.3758451335728408</v>
      </c>
      <c r="U168" s="13">
        <f t="shared" si="190"/>
        <v>2.3758451335728408</v>
      </c>
      <c r="V168" s="13">
        <f t="shared" si="190"/>
        <v>2.3758451335728408</v>
      </c>
      <c r="W168" s="13">
        <f t="shared" si="190"/>
        <v>2.3758451335728408</v>
      </c>
      <c r="X168" s="13">
        <f t="shared" si="190"/>
        <v>2.3758451335728408</v>
      </c>
      <c r="Y168" s="13">
        <f t="shared" si="190"/>
        <v>2.3758451335728408</v>
      </c>
      <c r="Z168" s="13">
        <f t="shared" si="190"/>
        <v>2.3758451335728408</v>
      </c>
      <c r="AA168" s="13">
        <f t="shared" si="190"/>
        <v>2.3758451335728408</v>
      </c>
      <c r="AB168" s="13">
        <f t="shared" si="190"/>
        <v>2.3758451335728408</v>
      </c>
      <c r="AC168" s="13">
        <f t="shared" si="190"/>
        <v>2.3758451335728408</v>
      </c>
      <c r="AD168" s="13">
        <f t="shared" si="190"/>
        <v>2.3758451335728408</v>
      </c>
      <c r="AE168" s="13">
        <f t="shared" si="190"/>
        <v>2.3758451335728408</v>
      </c>
      <c r="AF168" s="13">
        <f t="shared" si="190"/>
        <v>2.3758451335728408</v>
      </c>
      <c r="AG168" s="13">
        <f t="shared" si="190"/>
        <v>2.3758451335728408</v>
      </c>
      <c r="AH168" s="13">
        <f t="shared" si="190"/>
        <v>2.3758451335728408</v>
      </c>
      <c r="AJ168" s="13" cm="1">
        <f t="array" aca="1" ref="AJ168" ca="1">SUMPRODUCT(($E168:$AH168)*(AJ$3&amp;AJ$4&amp;AJ$5&amp;AJ$6=$E$3:$AH$3&amp;$E$4:$AH$4&amp;$E$5:$AH$5&amp;$E$6:$AH$6))</f>
        <v>8.033160400718522</v>
      </c>
      <c r="AK168" s="13" cm="1">
        <f t="array" aca="1" ref="AK168" ca="1">SUMPRODUCT(($E168:$AH168)*(AK$3=$E$3:$AH$3)*(AK$4=$E$4:$AH$4)*(AK$5=$E$5:$AH$5)*(AK$6=$E$6:$AH$6))</f>
        <v>9.6869104007185225</v>
      </c>
      <c r="AL168" s="13" cm="1">
        <f t="array" aca="1" ref="AL168" ca="1">SUMPRODUCT(($E168:$AH168)*(AL$3=$E$3:$AH$3)*(AL$4=$E$4:$AH$4)*(AL$5=$E$5:$AH$5)*(AL$6=$E$6:$AH$6))</f>
        <v>6.9700354007185217</v>
      </c>
      <c r="AM168" s="17" cm="1">
        <f t="array" aca="1" ref="AM168" ca="1">SUMPRODUCT(($E168:$AH168)*(AM$3=$E$3:$AH$3)*(AM$4=$E$4:$AH$4)*(AM$5=$E$5:$AH$5)*(AM$6=$E$6:$AH$6))</f>
        <v>7.0225354007185219</v>
      </c>
      <c r="AN168" s="13" cm="1">
        <f t="array" aca="1" ref="AN168" ca="1">SUMPRODUCT(($E168:$AH168)*(AN$3=$E$3:$AH$3)*(AN$4=$E$4:$AH$4)*(AN$5=$E$5:$AH$5)*(AN$6=$E$6:$AH$6))</f>
        <v>7.1275354007185223</v>
      </c>
      <c r="AO168" s="13" cm="1">
        <f t="array" aca="1" ref="AO168" ca="1">SUMPRODUCT(($E168:$AH168)*(AO$3=$E$3:$AH$3)*(AO$4=$E$4:$AH$4)*(AO$5=$E$5:$AH$5)*(AO$6=$E$6:$AH$6))</f>
        <v>7.1275354007185223</v>
      </c>
      <c r="AP168" s="13" cm="1">
        <f t="array" aca="1" ref="AP168" ca="1">SUMPRODUCT(($E168:$AH168)*(AP$3=$E$3:$AH$3)*(AP$4=$E$4:$AH$4)*(AP$5=$E$5:$AH$5)*(AP$6=$E$6:$AH$6))</f>
        <v>7.1275354007185223</v>
      </c>
      <c r="AQ168" s="13" cm="1">
        <f t="array" aca="1" ref="AQ168" ca="1">SUMPRODUCT(($E168:$AH168)*(AQ$3=$E$3:$AH$3)*(AQ$4=$E$4:$AH$4)*(AQ$5=$E$5:$AH$5)*(AQ$6=$E$6:$AH$6))</f>
        <v>7.1275354007185223</v>
      </c>
      <c r="AR168" s="13" cm="1">
        <f t="array" aca="1" ref="AR168" ca="1">SUMPRODUCT(($E168:$AH168)*(AR$3=$E$3:$AH$3)*(AR$4=$E$4:$AH$4)*(AR$5=$E$5:$AH$5)*(AR$6=$E$6:$AH$6))</f>
        <v>7.1275354007185223</v>
      </c>
      <c r="AS168" s="13" cm="1">
        <f t="array" aca="1" ref="AS168" ca="1">SUMPRODUCT(($E168:$AH168)*(AS$3=$E$3:$AH$3)*(AS$4=$E$4:$AH$4)*(AS$5=$E$5:$AH$5)*(AS$6=$E$6:$AH$6))</f>
        <v>7.1275354007185223</v>
      </c>
      <c r="AU168" s="13" cm="1">
        <f t="array" aca="1" ref="AU168" ca="1">SUMPRODUCT(($E168:$AH168)*(AU$5=$E$5:$AH$5))</f>
        <v>17.720070801437043</v>
      </c>
      <c r="AV168" s="13" cm="1">
        <f t="array" aca="1" ref="AV168" ca="1">SUMPRODUCT(($E168:$AH168)*(AV$5=$E$5:$AH$5))</f>
        <v>28.247641602874094</v>
      </c>
      <c r="AW168" s="13" cm="1">
        <f t="array" aca="1" ref="AW168" ca="1">SUMPRODUCT(($E168:$AH168)*(AW$5=$E$5:$AH$5))</f>
        <v>28.510141602874096</v>
      </c>
    </row>
    <row r="169" spans="2:49" x14ac:dyDescent="0.25">
      <c r="P169" s="8"/>
      <c r="AM169" s="8"/>
    </row>
    <row r="170" spans="2:49" x14ac:dyDescent="0.25">
      <c r="C170" s="1" t="s">
        <v>507</v>
      </c>
      <c r="E170" s="33">
        <f>Balance_Sheet!E170</f>
        <v>4977.0862961113271</v>
      </c>
      <c r="F170" s="33">
        <f>Balance_Sheet!F170</f>
        <v>4977.0862961113271</v>
      </c>
      <c r="G170" s="33">
        <f>Balance_Sheet!G170</f>
        <v>4977.0862961113271</v>
      </c>
      <c r="H170" s="33">
        <f>Balance_Sheet!H170</f>
        <v>4977.0862961113271</v>
      </c>
      <c r="I170" s="33">
        <f>Balance_Sheet!I170</f>
        <v>4977.0862961113271</v>
      </c>
      <c r="J170" s="56">
        <f>Balance_Sheet!J170</f>
        <v>5977.0862961113271</v>
      </c>
      <c r="K170" s="33">
        <f>Balance_Sheet!K170</f>
        <v>4727.0862961113271</v>
      </c>
      <c r="L170" s="33">
        <f>Balance_Sheet!L170</f>
        <v>4727.0862961113271</v>
      </c>
      <c r="M170" s="33">
        <f>Balance_Sheet!M170</f>
        <v>4727.0862961113271</v>
      </c>
      <c r="N170" s="33">
        <f>Balance_Sheet!N170</f>
        <v>4727.0862961113271</v>
      </c>
      <c r="O170" s="33">
        <f>Balance_Sheet!O170</f>
        <v>4727.0862961113271</v>
      </c>
      <c r="P170" s="34">
        <f>Balance_Sheet!P170</f>
        <v>4727.0862961113271</v>
      </c>
      <c r="Q170" s="33">
        <f>Balance_Sheet!Q170</f>
        <v>4727.0862961113271</v>
      </c>
      <c r="R170" s="33">
        <f>Balance_Sheet!R170</f>
        <v>4727.0862961113271</v>
      </c>
      <c r="S170" s="33">
        <f>Balance_Sheet!S170</f>
        <v>4727.0862961113271</v>
      </c>
      <c r="T170" s="33">
        <f>Balance_Sheet!T170</f>
        <v>4727.0862961113271</v>
      </c>
      <c r="U170" s="33">
        <f>Balance_Sheet!U170</f>
        <v>4727.0862961113271</v>
      </c>
      <c r="V170" s="33">
        <f>Balance_Sheet!V170</f>
        <v>4727.0862961113271</v>
      </c>
      <c r="W170" s="33">
        <f>Balance_Sheet!W170</f>
        <v>4727.0862961113271</v>
      </c>
      <c r="X170" s="33">
        <f>Balance_Sheet!X170</f>
        <v>4727.0862961113271</v>
      </c>
      <c r="Y170" s="33">
        <f>Balance_Sheet!Y170</f>
        <v>4727.0862961113271</v>
      </c>
      <c r="Z170" s="33">
        <f>Balance_Sheet!Z170</f>
        <v>4727.0862961113271</v>
      </c>
      <c r="AA170" s="33">
        <f>Balance_Sheet!AA170</f>
        <v>4727.0862961113271</v>
      </c>
      <c r="AB170" s="33">
        <f>Balance_Sheet!AB170</f>
        <v>4727.0862961113271</v>
      </c>
      <c r="AC170" s="33">
        <f>Balance_Sheet!AC170</f>
        <v>4727.0862961113271</v>
      </c>
      <c r="AD170" s="33">
        <f>Balance_Sheet!AD170</f>
        <v>4727.0862961113271</v>
      </c>
      <c r="AE170" s="33">
        <f>Balance_Sheet!AE170</f>
        <v>4727.0862961113271</v>
      </c>
      <c r="AF170" s="33">
        <f>Balance_Sheet!AF170</f>
        <v>4727.0862961113271</v>
      </c>
      <c r="AG170" s="33">
        <f>Balance_Sheet!AG170</f>
        <v>4727.0862961113271</v>
      </c>
      <c r="AH170" s="33">
        <f>Balance_Sheet!AH170</f>
        <v>4727.0862961113271</v>
      </c>
      <c r="AM170" s="8"/>
    </row>
    <row r="171" spans="2:49" x14ac:dyDescent="0.25">
      <c r="C171" s="1" t="s">
        <v>261</v>
      </c>
      <c r="E171" s="57">
        <v>4.2500000000000003E-2</v>
      </c>
      <c r="F171" s="33"/>
      <c r="G171" s="33"/>
      <c r="H171" s="33"/>
      <c r="I171" s="33"/>
      <c r="J171" s="56"/>
      <c r="K171" s="33"/>
      <c r="L171" s="33"/>
      <c r="M171" s="33"/>
      <c r="N171" s="33"/>
      <c r="O171" s="33"/>
      <c r="P171" s="34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M171" s="8"/>
    </row>
    <row r="172" spans="2:49" x14ac:dyDescent="0.25">
      <c r="C172" s="23" t="s">
        <v>149</v>
      </c>
      <c r="D172" s="27"/>
      <c r="E172" s="47">
        <f>$E$171/12</f>
        <v>3.5416666666666669E-3</v>
      </c>
      <c r="F172" s="47">
        <f t="shared" ref="F172:P172" si="191">$E$171/12</f>
        <v>3.5416666666666669E-3</v>
      </c>
      <c r="G172" s="47">
        <f t="shared" si="191"/>
        <v>3.5416666666666669E-3</v>
      </c>
      <c r="H172" s="47">
        <f t="shared" si="191"/>
        <v>3.5416666666666669E-3</v>
      </c>
      <c r="I172" s="47">
        <f t="shared" si="191"/>
        <v>3.5416666666666669E-3</v>
      </c>
      <c r="J172" s="47">
        <f t="shared" si="191"/>
        <v>3.5416666666666669E-3</v>
      </c>
      <c r="K172" s="47">
        <f t="shared" si="191"/>
        <v>3.5416666666666669E-3</v>
      </c>
      <c r="L172" s="47">
        <f t="shared" si="191"/>
        <v>3.5416666666666669E-3</v>
      </c>
      <c r="M172" s="47">
        <f t="shared" si="191"/>
        <v>3.5416666666666669E-3</v>
      </c>
      <c r="N172" s="47">
        <f t="shared" si="191"/>
        <v>3.5416666666666669E-3</v>
      </c>
      <c r="O172" s="47">
        <f t="shared" si="191"/>
        <v>3.5416666666666669E-3</v>
      </c>
      <c r="P172" s="92">
        <f t="shared" si="191"/>
        <v>3.5416666666666669E-3</v>
      </c>
      <c r="Q172" s="93">
        <f>AVERAGE(K172:P172)</f>
        <v>3.5416666666666665E-3</v>
      </c>
      <c r="R172" s="103">
        <f t="shared" ref="R172:AH172" si="192">AVERAGE(L172:Q172)</f>
        <v>3.5416666666666665E-3</v>
      </c>
      <c r="S172" s="103">
        <f t="shared" si="192"/>
        <v>3.5416666666666665E-3</v>
      </c>
      <c r="T172" s="103">
        <f t="shared" si="192"/>
        <v>3.5416666666666665E-3</v>
      </c>
      <c r="U172" s="103">
        <f t="shared" si="192"/>
        <v>3.5416666666666665E-3</v>
      </c>
      <c r="V172" s="103">
        <f t="shared" si="192"/>
        <v>3.5416666666666665E-3</v>
      </c>
      <c r="W172" s="103">
        <f t="shared" si="192"/>
        <v>3.5416666666666665E-3</v>
      </c>
      <c r="X172" s="103">
        <f t="shared" si="192"/>
        <v>3.5416666666666665E-3</v>
      </c>
      <c r="Y172" s="103">
        <f t="shared" si="192"/>
        <v>3.5416666666666665E-3</v>
      </c>
      <c r="Z172" s="103">
        <f t="shared" si="192"/>
        <v>3.5416666666666665E-3</v>
      </c>
      <c r="AA172" s="103">
        <f t="shared" si="192"/>
        <v>3.5416666666666665E-3</v>
      </c>
      <c r="AB172" s="103">
        <f t="shared" si="192"/>
        <v>3.5416666666666665E-3</v>
      </c>
      <c r="AC172" s="103">
        <f t="shared" si="192"/>
        <v>3.5416666666666665E-3</v>
      </c>
      <c r="AD172" s="103">
        <f t="shared" si="192"/>
        <v>3.5416666666666665E-3</v>
      </c>
      <c r="AE172" s="103">
        <f t="shared" si="192"/>
        <v>3.5416666666666665E-3</v>
      </c>
      <c r="AF172" s="103">
        <f t="shared" si="192"/>
        <v>3.5416666666666665E-3</v>
      </c>
      <c r="AG172" s="103">
        <f t="shared" si="192"/>
        <v>3.5416666666666665E-3</v>
      </c>
      <c r="AH172" s="103">
        <f t="shared" si="192"/>
        <v>3.5416666666666665E-3</v>
      </c>
      <c r="AJ172" s="27"/>
      <c r="AK172" s="27"/>
      <c r="AL172" s="27"/>
      <c r="AM172" s="28"/>
      <c r="AN172" s="27"/>
      <c r="AO172" s="27"/>
      <c r="AP172" s="27"/>
      <c r="AQ172" s="27"/>
      <c r="AR172" s="27"/>
      <c r="AS172" s="27"/>
      <c r="AU172" s="27"/>
      <c r="AV172" s="27"/>
      <c r="AW172" s="27"/>
    </row>
    <row r="173" spans="2:49" x14ac:dyDescent="0.25">
      <c r="C173" t="s">
        <v>509</v>
      </c>
      <c r="E173" s="31">
        <f>E170*E172</f>
        <v>17.627180632060952</v>
      </c>
      <c r="F173" s="31">
        <f t="shared" ref="F173:P173" si="193">F170*F172</f>
        <v>17.627180632060952</v>
      </c>
      <c r="G173" s="31">
        <f t="shared" si="193"/>
        <v>17.627180632060952</v>
      </c>
      <c r="H173" s="31">
        <f t="shared" si="193"/>
        <v>17.627180632060952</v>
      </c>
      <c r="I173" s="31">
        <f t="shared" si="193"/>
        <v>17.627180632060952</v>
      </c>
      <c r="J173" s="37">
        <f t="shared" si="193"/>
        <v>21.16884729872762</v>
      </c>
      <c r="K173" s="31">
        <f t="shared" si="193"/>
        <v>16.741763965394284</v>
      </c>
      <c r="L173" s="31">
        <f t="shared" si="193"/>
        <v>16.741763965394284</v>
      </c>
      <c r="M173" s="31">
        <f t="shared" si="193"/>
        <v>16.741763965394284</v>
      </c>
      <c r="N173" s="31">
        <f t="shared" si="193"/>
        <v>16.741763965394284</v>
      </c>
      <c r="O173" s="31">
        <f t="shared" si="193"/>
        <v>16.741763965394284</v>
      </c>
      <c r="P173" s="32">
        <f t="shared" si="193"/>
        <v>16.741763965394284</v>
      </c>
      <c r="Q173" s="13">
        <f>Q170*Q172</f>
        <v>16.741763965394284</v>
      </c>
      <c r="R173" s="13">
        <f t="shared" ref="R173:AH173" si="194">R170*R172</f>
        <v>16.741763965394284</v>
      </c>
      <c r="S173" s="13">
        <f t="shared" si="194"/>
        <v>16.741763965394284</v>
      </c>
      <c r="T173" s="13">
        <f t="shared" si="194"/>
        <v>16.741763965394284</v>
      </c>
      <c r="U173" s="13">
        <f t="shared" si="194"/>
        <v>16.741763965394284</v>
      </c>
      <c r="V173" s="13">
        <f t="shared" si="194"/>
        <v>16.741763965394284</v>
      </c>
      <c r="W173" s="13">
        <f t="shared" si="194"/>
        <v>16.741763965394284</v>
      </c>
      <c r="X173" s="13">
        <f t="shared" si="194"/>
        <v>16.741763965394284</v>
      </c>
      <c r="Y173" s="13">
        <f t="shared" si="194"/>
        <v>16.741763965394284</v>
      </c>
      <c r="Z173" s="13">
        <f t="shared" si="194"/>
        <v>16.741763965394284</v>
      </c>
      <c r="AA173" s="13">
        <f t="shared" si="194"/>
        <v>16.741763965394284</v>
      </c>
      <c r="AB173" s="13">
        <f t="shared" si="194"/>
        <v>16.741763965394284</v>
      </c>
      <c r="AC173" s="13">
        <f t="shared" si="194"/>
        <v>16.741763965394284</v>
      </c>
      <c r="AD173" s="13">
        <f t="shared" si="194"/>
        <v>16.741763965394284</v>
      </c>
      <c r="AE173" s="13">
        <f t="shared" si="194"/>
        <v>16.741763965394284</v>
      </c>
      <c r="AF173" s="13">
        <f t="shared" si="194"/>
        <v>16.741763965394284</v>
      </c>
      <c r="AG173" s="13">
        <f t="shared" si="194"/>
        <v>16.741763965394284</v>
      </c>
      <c r="AH173" s="13">
        <f t="shared" si="194"/>
        <v>16.741763965394284</v>
      </c>
      <c r="AJ173" s="13" cm="1">
        <f t="array" aca="1" ref="AJ173" ca="1">SUMPRODUCT(($E173:$AH173)*(AJ$3&amp;AJ$4&amp;AJ$5&amp;AJ$6=$E$3:$AH$3&amp;$E$4:$AH$4&amp;$E$5:$AH$5&amp;$E$6:$AH$6))</f>
        <v>52.881541896182853</v>
      </c>
      <c r="AK173" s="13" cm="1">
        <f t="array" aca="1" ref="AK173" ca="1">SUMPRODUCT(($E173:$AH173)*(AK$3=$E$3:$AH$3)*(AK$4=$E$4:$AH$4)*(AK$5=$E$5:$AH$5)*(AK$6=$E$6:$AH$6))</f>
        <v>56.423208562849524</v>
      </c>
      <c r="AL173" s="13" cm="1">
        <f t="array" aca="1" ref="AL173" ca="1">SUMPRODUCT(($E173:$AH173)*(AL$3=$E$3:$AH$3)*(AL$4=$E$4:$AH$4)*(AL$5=$E$5:$AH$5)*(AL$6=$E$6:$AH$6))</f>
        <v>50.225291896182853</v>
      </c>
      <c r="AM173" s="17" cm="1">
        <f t="array" aca="1" ref="AM173" ca="1">SUMPRODUCT(($E173:$AH173)*(AM$3=$E$3:$AH$3)*(AM$4=$E$4:$AH$4)*(AM$5=$E$5:$AH$5)*(AM$6=$E$6:$AH$6))</f>
        <v>50.225291896182853</v>
      </c>
      <c r="AN173" s="13" cm="1">
        <f t="array" aca="1" ref="AN173" ca="1">SUMPRODUCT(($E173:$AH173)*(AN$3=$E$3:$AH$3)*(AN$4=$E$4:$AH$4)*(AN$5=$E$5:$AH$5)*(AN$6=$E$6:$AH$6))</f>
        <v>50.225291896182853</v>
      </c>
      <c r="AO173" s="13" cm="1">
        <f t="array" aca="1" ref="AO173" ca="1">SUMPRODUCT(($E173:$AH173)*(AO$3=$E$3:$AH$3)*(AO$4=$E$4:$AH$4)*(AO$5=$E$5:$AH$5)*(AO$6=$E$6:$AH$6))</f>
        <v>50.225291896182853</v>
      </c>
      <c r="AP173" s="13" cm="1">
        <f t="array" aca="1" ref="AP173" ca="1">SUMPRODUCT(($E173:$AH173)*(AP$3=$E$3:$AH$3)*(AP$4=$E$4:$AH$4)*(AP$5=$E$5:$AH$5)*(AP$6=$E$6:$AH$6))</f>
        <v>50.225291896182853</v>
      </c>
      <c r="AQ173" s="13" cm="1">
        <f t="array" aca="1" ref="AQ173" ca="1">SUMPRODUCT(($E173:$AH173)*(AQ$3=$E$3:$AH$3)*(AQ$4=$E$4:$AH$4)*(AQ$5=$E$5:$AH$5)*(AQ$6=$E$6:$AH$6))</f>
        <v>50.225291896182853</v>
      </c>
      <c r="AR173" s="13" cm="1">
        <f t="array" aca="1" ref="AR173" ca="1">SUMPRODUCT(($E173:$AH173)*(AR$3=$E$3:$AH$3)*(AR$4=$E$4:$AH$4)*(AR$5=$E$5:$AH$5)*(AR$6=$E$6:$AH$6))</f>
        <v>50.225291896182853</v>
      </c>
      <c r="AS173" s="13" cm="1">
        <f t="array" aca="1" ref="AS173" ca="1">SUMPRODUCT(($E173:$AH173)*(AS$3=$E$3:$AH$3)*(AS$4=$E$4:$AH$4)*(AS$5=$E$5:$AH$5)*(AS$6=$E$6:$AH$6))</f>
        <v>50.225291896182853</v>
      </c>
      <c r="AU173" s="13" cm="1">
        <f t="array" aca="1" ref="AU173" ca="1">SUMPRODUCT(($E173:$AH173)*(AU$5=$E$5:$AH$5))</f>
        <v>109.30475045903239</v>
      </c>
      <c r="AV173" s="13" cm="1">
        <f t="array" aca="1" ref="AV173" ca="1">SUMPRODUCT(($E173:$AH173)*(AV$5=$E$5:$AH$5))</f>
        <v>200.90116758473141</v>
      </c>
      <c r="AW173" s="13" cm="1">
        <f t="array" aca="1" ref="AW173" ca="1">SUMPRODUCT(($E173:$AH173)*(AW$5=$E$5:$AH$5))</f>
        <v>200.90116758473141</v>
      </c>
    </row>
    <row r="174" spans="2:49" x14ac:dyDescent="0.25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8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J174" s="27"/>
      <c r="AK174" s="27"/>
      <c r="AL174" s="27"/>
      <c r="AM174" s="28"/>
      <c r="AN174" s="27"/>
      <c r="AO174" s="27"/>
      <c r="AP174" s="27"/>
      <c r="AQ174" s="27"/>
      <c r="AR174" s="27"/>
      <c r="AS174" s="27"/>
      <c r="AU174" s="27"/>
      <c r="AV174" s="27"/>
      <c r="AW174" s="27"/>
    </row>
    <row r="175" spans="2:49" x14ac:dyDescent="0.25">
      <c r="B175" t="s">
        <v>231</v>
      </c>
      <c r="C175" s="2" t="s">
        <v>125</v>
      </c>
      <c r="E175" s="13">
        <f>E168+E173</f>
        <v>20.029275765633791</v>
      </c>
      <c r="F175" s="15">
        <f t="shared" ref="F175:AH175" si="195">F168+F173</f>
        <v>20.029275765633791</v>
      </c>
      <c r="G175" s="15">
        <f t="shared" si="195"/>
        <v>20.856150765633792</v>
      </c>
      <c r="H175" s="15">
        <f t="shared" si="195"/>
        <v>20.856150765633792</v>
      </c>
      <c r="I175" s="15">
        <f t="shared" si="195"/>
        <v>20.856150765633792</v>
      </c>
      <c r="J175" s="15">
        <f t="shared" si="195"/>
        <v>24.39781743230046</v>
      </c>
      <c r="K175" s="15">
        <f t="shared" si="195"/>
        <v>19.065109098967124</v>
      </c>
      <c r="L175" s="15">
        <f t="shared" si="195"/>
        <v>19.065109098967124</v>
      </c>
      <c r="M175" s="15">
        <f t="shared" si="195"/>
        <v>19.065109098967124</v>
      </c>
      <c r="N175" s="15">
        <f t="shared" si="195"/>
        <v>19.065109098967124</v>
      </c>
      <c r="O175" s="15">
        <f t="shared" si="195"/>
        <v>19.065109098967124</v>
      </c>
      <c r="P175" s="16">
        <f t="shared" si="195"/>
        <v>19.117609098967126</v>
      </c>
      <c r="Q175" s="15">
        <f t="shared" si="195"/>
        <v>19.117609098967126</v>
      </c>
      <c r="R175" s="15">
        <f t="shared" si="195"/>
        <v>19.117609098967126</v>
      </c>
      <c r="S175" s="15">
        <f t="shared" si="195"/>
        <v>19.117609098967126</v>
      </c>
      <c r="T175" s="15">
        <f t="shared" si="195"/>
        <v>19.117609098967126</v>
      </c>
      <c r="U175" s="15">
        <f t="shared" si="195"/>
        <v>19.117609098967126</v>
      </c>
      <c r="V175" s="15">
        <f t="shared" si="195"/>
        <v>19.117609098967126</v>
      </c>
      <c r="W175" s="15">
        <f t="shared" si="195"/>
        <v>19.117609098967126</v>
      </c>
      <c r="X175" s="15">
        <f t="shared" si="195"/>
        <v>19.117609098967126</v>
      </c>
      <c r="Y175" s="15">
        <f t="shared" si="195"/>
        <v>19.117609098967126</v>
      </c>
      <c r="Z175" s="15">
        <f t="shared" si="195"/>
        <v>19.117609098967126</v>
      </c>
      <c r="AA175" s="15">
        <f t="shared" si="195"/>
        <v>19.117609098967126</v>
      </c>
      <c r="AB175" s="15">
        <f t="shared" si="195"/>
        <v>19.117609098967126</v>
      </c>
      <c r="AC175" s="15">
        <f t="shared" si="195"/>
        <v>19.117609098967126</v>
      </c>
      <c r="AD175" s="15">
        <f t="shared" si="195"/>
        <v>19.117609098967126</v>
      </c>
      <c r="AE175" s="15">
        <f t="shared" si="195"/>
        <v>19.117609098967126</v>
      </c>
      <c r="AF175" s="15">
        <f t="shared" si="195"/>
        <v>19.117609098967126</v>
      </c>
      <c r="AG175" s="15">
        <f t="shared" si="195"/>
        <v>19.117609098967126</v>
      </c>
      <c r="AH175" s="15">
        <f t="shared" si="195"/>
        <v>19.117609098967126</v>
      </c>
      <c r="AJ175" s="15">
        <f t="shared" ref="AJ175:AW175" ca="1" si="196">AJ168+AJ173</f>
        <v>60.914702296901375</v>
      </c>
      <c r="AK175" s="15">
        <f t="shared" ca="1" si="196"/>
        <v>66.110118963568041</v>
      </c>
      <c r="AL175" s="15">
        <f t="shared" ca="1" si="196"/>
        <v>57.195327296901375</v>
      </c>
      <c r="AM175" s="16">
        <f t="shared" ca="1" si="196"/>
        <v>57.247827296901377</v>
      </c>
      <c r="AN175" s="15">
        <f t="shared" ca="1" si="196"/>
        <v>57.352827296901374</v>
      </c>
      <c r="AO175" s="15">
        <f t="shared" ca="1" si="196"/>
        <v>57.352827296901374</v>
      </c>
      <c r="AP175" s="15">
        <f t="shared" ca="1" si="196"/>
        <v>57.352827296901374</v>
      </c>
      <c r="AQ175" s="15">
        <f t="shared" ca="1" si="196"/>
        <v>57.352827296901374</v>
      </c>
      <c r="AR175" s="15">
        <f t="shared" ca="1" si="196"/>
        <v>57.352827296901374</v>
      </c>
      <c r="AS175" s="15">
        <f t="shared" ca="1" si="196"/>
        <v>57.352827296901374</v>
      </c>
      <c r="AU175" s="15">
        <f t="shared" ca="1" si="196"/>
        <v>127.02482126046944</v>
      </c>
      <c r="AV175" s="15">
        <f t="shared" ca="1" si="196"/>
        <v>229.14880918760551</v>
      </c>
      <c r="AW175" s="15">
        <f t="shared" ca="1" si="196"/>
        <v>229.4113091876055</v>
      </c>
    </row>
    <row r="176" spans="2:49" x14ac:dyDescent="0.25">
      <c r="P176" s="8"/>
      <c r="AM176" s="8"/>
    </row>
    <row r="177" spans="1:49" x14ac:dyDescent="0.25">
      <c r="C177" s="30" t="s">
        <v>121</v>
      </c>
      <c r="D177" s="30"/>
      <c r="E177" s="45" t="str">
        <f t="shared" ref="E177:AH177" si="197">E$9</f>
        <v>Jul-20A</v>
      </c>
      <c r="F177" s="45" t="str">
        <f t="shared" si="197"/>
        <v>Aug-20A</v>
      </c>
      <c r="G177" s="45" t="str">
        <f t="shared" si="197"/>
        <v>Sep-20A</v>
      </c>
      <c r="H177" s="45" t="str">
        <f t="shared" si="197"/>
        <v>Oct-20A</v>
      </c>
      <c r="I177" s="45" t="str">
        <f t="shared" si="197"/>
        <v>Nov-20A</v>
      </c>
      <c r="J177" s="45" t="str">
        <f t="shared" si="197"/>
        <v>Dec-20A</v>
      </c>
      <c r="K177" s="45" t="str">
        <f t="shared" si="197"/>
        <v>Jan-21A</v>
      </c>
      <c r="L177" s="45" t="str">
        <f t="shared" si="197"/>
        <v>Feb-21A</v>
      </c>
      <c r="M177" s="45" t="str">
        <f t="shared" si="197"/>
        <v>Mar-21A</v>
      </c>
      <c r="N177" s="45" t="str">
        <f t="shared" si="197"/>
        <v>Apr-21A</v>
      </c>
      <c r="O177" s="45" t="str">
        <f t="shared" si="197"/>
        <v>May-21A</v>
      </c>
      <c r="P177" s="46" t="str">
        <f t="shared" si="197"/>
        <v>Jun-21A</v>
      </c>
      <c r="Q177" s="45" t="str">
        <f t="shared" si="197"/>
        <v>Jul-21F</v>
      </c>
      <c r="R177" s="45" t="str">
        <f t="shared" si="197"/>
        <v>Aug-21F</v>
      </c>
      <c r="S177" s="45" t="str">
        <f t="shared" si="197"/>
        <v>Sep-21F</v>
      </c>
      <c r="T177" s="45" t="str">
        <f t="shared" si="197"/>
        <v>Oct-21F</v>
      </c>
      <c r="U177" s="45" t="str">
        <f t="shared" si="197"/>
        <v>Nov-21F</v>
      </c>
      <c r="V177" s="45" t="str">
        <f t="shared" si="197"/>
        <v>Dec-21F</v>
      </c>
      <c r="W177" s="45" t="str">
        <f t="shared" si="197"/>
        <v>Jan-22F</v>
      </c>
      <c r="X177" s="45" t="str">
        <f t="shared" si="197"/>
        <v>Feb-22F</v>
      </c>
      <c r="Y177" s="45" t="str">
        <f t="shared" si="197"/>
        <v>Mar-22F</v>
      </c>
      <c r="Z177" s="45" t="str">
        <f t="shared" si="197"/>
        <v>Apr-22F</v>
      </c>
      <c r="AA177" s="45" t="str">
        <f t="shared" si="197"/>
        <v>May-22F</v>
      </c>
      <c r="AB177" s="45" t="str">
        <f t="shared" si="197"/>
        <v>Jun-22F</v>
      </c>
      <c r="AC177" s="45" t="str">
        <f t="shared" si="197"/>
        <v>Jul-22F</v>
      </c>
      <c r="AD177" s="45" t="str">
        <f t="shared" si="197"/>
        <v>Aug-22F</v>
      </c>
      <c r="AE177" s="45" t="str">
        <f t="shared" si="197"/>
        <v>Sep-22F</v>
      </c>
      <c r="AF177" s="45" t="str">
        <f t="shared" si="197"/>
        <v>Oct-22F</v>
      </c>
      <c r="AG177" s="45" t="str">
        <f t="shared" si="197"/>
        <v>Nov-22F</v>
      </c>
      <c r="AH177" s="45" t="str">
        <f t="shared" si="197"/>
        <v>Dec-22F</v>
      </c>
      <c r="AJ177" s="45" t="str">
        <f ca="1">AJ$10</f>
        <v>Q3'20A</v>
      </c>
      <c r="AK177" s="45" t="str">
        <f t="shared" ref="AK177:AW177" ca="1" si="198">AK$10</f>
        <v>Q4'20A</v>
      </c>
      <c r="AL177" s="45" t="str">
        <f t="shared" ca="1" si="198"/>
        <v>Q1'21A</v>
      </c>
      <c r="AM177" s="46" t="str">
        <f t="shared" ca="1" si="198"/>
        <v>Q2'21A</v>
      </c>
      <c r="AN177" s="45" t="str">
        <f t="shared" ca="1" si="198"/>
        <v>Q3'21F</v>
      </c>
      <c r="AO177" s="45" t="str">
        <f t="shared" ca="1" si="198"/>
        <v>Q4'21F</v>
      </c>
      <c r="AP177" s="45" t="str">
        <f t="shared" ca="1" si="198"/>
        <v>Q1'22F</v>
      </c>
      <c r="AQ177" s="45" t="str">
        <f t="shared" ca="1" si="198"/>
        <v>Q2'22F</v>
      </c>
      <c r="AR177" s="45" t="str">
        <f t="shared" ca="1" si="198"/>
        <v>Q3'22F</v>
      </c>
      <c r="AS177" s="45" t="str">
        <f t="shared" ca="1" si="198"/>
        <v>Q4'22F</v>
      </c>
      <c r="AU177" s="45" t="str">
        <f t="shared" ca="1" si="198"/>
        <v>FY20</v>
      </c>
      <c r="AV177" s="45" t="str">
        <f t="shared" ca="1" si="198"/>
        <v>FY21</v>
      </c>
      <c r="AW177" s="45" t="str">
        <f t="shared" ca="1" si="198"/>
        <v>FY22</v>
      </c>
    </row>
    <row r="178" spans="1:49" x14ac:dyDescent="0.25">
      <c r="C178" s="1" t="s">
        <v>89</v>
      </c>
      <c r="E178" s="33">
        <f>Summary_Income_Stmt!E53</f>
        <v>36.867388740074858</v>
      </c>
      <c r="F178" s="33">
        <f>Summary_Income_Stmt!F53</f>
        <v>-104.58758765299469</v>
      </c>
      <c r="G178" s="33">
        <f>Summary_Income_Stmt!G53</f>
        <v>-27.481901965753817</v>
      </c>
      <c r="H178" s="33">
        <f>Summary_Income_Stmt!H53</f>
        <v>34.160533697685509</v>
      </c>
      <c r="I178" s="33">
        <f>Summary_Income_Stmt!I53</f>
        <v>73.358806913441171</v>
      </c>
      <c r="J178" s="56">
        <f>Summary_Income_Stmt!J53</f>
        <v>298.03133149047494</v>
      </c>
      <c r="K178" s="33">
        <f>Summary_Income_Stmt!K53</f>
        <v>69.183535258300907</v>
      </c>
      <c r="L178" s="33">
        <f>Summary_Income_Stmt!L53</f>
        <v>25.75177191804001</v>
      </c>
      <c r="M178" s="33">
        <f>Summary_Income_Stmt!M53</f>
        <v>-343.23661140581555</v>
      </c>
      <c r="N178" s="33">
        <f>Summary_Income_Stmt!N53</f>
        <v>270.35194454309192</v>
      </c>
      <c r="O178" s="33">
        <f>Summary_Income_Stmt!O53</f>
        <v>175.36579440462305</v>
      </c>
      <c r="P178" s="34">
        <f>Summary_Income_Stmt!P53</f>
        <v>152.65069659155694</v>
      </c>
      <c r="Q178" s="33">
        <f>Summary_Income_Stmt!Q53</f>
        <v>102.78568112228672</v>
      </c>
      <c r="R178" s="33">
        <f>Summary_Income_Stmt!R53</f>
        <v>-39.46033611617316</v>
      </c>
      <c r="S178" s="33">
        <f>Summary_Income_Stmt!S53</f>
        <v>-19.126697982757157</v>
      </c>
      <c r="T178" s="33">
        <f>Summary_Income_Stmt!T53</f>
        <v>19.418445177790524</v>
      </c>
      <c r="U178" s="33">
        <f>Summary_Income_Stmt!U53</f>
        <v>68.426681412923301</v>
      </c>
      <c r="V178" s="33">
        <f>Summary_Income_Stmt!V53</f>
        <v>246.20933539016505</v>
      </c>
      <c r="W178" s="33">
        <f>Summary_Income_Stmt!W53</f>
        <v>58.497111237145148</v>
      </c>
      <c r="X178" s="33">
        <f>Summary_Income_Stmt!X53</f>
        <v>-3.7089034695636265</v>
      </c>
      <c r="Y178" s="33">
        <f>Summary_Income_Stmt!Y53</f>
        <v>-373.1071980283885</v>
      </c>
      <c r="Z178" s="33">
        <f>Summary_Income_Stmt!Z53</f>
        <v>258.53312727860356</v>
      </c>
      <c r="AA178" s="33">
        <f>Summary_Income_Stmt!AA53</f>
        <v>147.38301665413118</v>
      </c>
      <c r="AB178" s="33">
        <f>Summary_Income_Stmt!AB53</f>
        <v>188.86267016480627</v>
      </c>
      <c r="AC178" s="33">
        <f>Summary_Income_Stmt!AC53</f>
        <v>95.32951288716265</v>
      </c>
      <c r="AD178" s="33">
        <f>Summary_Income_Stmt!AD53</f>
        <v>-45.166151175138047</v>
      </c>
      <c r="AE178" s="33">
        <f>Summary_Income_Stmt!AE53</f>
        <v>-6.8068198020192057</v>
      </c>
      <c r="AF178" s="33">
        <f>Summary_Income_Stmt!AF53</f>
        <v>29.909185913036275</v>
      </c>
      <c r="AG178" s="33">
        <f>Summary_Income_Stmt!AG53</f>
        <v>81.007981364007136</v>
      </c>
      <c r="AH178" s="33">
        <f>Summary_Income_Stmt!AH53</f>
        <v>268.43174071126339</v>
      </c>
      <c r="AM178" s="8"/>
    </row>
    <row r="179" spans="1:49" x14ac:dyDescent="0.25">
      <c r="C179" s="23" t="s">
        <v>150</v>
      </c>
      <c r="D179" s="27"/>
      <c r="E179" s="47">
        <v>0.21</v>
      </c>
      <c r="F179" s="47">
        <v>0.21</v>
      </c>
      <c r="G179" s="47">
        <v>0.21</v>
      </c>
      <c r="H179" s="47">
        <v>0.21</v>
      </c>
      <c r="I179" s="47">
        <v>0.21</v>
      </c>
      <c r="J179" s="47">
        <v>0.21</v>
      </c>
      <c r="K179" s="47">
        <v>0.21</v>
      </c>
      <c r="L179" s="47">
        <v>0.21</v>
      </c>
      <c r="M179" s="47">
        <v>0.21</v>
      </c>
      <c r="N179" s="47">
        <v>0.21</v>
      </c>
      <c r="O179" s="47">
        <v>0.21</v>
      </c>
      <c r="P179" s="92">
        <v>0.21</v>
      </c>
      <c r="Q179" s="93">
        <f t="shared" ref="Q179:AH179" si="199">AVERAGE(K179:P179)</f>
        <v>0.21</v>
      </c>
      <c r="R179" s="103">
        <f t="shared" si="199"/>
        <v>0.21</v>
      </c>
      <c r="S179" s="103">
        <f t="shared" si="199"/>
        <v>0.21</v>
      </c>
      <c r="T179" s="103">
        <f t="shared" si="199"/>
        <v>0.21</v>
      </c>
      <c r="U179" s="103">
        <f t="shared" si="199"/>
        <v>0.21</v>
      </c>
      <c r="V179" s="103">
        <f t="shared" si="199"/>
        <v>0.21</v>
      </c>
      <c r="W179" s="103">
        <f t="shared" si="199"/>
        <v>0.21</v>
      </c>
      <c r="X179" s="103">
        <f t="shared" si="199"/>
        <v>0.21</v>
      </c>
      <c r="Y179" s="103">
        <f t="shared" si="199"/>
        <v>0.21</v>
      </c>
      <c r="Z179" s="103">
        <f t="shared" si="199"/>
        <v>0.21</v>
      </c>
      <c r="AA179" s="103">
        <f t="shared" si="199"/>
        <v>0.21</v>
      </c>
      <c r="AB179" s="103">
        <f t="shared" si="199"/>
        <v>0.21</v>
      </c>
      <c r="AC179" s="103">
        <f t="shared" si="199"/>
        <v>0.21</v>
      </c>
      <c r="AD179" s="103">
        <f t="shared" si="199"/>
        <v>0.21</v>
      </c>
      <c r="AE179" s="103">
        <f t="shared" si="199"/>
        <v>0.21</v>
      </c>
      <c r="AF179" s="103">
        <f t="shared" si="199"/>
        <v>0.21</v>
      </c>
      <c r="AG179" s="103">
        <f t="shared" si="199"/>
        <v>0.21</v>
      </c>
      <c r="AH179" s="103">
        <f t="shared" si="199"/>
        <v>0.21</v>
      </c>
      <c r="AM179" s="8"/>
    </row>
    <row r="180" spans="1:49" x14ac:dyDescent="0.25">
      <c r="B180" t="s">
        <v>231</v>
      </c>
      <c r="C180" t="s">
        <v>126</v>
      </c>
      <c r="E180" s="31">
        <f>E178*E179</f>
        <v>7.7421516354157198</v>
      </c>
      <c r="F180" s="31">
        <f t="shared" ref="F180:P180" si="200">F178*F179</f>
        <v>-21.963393407128883</v>
      </c>
      <c r="G180" s="31">
        <f t="shared" si="200"/>
        <v>-5.7711994128083015</v>
      </c>
      <c r="H180" s="31">
        <f t="shared" si="200"/>
        <v>7.1737120765139561</v>
      </c>
      <c r="I180" s="31">
        <f t="shared" si="200"/>
        <v>15.405349451822646</v>
      </c>
      <c r="J180" s="37">
        <f t="shared" si="200"/>
        <v>62.586579612999735</v>
      </c>
      <c r="K180" s="31">
        <f t="shared" si="200"/>
        <v>14.52854240424319</v>
      </c>
      <c r="L180" s="31">
        <f t="shared" si="200"/>
        <v>5.407872102788402</v>
      </c>
      <c r="M180" s="31">
        <f t="shared" si="200"/>
        <v>-72.079688395221268</v>
      </c>
      <c r="N180" s="31">
        <f t="shared" si="200"/>
        <v>56.773908354049304</v>
      </c>
      <c r="O180" s="31">
        <f t="shared" si="200"/>
        <v>36.826816824970841</v>
      </c>
      <c r="P180" s="32">
        <f t="shared" si="200"/>
        <v>32.056646284226957</v>
      </c>
      <c r="Q180" s="13">
        <f t="shared" ref="Q180:AH180" si="201">Q178*Q179</f>
        <v>21.58499303568021</v>
      </c>
      <c r="R180" s="13">
        <f t="shared" si="201"/>
        <v>-8.2866705843963633</v>
      </c>
      <c r="S180" s="13">
        <f t="shared" si="201"/>
        <v>-4.0166065763790026</v>
      </c>
      <c r="T180" s="13">
        <f t="shared" si="201"/>
        <v>4.0778734873360101</v>
      </c>
      <c r="U180" s="13">
        <f t="shared" si="201"/>
        <v>14.369603096713893</v>
      </c>
      <c r="V180" s="13">
        <f t="shared" si="201"/>
        <v>51.703960431934661</v>
      </c>
      <c r="W180" s="13">
        <f t="shared" si="201"/>
        <v>12.284393359800481</v>
      </c>
      <c r="X180" s="13">
        <f t="shared" si="201"/>
        <v>-0.77886972860836157</v>
      </c>
      <c r="Y180" s="13">
        <f t="shared" si="201"/>
        <v>-78.352511585961579</v>
      </c>
      <c r="Z180" s="13">
        <f t="shared" si="201"/>
        <v>54.291956728506747</v>
      </c>
      <c r="AA180" s="13">
        <f t="shared" si="201"/>
        <v>30.950433497367548</v>
      </c>
      <c r="AB180" s="13">
        <f t="shared" si="201"/>
        <v>39.661160734609318</v>
      </c>
      <c r="AC180" s="13">
        <f t="shared" si="201"/>
        <v>20.019197706304155</v>
      </c>
      <c r="AD180" s="13">
        <f t="shared" si="201"/>
        <v>-9.4848917467789899</v>
      </c>
      <c r="AE180" s="13">
        <f t="shared" si="201"/>
        <v>-1.429432158424033</v>
      </c>
      <c r="AF180" s="13">
        <f t="shared" si="201"/>
        <v>6.2809290417376173</v>
      </c>
      <c r="AG180" s="13">
        <f t="shared" si="201"/>
        <v>17.011676086441497</v>
      </c>
      <c r="AH180" s="13">
        <f t="shared" si="201"/>
        <v>56.370665549365306</v>
      </c>
      <c r="AJ180" s="13" cm="1">
        <f t="array" aca="1" ref="AJ180" ca="1">SUMPRODUCT(($E180:$AH180)*(AJ$3&amp;AJ$4&amp;AJ$5&amp;AJ$6=$E$3:$AH$3&amp;$E$4:$AH$4&amp;$E$5:$AH$5&amp;$E$6:$AH$6))</f>
        <v>-19.992441184521464</v>
      </c>
      <c r="AK180" s="13" cm="1">
        <f t="array" aca="1" ref="AK180" ca="1">SUMPRODUCT(($E180:$AH180)*(AK$3=$E$3:$AH$3)*(AK$4=$E$4:$AH$4)*(AK$5=$E$5:$AH$5)*(AK$6=$E$6:$AH$6))</f>
        <v>85.165641141336337</v>
      </c>
      <c r="AL180" s="13" cm="1">
        <f t="array" aca="1" ref="AL180" ca="1">SUMPRODUCT(($E180:$AH180)*(AL$3=$E$3:$AH$3)*(AL$4=$E$4:$AH$4)*(AL$5=$E$5:$AH$5)*(AL$6=$E$6:$AH$6))</f>
        <v>-52.143273888189675</v>
      </c>
      <c r="AM180" s="17" cm="1">
        <f t="array" aca="1" ref="AM180" ca="1">SUMPRODUCT(($E180:$AH180)*(AM$3=$E$3:$AH$3)*(AM$4=$E$4:$AH$4)*(AM$5=$E$5:$AH$5)*(AM$6=$E$6:$AH$6))</f>
        <v>125.6573714632471</v>
      </c>
      <c r="AN180" s="13" cm="1">
        <f t="array" aca="1" ref="AN180" ca="1">SUMPRODUCT(($E180:$AH180)*(AN$3=$E$3:$AH$3)*(AN$4=$E$4:$AH$4)*(AN$5=$E$5:$AH$5)*(AN$6=$E$6:$AH$6))</f>
        <v>9.2817158749048438</v>
      </c>
      <c r="AO180" s="13" cm="1">
        <f t="array" aca="1" ref="AO180" ca="1">SUMPRODUCT(($E180:$AH180)*(AO$3=$E$3:$AH$3)*(AO$4=$E$4:$AH$4)*(AO$5=$E$5:$AH$5)*(AO$6=$E$6:$AH$6))</f>
        <v>70.151437015984556</v>
      </c>
      <c r="AP180" s="13" cm="1">
        <f t="array" aca="1" ref="AP180" ca="1">SUMPRODUCT(($E180:$AH180)*(AP$3=$E$3:$AH$3)*(AP$4=$E$4:$AH$4)*(AP$5=$E$5:$AH$5)*(AP$6=$E$6:$AH$6))</f>
        <v>-66.84698795476946</v>
      </c>
      <c r="AQ180" s="13" cm="1">
        <f t="array" aca="1" ref="AQ180" ca="1">SUMPRODUCT(($E180:$AH180)*(AQ$3=$E$3:$AH$3)*(AQ$4=$E$4:$AH$4)*(AQ$5=$E$5:$AH$5)*(AQ$6=$E$6:$AH$6))</f>
        <v>124.90355096048361</v>
      </c>
      <c r="AR180" s="13" cm="1">
        <f t="array" aca="1" ref="AR180" ca="1">SUMPRODUCT(($E180:$AH180)*(AR$3=$E$3:$AH$3)*(AR$4=$E$4:$AH$4)*(AR$5=$E$5:$AH$5)*(AR$6=$E$6:$AH$6))</f>
        <v>9.1048738011011316</v>
      </c>
      <c r="AS180" s="13" cm="1">
        <f t="array" aca="1" ref="AS180" ca="1">SUMPRODUCT(($E180:$AH180)*(AS$3=$E$3:$AH$3)*(AS$4=$E$4:$AH$4)*(AS$5=$E$5:$AH$5)*(AS$6=$E$6:$AH$6))</f>
        <v>79.663270677544418</v>
      </c>
      <c r="AU180" s="13" cm="1">
        <f t="array" aca="1" ref="AU180" ca="1">SUMPRODUCT(($E180:$AH180)*(AU$5=$E$5:$AH$5))</f>
        <v>65.173199956814869</v>
      </c>
      <c r="AV180" s="13" cm="1">
        <f t="array" aca="1" ref="AV180" ca="1">SUMPRODUCT(($E180:$AH180)*(AV$5=$E$5:$AH$5))</f>
        <v>152.94725046594684</v>
      </c>
      <c r="AW180" s="13" cm="1">
        <f t="array" aca="1" ref="AW180" ca="1">SUMPRODUCT(($E180:$AH180)*(AW$5=$E$5:$AH$5))</f>
        <v>146.82470748435972</v>
      </c>
    </row>
    <row r="181" spans="1:49" x14ac:dyDescent="0.25">
      <c r="P181" s="8"/>
      <c r="AM181" s="8"/>
    </row>
    <row r="182" spans="1:49" ht="15.75" thickBot="1" x14ac:dyDescent="0.3">
      <c r="B182" t="s">
        <v>231</v>
      </c>
      <c r="C182" s="53" t="s">
        <v>79</v>
      </c>
      <c r="D182" s="53"/>
      <c r="E182" s="54">
        <f t="shared" ref="E182:AH182" si="202">E81+E122+E127+E132+E139+E162+E173+E180</f>
        <v>1002.9694619313922</v>
      </c>
      <c r="F182" s="54">
        <f t="shared" si="202"/>
        <v>897.83415216325068</v>
      </c>
      <c r="G182" s="54">
        <f t="shared" si="202"/>
        <v>813.39967734734842</v>
      </c>
      <c r="H182" s="54">
        <f t="shared" si="202"/>
        <v>784.1932953040797</v>
      </c>
      <c r="I182" s="54">
        <f t="shared" si="202"/>
        <v>764.73763186549115</v>
      </c>
      <c r="J182" s="54">
        <f t="shared" si="202"/>
        <v>922.97268088726776</v>
      </c>
      <c r="K182" s="54">
        <f t="shared" si="202"/>
        <v>899.84249611229541</v>
      </c>
      <c r="L182" s="54">
        <f t="shared" si="202"/>
        <v>807.07721916480148</v>
      </c>
      <c r="M182" s="54">
        <f t="shared" si="202"/>
        <v>1099.3033663892618</v>
      </c>
      <c r="N182" s="54">
        <f t="shared" si="202"/>
        <v>939.21384397923362</v>
      </c>
      <c r="O182" s="54">
        <f t="shared" si="202"/>
        <v>1000.1295228942344</v>
      </c>
      <c r="P182" s="55">
        <f t="shared" si="202"/>
        <v>1084.9814954065391</v>
      </c>
      <c r="Q182" s="54">
        <f t="shared" si="202"/>
        <v>1006.8207528046109</v>
      </c>
      <c r="R182" s="54">
        <f t="shared" si="202"/>
        <v>910.87078421924082</v>
      </c>
      <c r="S182" s="54">
        <f t="shared" si="202"/>
        <v>851.71263533978572</v>
      </c>
      <c r="T182" s="54">
        <f t="shared" si="202"/>
        <v>837.61312940323694</v>
      </c>
      <c r="U182" s="54">
        <f t="shared" si="202"/>
        <v>817.16298378331351</v>
      </c>
      <c r="V182" s="54">
        <f t="shared" si="202"/>
        <v>965.43076281384663</v>
      </c>
      <c r="W182" s="54">
        <f t="shared" si="202"/>
        <v>965.32295921677166</v>
      </c>
      <c r="X182" s="54">
        <f t="shared" si="202"/>
        <v>866.95527728493835</v>
      </c>
      <c r="Y182" s="54">
        <f t="shared" si="202"/>
        <v>1147.2389248660941</v>
      </c>
      <c r="Z182" s="54">
        <f t="shared" si="202"/>
        <v>1036.1570777326908</v>
      </c>
      <c r="AA182" s="54">
        <f t="shared" si="202"/>
        <v>1044.1570825118811</v>
      </c>
      <c r="AB182" s="54">
        <f t="shared" si="202"/>
        <v>1118.6259221069245</v>
      </c>
      <c r="AC182" s="54">
        <f t="shared" si="202"/>
        <v>1064.980086572293</v>
      </c>
      <c r="AD182" s="54">
        <f t="shared" si="202"/>
        <v>958.44197895817285</v>
      </c>
      <c r="AE182" s="54">
        <f t="shared" si="202"/>
        <v>883.14986110464929</v>
      </c>
      <c r="AF182" s="54">
        <f t="shared" si="202"/>
        <v>871.43677518206891</v>
      </c>
      <c r="AG182" s="54">
        <f t="shared" si="202"/>
        <v>850.25686326239281</v>
      </c>
      <c r="AH182" s="54">
        <f t="shared" si="202"/>
        <v>1004.2480632177404</v>
      </c>
      <c r="AJ182" s="54">
        <f t="shared" ref="AJ182:AS182" ca="1" si="203">AJ81+AJ122+AJ127+AJ132+AJ139+AJ162+AJ173+AJ180</f>
        <v>2714.2032914419915</v>
      </c>
      <c r="AK182" s="54">
        <f t="shared" ca="1" si="203"/>
        <v>2471.9036080568389</v>
      </c>
      <c r="AL182" s="54">
        <f t="shared" ca="1" si="203"/>
        <v>2806.2230816663587</v>
      </c>
      <c r="AM182" s="55">
        <f t="shared" ca="1" si="203"/>
        <v>3024.324862280007</v>
      </c>
      <c r="AN182" s="54">
        <f t="shared" ca="1" si="203"/>
        <v>2769.4041723636383</v>
      </c>
      <c r="AO182" s="54">
        <f t="shared" ca="1" si="203"/>
        <v>2620.2068760003972</v>
      </c>
      <c r="AP182" s="54">
        <f t="shared" ca="1" si="203"/>
        <v>2979.517161367804</v>
      </c>
      <c r="AQ182" s="54">
        <f t="shared" ca="1" si="203"/>
        <v>3198.940082351497</v>
      </c>
      <c r="AR182" s="54">
        <f t="shared" ca="1" si="203"/>
        <v>2906.5719266351152</v>
      </c>
      <c r="AS182" s="54">
        <f t="shared" ca="1" si="203"/>
        <v>2725.9417016622028</v>
      </c>
      <c r="AU182" s="54">
        <f t="shared" ref="AU182:AW182" ca="1" si="204">AU81+AU122+AU127+AU132+AU139+AU162+AU173+AU180</f>
        <v>5186.10689949883</v>
      </c>
      <c r="AV182" s="54">
        <f t="shared" ca="1" si="204"/>
        <v>11220.1589923104</v>
      </c>
      <c r="AW182" s="54">
        <f t="shared" ca="1" si="204"/>
        <v>11810.97087201662</v>
      </c>
    </row>
    <row r="183" spans="1:49" ht="15.75" thickTop="1" x14ac:dyDescent="0.25">
      <c r="P183" s="8"/>
      <c r="AM183" s="8"/>
    </row>
    <row r="184" spans="1:49" ht="15.75" thickBot="1" x14ac:dyDescent="0.3">
      <c r="A184" t="s">
        <v>231</v>
      </c>
      <c r="B184" t="s">
        <v>231</v>
      </c>
      <c r="C184" s="53" t="s">
        <v>80</v>
      </c>
      <c r="D184" s="53"/>
      <c r="E184" s="54">
        <f t="shared" ref="E184:AH184" si="205">E42+E58+E182</f>
        <v>1047.8716904779258</v>
      </c>
      <c r="F184" s="54">
        <f t="shared" si="205"/>
        <v>942.73638070978427</v>
      </c>
      <c r="G184" s="54">
        <f t="shared" si="205"/>
        <v>858.30190589388201</v>
      </c>
      <c r="H184" s="54">
        <f t="shared" si="205"/>
        <v>829.09552385061329</v>
      </c>
      <c r="I184" s="54">
        <f t="shared" si="205"/>
        <v>809.63986041202475</v>
      </c>
      <c r="J184" s="54">
        <f t="shared" si="205"/>
        <v>967.87490943380135</v>
      </c>
      <c r="K184" s="54">
        <f t="shared" si="205"/>
        <v>944.744724658829</v>
      </c>
      <c r="L184" s="54">
        <f t="shared" si="205"/>
        <v>851.97944771133507</v>
      </c>
      <c r="M184" s="54">
        <f t="shared" si="205"/>
        <v>1144.2055949357955</v>
      </c>
      <c r="N184" s="54">
        <f t="shared" si="205"/>
        <v>984.11607252576721</v>
      </c>
      <c r="O184" s="54">
        <f t="shared" si="205"/>
        <v>1045.0317514407679</v>
      </c>
      <c r="P184" s="55">
        <f t="shared" si="205"/>
        <v>1129.8837239530728</v>
      </c>
      <c r="Q184" s="54">
        <f t="shared" si="205"/>
        <v>1051.7229813511447</v>
      </c>
      <c r="R184" s="54">
        <f t="shared" si="205"/>
        <v>955.77301276577441</v>
      </c>
      <c r="S184" s="54">
        <f t="shared" si="205"/>
        <v>896.61486388631931</v>
      </c>
      <c r="T184" s="54">
        <f t="shared" si="205"/>
        <v>882.51535794977053</v>
      </c>
      <c r="U184" s="54">
        <f t="shared" si="205"/>
        <v>862.0652123298471</v>
      </c>
      <c r="V184" s="54">
        <f t="shared" si="205"/>
        <v>1010.3329913603802</v>
      </c>
      <c r="W184" s="54">
        <f t="shared" si="205"/>
        <v>1010.7251877633053</v>
      </c>
      <c r="X184" s="54">
        <f t="shared" si="205"/>
        <v>912.35750583147194</v>
      </c>
      <c r="Y184" s="54">
        <f t="shared" si="205"/>
        <v>1192.6411534126278</v>
      </c>
      <c r="Z184" s="54">
        <f t="shared" si="205"/>
        <v>1081.5593062792245</v>
      </c>
      <c r="AA184" s="54">
        <f t="shared" si="205"/>
        <v>1089.5593110584148</v>
      </c>
      <c r="AB184" s="54">
        <f t="shared" si="205"/>
        <v>1164.0281506534582</v>
      </c>
      <c r="AC184" s="54">
        <f t="shared" si="205"/>
        <v>1110.3823151188267</v>
      </c>
      <c r="AD184" s="54">
        <f t="shared" si="205"/>
        <v>1003.8442075047064</v>
      </c>
      <c r="AE184" s="54">
        <f t="shared" si="205"/>
        <v>928.55208965118288</v>
      </c>
      <c r="AF184" s="54">
        <f t="shared" si="205"/>
        <v>916.83900372860251</v>
      </c>
      <c r="AG184" s="54">
        <f t="shared" si="205"/>
        <v>895.65909180892641</v>
      </c>
      <c r="AH184" s="54">
        <f t="shared" si="205"/>
        <v>1049.650291764274</v>
      </c>
      <c r="AJ184" s="54">
        <f t="shared" ref="AJ184:AS184" ca="1" si="206">AJ42+AJ58+AJ182</f>
        <v>2848.9099770815924</v>
      </c>
      <c r="AK184" s="54">
        <f t="shared" ca="1" si="206"/>
        <v>2606.6102936964398</v>
      </c>
      <c r="AL184" s="54">
        <f t="shared" ca="1" si="206"/>
        <v>2940.9297673059596</v>
      </c>
      <c r="AM184" s="55">
        <f t="shared" ca="1" si="206"/>
        <v>3159.0315479196079</v>
      </c>
      <c r="AN184" s="54">
        <f t="shared" ca="1" si="206"/>
        <v>2904.1108580032392</v>
      </c>
      <c r="AO184" s="54">
        <f t="shared" ca="1" si="206"/>
        <v>2754.9135616399981</v>
      </c>
      <c r="AP184" s="54">
        <f t="shared" ca="1" si="206"/>
        <v>3115.7238470074049</v>
      </c>
      <c r="AQ184" s="54">
        <f t="shared" ca="1" si="206"/>
        <v>3335.1467679910979</v>
      </c>
      <c r="AR184" s="54">
        <f t="shared" ca="1" si="206"/>
        <v>3042.7786122747161</v>
      </c>
      <c r="AS184" s="54">
        <f t="shared" ca="1" si="206"/>
        <v>2862.1483873018037</v>
      </c>
      <c r="AU184" s="54">
        <f t="shared" ref="AU184:AW184" ca="1" si="207">AU42+AU58+AU182</f>
        <v>5455.5202707780318</v>
      </c>
      <c r="AV184" s="54">
        <f t="shared" ca="1" si="207"/>
        <v>11758.985734868804</v>
      </c>
      <c r="AW184" s="54">
        <f t="shared" ca="1" si="207"/>
        <v>12355.797614575024</v>
      </c>
    </row>
    <row r="185" spans="1:49" ht="15.75" thickTop="1" x14ac:dyDescent="0.25">
      <c r="P185" s="8"/>
    </row>
    <row r="186" spans="1:49" x14ac:dyDescent="0.25">
      <c r="P186" s="8"/>
    </row>
  </sheetData>
  <dataValidations count="1">
    <dataValidation type="list" allowBlank="1" showInputMessage="1" showErrorMessage="1" sqref="AZ135" xr:uid="{FF4CE3BC-5672-49B0-AD55-C61CE1747F41}">
      <formula1>$C$66:$C$69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B3E9-7DA9-43E7-9C76-BDAAFF4BEC67}">
  <sheetPr>
    <tabColor theme="4"/>
  </sheetPr>
  <dimension ref="A3:AW188"/>
  <sheetViews>
    <sheetView showGridLines="0" zoomScale="85" zoomScaleNormal="85" workbookViewId="0">
      <pane xSplit="3" ySplit="10" topLeftCell="D186" activePane="bottomRight" state="frozen"/>
      <selection pane="topRight" activeCell="D1" sqref="D1"/>
      <selection pane="bottomLeft" activeCell="A11" sqref="A11"/>
      <selection pane="bottomRight" activeCell="AG64" sqref="AG64"/>
    </sheetView>
  </sheetViews>
  <sheetFormatPr defaultRowHeight="15" outlineLevelRow="1" outlineLevelCol="1" x14ac:dyDescent="0.25"/>
  <cols>
    <col min="1" max="2" width="2.5703125" customWidth="1"/>
    <col min="3" max="3" width="40.42578125" bestFit="1" customWidth="1"/>
    <col min="4" max="4" width="2.5703125" customWidth="1" outlineLevel="1"/>
    <col min="5" max="10" width="10.5703125" bestFit="1" customWidth="1" outlineLevel="1"/>
    <col min="11" max="28" width="10.5703125" bestFit="1" customWidth="1"/>
    <col min="29" max="34" width="10.5703125" bestFit="1" customWidth="1" outlineLevel="1"/>
    <col min="35" max="35" width="2.5703125" customWidth="1"/>
    <col min="36" max="45" width="8.7109375" outlineLevel="1"/>
    <col min="46" max="46" width="2.5703125" customWidth="1"/>
    <col min="47" max="49" width="8.7109375" outlineLevel="1"/>
    <col min="50" max="50" width="2.5703125" customWidth="1"/>
  </cols>
  <sheetData>
    <row r="3" spans="3:49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3:49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3:49" outlineLevel="1" x14ac:dyDescent="0.25">
      <c r="C5" t="s">
        <v>11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3:49" outlineLevel="1" x14ac:dyDescent="0.25">
      <c r="C6" t="s">
        <v>10</v>
      </c>
      <c r="E6" s="5" t="str">
        <f t="shared" ref="E6:AH6" si="1">"Q"&amp;ROUNDUP(E7/3,0)</f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3:49" outlineLevel="1" x14ac:dyDescent="0.25">
      <c r="C7" t="s">
        <v>12</v>
      </c>
      <c r="E7" s="5">
        <f t="shared" ref="E7:AH7" si="2">MONTH(E8)</f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  <c r="AJ7" s="5"/>
      <c r="AM7" s="8"/>
    </row>
    <row r="8" spans="3:49" outlineLevel="1" x14ac:dyDescent="0.25">
      <c r="C8" t="s">
        <v>9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  <c r="AM8" s="8"/>
    </row>
    <row r="9" spans="3:49" outlineLevel="1" x14ac:dyDescent="0.25">
      <c r="C9" t="s">
        <v>17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  <c r="AM9" s="8"/>
      <c r="AU9" s="319" t="str">
        <f ca="1">COUNTIF($E$5:$AH$5,AU$5)&amp;"m"</f>
        <v>6m</v>
      </c>
      <c r="AV9" s="319" t="str">
        <f t="shared" ref="AV9:AW9" ca="1" si="5">COUNTIF($E$5:$AH$5,AV$5)&amp;"m"</f>
        <v>12m</v>
      </c>
      <c r="AW9" s="319" t="str">
        <f t="shared" ca="1" si="5"/>
        <v>12m</v>
      </c>
    </row>
    <row r="10" spans="3:49" x14ac:dyDescent="0.25">
      <c r="E10" s="43" t="str">
        <f t="shared" ref="E10:AH10" si="6">E$9</f>
        <v>Jul-20A</v>
      </c>
      <c r="F10" s="43" t="str">
        <f t="shared" si="6"/>
        <v>Aug-20A</v>
      </c>
      <c r="G10" s="43" t="str">
        <f t="shared" si="6"/>
        <v>Sep-20A</v>
      </c>
      <c r="H10" s="43" t="str">
        <f t="shared" si="6"/>
        <v>Oct-20A</v>
      </c>
      <c r="I10" s="43" t="str">
        <f t="shared" si="6"/>
        <v>Nov-20A</v>
      </c>
      <c r="J10" s="43" t="str">
        <f t="shared" si="6"/>
        <v>Dec-20A</v>
      </c>
      <c r="K10" s="43" t="str">
        <f t="shared" si="6"/>
        <v>Jan-21A</v>
      </c>
      <c r="L10" s="43" t="str">
        <f t="shared" si="6"/>
        <v>Feb-21A</v>
      </c>
      <c r="M10" s="43" t="str">
        <f t="shared" si="6"/>
        <v>Mar-21A</v>
      </c>
      <c r="N10" s="43" t="str">
        <f t="shared" si="6"/>
        <v>Apr-21A</v>
      </c>
      <c r="O10" s="43" t="str">
        <f t="shared" si="6"/>
        <v>May-21A</v>
      </c>
      <c r="P10" s="44" t="str">
        <f t="shared" si="6"/>
        <v>Jun-21A</v>
      </c>
      <c r="Q10" s="43" t="str">
        <f t="shared" si="6"/>
        <v>Jul-21F</v>
      </c>
      <c r="R10" s="43" t="str">
        <f t="shared" si="6"/>
        <v>Aug-21F</v>
      </c>
      <c r="S10" s="43" t="str">
        <f t="shared" si="6"/>
        <v>Sep-21F</v>
      </c>
      <c r="T10" s="43" t="str">
        <f t="shared" si="6"/>
        <v>Oct-21F</v>
      </c>
      <c r="U10" s="43" t="str">
        <f t="shared" si="6"/>
        <v>Nov-21F</v>
      </c>
      <c r="V10" s="43" t="str">
        <f t="shared" si="6"/>
        <v>Dec-21F</v>
      </c>
      <c r="W10" s="43" t="str">
        <f t="shared" si="6"/>
        <v>Jan-22F</v>
      </c>
      <c r="X10" s="43" t="str">
        <f t="shared" si="6"/>
        <v>Feb-22F</v>
      </c>
      <c r="Y10" s="43" t="str">
        <f t="shared" si="6"/>
        <v>Mar-22F</v>
      </c>
      <c r="Z10" s="43" t="str">
        <f t="shared" si="6"/>
        <v>Apr-22F</v>
      </c>
      <c r="AA10" s="43" t="str">
        <f t="shared" si="6"/>
        <v>May-22F</v>
      </c>
      <c r="AB10" s="43" t="str">
        <f t="shared" si="6"/>
        <v>Jun-22F</v>
      </c>
      <c r="AC10" s="43" t="str">
        <f t="shared" si="6"/>
        <v>Jul-22F</v>
      </c>
      <c r="AD10" s="43" t="str">
        <f t="shared" si="6"/>
        <v>Aug-22F</v>
      </c>
      <c r="AE10" s="43" t="str">
        <f t="shared" si="6"/>
        <v>Sep-22F</v>
      </c>
      <c r="AF10" s="43" t="str">
        <f t="shared" si="6"/>
        <v>Oct-22F</v>
      </c>
      <c r="AG10" s="43" t="str">
        <f t="shared" si="6"/>
        <v>Nov-22F</v>
      </c>
      <c r="AH10" s="43" t="str">
        <f t="shared" si="6"/>
        <v>Dec-22F</v>
      </c>
      <c r="AJ10" s="43" t="str">
        <f ca="1">AJ6&amp;"'"&amp;RIGHT(AJ5,2)&amp;LEFT(AJ3,1)</f>
        <v>Q3'20A</v>
      </c>
      <c r="AK10" s="43" t="str">
        <f t="shared" ref="AK10:AS10" ca="1" si="7">AK6&amp;"'"&amp;RIGHT(AK5,2)&amp;LEFT(AK3,1)</f>
        <v>Q4'20A</v>
      </c>
      <c r="AL10" s="43" t="str">
        <f t="shared" ca="1" si="7"/>
        <v>Q1'21A</v>
      </c>
      <c r="AM10" s="44" t="str">
        <f t="shared" ca="1" si="7"/>
        <v>Q2'21A</v>
      </c>
      <c r="AN10" s="43" t="str">
        <f t="shared" ca="1" si="7"/>
        <v>Q3'21F</v>
      </c>
      <c r="AO10" s="43" t="str">
        <f t="shared" ca="1" si="7"/>
        <v>Q4'21F</v>
      </c>
      <c r="AP10" s="43" t="str">
        <f t="shared" ca="1" si="7"/>
        <v>Q1'22F</v>
      </c>
      <c r="AQ10" s="43" t="str">
        <f t="shared" ca="1" si="7"/>
        <v>Q2'22F</v>
      </c>
      <c r="AR10" s="43" t="str">
        <f t="shared" ca="1" si="7"/>
        <v>Q3'22F</v>
      </c>
      <c r="AS10" s="43" t="str">
        <f t="shared" ca="1" si="7"/>
        <v>Q4'22F</v>
      </c>
      <c r="AT10" s="11"/>
      <c r="AU10" s="326" t="str">
        <f ca="1">"FY"&amp;RIGHT(AU5,2)</f>
        <v>FY20</v>
      </c>
      <c r="AV10" s="326" t="str">
        <f t="shared" ref="AV10:AW10" ca="1" si="8">"FY"&amp;RIGHT(AV5,2)</f>
        <v>FY21</v>
      </c>
      <c r="AW10" s="326" t="str">
        <f t="shared" ca="1" si="8"/>
        <v>FY22</v>
      </c>
    </row>
    <row r="11" spans="3:49" x14ac:dyDescent="0.25">
      <c r="C11" s="11" t="s">
        <v>97</v>
      </c>
      <c r="D11" s="11"/>
      <c r="P11" s="8"/>
    </row>
    <row r="12" spans="3:49" x14ac:dyDescent="0.25">
      <c r="C12" s="1" t="s">
        <v>98</v>
      </c>
      <c r="D12" s="1"/>
      <c r="E12" s="65">
        <v>22400</v>
      </c>
      <c r="F12" s="65">
        <v>22400</v>
      </c>
      <c r="G12" s="65">
        <v>22400</v>
      </c>
      <c r="H12" s="65">
        <v>22400</v>
      </c>
      <c r="I12" s="65">
        <v>22400</v>
      </c>
      <c r="J12" s="65">
        <v>22400</v>
      </c>
      <c r="K12" s="65">
        <v>22400</v>
      </c>
      <c r="L12" s="65">
        <v>22400</v>
      </c>
      <c r="M12" s="65">
        <v>22400</v>
      </c>
      <c r="N12" s="65">
        <v>22400</v>
      </c>
      <c r="O12" s="65">
        <v>22400</v>
      </c>
      <c r="P12" s="67">
        <v>22400</v>
      </c>
      <c r="Q12" s="66">
        <v>22959.999999999996</v>
      </c>
      <c r="R12" s="66">
        <v>23520</v>
      </c>
      <c r="S12" s="66">
        <v>24808</v>
      </c>
      <c r="T12" s="66">
        <v>24640.000000000004</v>
      </c>
      <c r="U12" s="65">
        <v>24640.000000000004</v>
      </c>
      <c r="V12" s="91">
        <v>24640.000000000004</v>
      </c>
      <c r="W12" s="72">
        <v>24640.000000000004</v>
      </c>
      <c r="X12" s="72">
        <v>24640.000000000004</v>
      </c>
      <c r="Y12" s="72">
        <v>24640.000000000004</v>
      </c>
      <c r="Z12" s="72">
        <v>24640.000000000004</v>
      </c>
      <c r="AA12" s="72">
        <v>24640.000000000004</v>
      </c>
      <c r="AB12" s="72">
        <v>24640.000000000004</v>
      </c>
      <c r="AC12" s="72">
        <v>24640.000000000004</v>
      </c>
      <c r="AD12" s="72">
        <v>24640.000000000004</v>
      </c>
      <c r="AE12" s="72">
        <v>24640.000000000004</v>
      </c>
      <c r="AF12" s="72">
        <v>24640.000000000004</v>
      </c>
      <c r="AG12" s="72">
        <v>24640.000000000004</v>
      </c>
      <c r="AH12" s="72">
        <v>24640.000000000004</v>
      </c>
      <c r="AJ12" s="83" cm="1">
        <f t="array" aca="1" ref="AJ12" ca="1">INDEX($E12:$AH12,1,MATCH(AJ$3&amp;AJ$4&amp;AJ$5&amp;AJ$6,$E$3:$AH$3&amp;$E$4:$AH$4&amp;$E$5:$AH$5&amp;$E$6:$AH$6,1))</f>
        <v>22400</v>
      </c>
      <c r="AK12" s="83" cm="1">
        <f t="array" aca="1" ref="AK12" ca="1">INDEX($E12:$AH12,1,MATCH(AK$3&amp;AK$4&amp;AK$5&amp;AK$6,$E$3:$AH$3&amp;$E$4:$AH$4&amp;$E$5:$AH$5&amp;$E$6:$AH$6,1))</f>
        <v>22400</v>
      </c>
      <c r="AL12" s="83" cm="1">
        <f t="array" aca="1" ref="AL12" ca="1">INDEX($E12:$AH12,1,MATCH(AL$3&amp;AL$4&amp;AL$5&amp;AL$6,$E$3:$AH$3&amp;$E$4:$AH$4&amp;$E$5:$AH$5&amp;$E$6:$AH$6,1))</f>
        <v>22400</v>
      </c>
      <c r="AM12" s="158" cm="1">
        <f t="array" aca="1" ref="AM12" ca="1">INDEX($E12:$AH12,1,MATCH(AM$3&amp;AM$4&amp;AM$5&amp;AM$6,$E$3:$AH$3&amp;$E$4:$AH$4&amp;$E$5:$AH$5&amp;$E$6:$AH$6,1))</f>
        <v>22400</v>
      </c>
      <c r="AN12" s="83" cm="1">
        <f t="array" aca="1" ref="AN12" ca="1">INDEX($E12:$AH12,1,MATCH(AN$3&amp;AN$4&amp;AN$5&amp;AN$6,$E$3:$AH$3&amp;$E$4:$AH$4&amp;$E$5:$AH$5&amp;$E$6:$AH$6,1))</f>
        <v>24808</v>
      </c>
      <c r="AO12" s="83" cm="1">
        <f t="array" aca="1" ref="AO12" ca="1">INDEX($E12:$AH12,1,MATCH(AO$3&amp;AO$4&amp;AO$5&amp;AO$6,$E$3:$AH$3&amp;$E$4:$AH$4&amp;$E$5:$AH$5&amp;$E$6:$AH$6,1))</f>
        <v>24640.000000000004</v>
      </c>
      <c r="AP12" s="83" cm="1">
        <f t="array" aca="1" ref="AP12" ca="1">INDEX($E12:$AH12,1,MATCH(AP$3&amp;AP$4&amp;AP$5&amp;AP$6,$E$3:$AH$3&amp;$E$4:$AH$4&amp;$E$5:$AH$5&amp;$E$6:$AH$6,1))</f>
        <v>24640.000000000004</v>
      </c>
      <c r="AQ12" s="83" cm="1">
        <f t="array" aca="1" ref="AQ12" ca="1">INDEX($E12:$AH12,1,MATCH(AQ$3&amp;AQ$4&amp;AQ$5&amp;AQ$6,$E$3:$AH$3&amp;$E$4:$AH$4&amp;$E$5:$AH$5&amp;$E$6:$AH$6,1))</f>
        <v>24640.000000000004</v>
      </c>
      <c r="AR12" s="83" cm="1">
        <f t="array" aca="1" ref="AR12" ca="1">INDEX($E12:$AH12,1,MATCH(AR$3&amp;AR$4&amp;AR$5&amp;AR$6,$E$3:$AH$3&amp;$E$4:$AH$4&amp;$E$5:$AH$5&amp;$E$6:$AH$6,1))</f>
        <v>24640.000000000004</v>
      </c>
      <c r="AS12" s="83" cm="1">
        <f t="array" aca="1" ref="AS12" ca="1">INDEX($E12:$AH12,1,MATCH(AS$3&amp;AS$4&amp;AS$5&amp;AS$6,$E$3:$AH$3&amp;$E$4:$AH$4&amp;$E$5:$AH$5&amp;$E$6:$AH$6,1))</f>
        <v>24640.000000000004</v>
      </c>
      <c r="AT12" s="13"/>
      <c r="AU12" s="83">
        <f t="shared" ref="AU12:AW14" ca="1" si="9">INDEX($E12:$AH12,MATCH(AU$5,$E$5:$AH$5,1))</f>
        <v>22400</v>
      </c>
      <c r="AV12" s="83">
        <f t="shared" ca="1" si="9"/>
        <v>24640.000000000004</v>
      </c>
      <c r="AW12" s="83">
        <f t="shared" ca="1" si="9"/>
        <v>24640.000000000004</v>
      </c>
    </row>
    <row r="13" spans="3:49" x14ac:dyDescent="0.25">
      <c r="C13" s="1" t="s">
        <v>100</v>
      </c>
      <c r="D13" s="1"/>
      <c r="E13" s="65">
        <v>2000</v>
      </c>
      <c r="F13" s="65">
        <v>2000</v>
      </c>
      <c r="G13" s="65">
        <v>2000</v>
      </c>
      <c r="H13" s="65">
        <v>2000</v>
      </c>
      <c r="I13" s="65">
        <v>2000</v>
      </c>
      <c r="J13" s="65">
        <v>2000</v>
      </c>
      <c r="K13" s="65">
        <v>2000</v>
      </c>
      <c r="L13" s="65">
        <v>2000</v>
      </c>
      <c r="M13" s="65">
        <v>2000</v>
      </c>
      <c r="N13" s="65">
        <v>2000</v>
      </c>
      <c r="O13" s="65">
        <v>2000</v>
      </c>
      <c r="P13" s="67">
        <v>2000</v>
      </c>
      <c r="Q13" s="65">
        <v>2000</v>
      </c>
      <c r="R13" s="66">
        <v>2100</v>
      </c>
      <c r="S13" s="65">
        <v>2100</v>
      </c>
      <c r="T13" s="65">
        <v>2100</v>
      </c>
      <c r="U13" s="65">
        <v>2100</v>
      </c>
      <c r="V13" s="91">
        <v>2100</v>
      </c>
      <c r="W13" s="72">
        <v>2100</v>
      </c>
      <c r="X13" s="72">
        <v>2100</v>
      </c>
      <c r="Y13" s="72">
        <v>2100</v>
      </c>
      <c r="Z13" s="72">
        <v>2100</v>
      </c>
      <c r="AA13" s="72">
        <v>2100</v>
      </c>
      <c r="AB13" s="72">
        <v>2100</v>
      </c>
      <c r="AC13" s="72">
        <v>2100</v>
      </c>
      <c r="AD13" s="72">
        <v>2100</v>
      </c>
      <c r="AE13" s="72">
        <v>2100</v>
      </c>
      <c r="AF13" s="72">
        <v>2100</v>
      </c>
      <c r="AG13" s="72">
        <v>2100</v>
      </c>
      <c r="AH13" s="72">
        <v>2100</v>
      </c>
      <c r="AJ13" s="83" cm="1">
        <f t="array" aca="1" ref="AJ13" ca="1">INDEX($E13:$AH13,1,MATCH(AJ$3&amp;AJ$4&amp;AJ$5&amp;AJ$6,$E$3:$AH$3&amp;$E$4:$AH$4&amp;$E$5:$AH$5&amp;$E$6:$AH$6,1))</f>
        <v>2000</v>
      </c>
      <c r="AK13" s="83" cm="1">
        <f t="array" aca="1" ref="AK13" ca="1">INDEX($E13:$AH13,1,MATCH(AK$3&amp;AK$4&amp;AK$5&amp;AK$6,$E$3:$AH$3&amp;$E$4:$AH$4&amp;$E$5:$AH$5&amp;$E$6:$AH$6,1))</f>
        <v>2000</v>
      </c>
      <c r="AL13" s="83" cm="1">
        <f t="array" aca="1" ref="AL13" ca="1">INDEX($E13:$AH13,1,MATCH(AL$3&amp;AL$4&amp;AL$5&amp;AL$6,$E$3:$AH$3&amp;$E$4:$AH$4&amp;$E$5:$AH$5&amp;$E$6:$AH$6,1))</f>
        <v>2000</v>
      </c>
      <c r="AM13" s="158" cm="1">
        <f t="array" aca="1" ref="AM13" ca="1">INDEX($E13:$AH13,1,MATCH(AM$3&amp;AM$4&amp;AM$5&amp;AM$6,$E$3:$AH$3&amp;$E$4:$AH$4&amp;$E$5:$AH$5&amp;$E$6:$AH$6,1))</f>
        <v>2000</v>
      </c>
      <c r="AN13" s="83" cm="1">
        <f t="array" aca="1" ref="AN13" ca="1">INDEX($E13:$AH13,1,MATCH(AN$3&amp;AN$4&amp;AN$5&amp;AN$6,$E$3:$AH$3&amp;$E$4:$AH$4&amp;$E$5:$AH$5&amp;$E$6:$AH$6,1))</f>
        <v>2100</v>
      </c>
      <c r="AO13" s="83" cm="1">
        <f t="array" aca="1" ref="AO13" ca="1">INDEX($E13:$AH13,1,MATCH(AO$3&amp;AO$4&amp;AO$5&amp;AO$6,$E$3:$AH$3&amp;$E$4:$AH$4&amp;$E$5:$AH$5&amp;$E$6:$AH$6,1))</f>
        <v>2100</v>
      </c>
      <c r="AP13" s="83" cm="1">
        <f t="array" aca="1" ref="AP13" ca="1">INDEX($E13:$AH13,1,MATCH(AP$3&amp;AP$4&amp;AP$5&amp;AP$6,$E$3:$AH$3&amp;$E$4:$AH$4&amp;$E$5:$AH$5&amp;$E$6:$AH$6,1))</f>
        <v>2100</v>
      </c>
      <c r="AQ13" s="83" cm="1">
        <f t="array" aca="1" ref="AQ13" ca="1">INDEX($E13:$AH13,1,MATCH(AQ$3&amp;AQ$4&amp;AQ$5&amp;AQ$6,$E$3:$AH$3&amp;$E$4:$AH$4&amp;$E$5:$AH$5&amp;$E$6:$AH$6,1))</f>
        <v>2100</v>
      </c>
      <c r="AR13" s="83" cm="1">
        <f t="array" aca="1" ref="AR13" ca="1">INDEX($E13:$AH13,1,MATCH(AR$3&amp;AR$4&amp;AR$5&amp;AR$6,$E$3:$AH$3&amp;$E$4:$AH$4&amp;$E$5:$AH$5&amp;$E$6:$AH$6,1))</f>
        <v>2100</v>
      </c>
      <c r="AS13" s="83" cm="1">
        <f t="array" aca="1" ref="AS13" ca="1">INDEX($E13:$AH13,1,MATCH(AS$3&amp;AS$4&amp;AS$5&amp;AS$6,$E$3:$AH$3&amp;$E$4:$AH$4&amp;$E$5:$AH$5&amp;$E$6:$AH$6,1))</f>
        <v>2100</v>
      </c>
      <c r="AT13" s="13"/>
      <c r="AU13" s="83">
        <f t="shared" ca="1" si="9"/>
        <v>2000</v>
      </c>
      <c r="AV13" s="83">
        <f t="shared" ca="1" si="9"/>
        <v>2100</v>
      </c>
      <c r="AW13" s="83">
        <f t="shared" ca="1" si="9"/>
        <v>2100</v>
      </c>
    </row>
    <row r="14" spans="3:49" x14ac:dyDescent="0.25">
      <c r="C14" s="23" t="s">
        <v>99</v>
      </c>
      <c r="D14" s="23"/>
      <c r="E14" s="68">
        <v>1000</v>
      </c>
      <c r="F14" s="68">
        <v>1000</v>
      </c>
      <c r="G14" s="68">
        <v>1000</v>
      </c>
      <c r="H14" s="68">
        <v>1000</v>
      </c>
      <c r="I14" s="68">
        <v>1000</v>
      </c>
      <c r="J14" s="68">
        <v>1000</v>
      </c>
      <c r="K14" s="68">
        <v>1000</v>
      </c>
      <c r="L14" s="68">
        <v>1000</v>
      </c>
      <c r="M14" s="68">
        <v>1000</v>
      </c>
      <c r="N14" s="68">
        <v>1000</v>
      </c>
      <c r="O14" s="68">
        <v>1000</v>
      </c>
      <c r="P14" s="69">
        <v>1000</v>
      </c>
      <c r="Q14" s="68">
        <v>1000</v>
      </c>
      <c r="R14" s="68">
        <v>1000</v>
      </c>
      <c r="S14" s="68">
        <v>1000</v>
      </c>
      <c r="T14" s="68">
        <v>1000</v>
      </c>
      <c r="U14" s="68">
        <v>1000</v>
      </c>
      <c r="V14" s="68">
        <v>1000</v>
      </c>
      <c r="W14" s="73">
        <v>1000</v>
      </c>
      <c r="X14" s="73">
        <v>1000</v>
      </c>
      <c r="Y14" s="73">
        <v>1000</v>
      </c>
      <c r="Z14" s="73">
        <v>1000</v>
      </c>
      <c r="AA14" s="73">
        <v>1000</v>
      </c>
      <c r="AB14" s="73">
        <v>1000</v>
      </c>
      <c r="AC14" s="73">
        <v>1000</v>
      </c>
      <c r="AD14" s="73">
        <v>1000</v>
      </c>
      <c r="AE14" s="73">
        <v>1000</v>
      </c>
      <c r="AF14" s="73">
        <v>1000</v>
      </c>
      <c r="AG14" s="73">
        <v>1000</v>
      </c>
      <c r="AH14" s="73">
        <v>1000</v>
      </c>
      <c r="AJ14" s="125" cm="1">
        <f t="array" aca="1" ref="AJ14" ca="1">INDEX($E14:$AH14,1,MATCH(AJ$3&amp;AJ$4&amp;AJ$5&amp;AJ$6,$E$3:$AH$3&amp;$E$4:$AH$4&amp;$E$5:$AH$5&amp;$E$6:$AH$6,1))</f>
        <v>1000</v>
      </c>
      <c r="AK14" s="125" cm="1">
        <f t="array" aca="1" ref="AK14" ca="1">INDEX($E14:$AH14,1,MATCH(AK$3&amp;AK$4&amp;AK$5&amp;AK$6,$E$3:$AH$3&amp;$E$4:$AH$4&amp;$E$5:$AH$5&amp;$E$6:$AH$6,1))</f>
        <v>1000</v>
      </c>
      <c r="AL14" s="125" cm="1">
        <f t="array" aca="1" ref="AL14" ca="1">INDEX($E14:$AH14,1,MATCH(AL$3&amp;AL$4&amp;AL$5&amp;AL$6,$E$3:$AH$3&amp;$E$4:$AH$4&amp;$E$5:$AH$5&amp;$E$6:$AH$6,1))</f>
        <v>1000</v>
      </c>
      <c r="AM14" s="170" cm="1">
        <f t="array" aca="1" ref="AM14" ca="1">INDEX($E14:$AH14,1,MATCH(AM$3&amp;AM$4&amp;AM$5&amp;AM$6,$E$3:$AH$3&amp;$E$4:$AH$4&amp;$E$5:$AH$5&amp;$E$6:$AH$6,1))</f>
        <v>1000</v>
      </c>
      <c r="AN14" s="125" cm="1">
        <f t="array" aca="1" ref="AN14" ca="1">INDEX($E14:$AH14,1,MATCH(AN$3&amp;AN$4&amp;AN$5&amp;AN$6,$E$3:$AH$3&amp;$E$4:$AH$4&amp;$E$5:$AH$5&amp;$E$6:$AH$6,1))</f>
        <v>1000</v>
      </c>
      <c r="AO14" s="125" cm="1">
        <f t="array" aca="1" ref="AO14" ca="1">INDEX($E14:$AH14,1,MATCH(AO$3&amp;AO$4&amp;AO$5&amp;AO$6,$E$3:$AH$3&amp;$E$4:$AH$4&amp;$E$5:$AH$5&amp;$E$6:$AH$6,1))</f>
        <v>1000</v>
      </c>
      <c r="AP14" s="125" cm="1">
        <f t="array" aca="1" ref="AP14" ca="1">INDEX($E14:$AH14,1,MATCH(AP$3&amp;AP$4&amp;AP$5&amp;AP$6,$E$3:$AH$3&amp;$E$4:$AH$4&amp;$E$5:$AH$5&amp;$E$6:$AH$6,1))</f>
        <v>1000</v>
      </c>
      <c r="AQ14" s="125" cm="1">
        <f t="array" aca="1" ref="AQ14" ca="1">INDEX($E14:$AH14,1,MATCH(AQ$3&amp;AQ$4&amp;AQ$5&amp;AQ$6,$E$3:$AH$3&amp;$E$4:$AH$4&amp;$E$5:$AH$5&amp;$E$6:$AH$6,1))</f>
        <v>1000</v>
      </c>
      <c r="AR14" s="125" cm="1">
        <f t="array" aca="1" ref="AR14" ca="1">INDEX($E14:$AH14,1,MATCH(AR$3&amp;AR$4&amp;AR$5&amp;AR$6,$E$3:$AH$3&amp;$E$4:$AH$4&amp;$E$5:$AH$5&amp;$E$6:$AH$6,1))</f>
        <v>1000</v>
      </c>
      <c r="AS14" s="125" cm="1">
        <f t="array" aca="1" ref="AS14" ca="1">INDEX($E14:$AH14,1,MATCH(AS$3&amp;AS$4&amp;AS$5&amp;AS$6,$E$3:$AH$3&amp;$E$4:$AH$4&amp;$E$5:$AH$5&amp;$E$6:$AH$6,1))</f>
        <v>1000</v>
      </c>
      <c r="AT14" s="13"/>
      <c r="AU14" s="125">
        <f t="shared" ca="1" si="9"/>
        <v>1000</v>
      </c>
      <c r="AV14" s="125">
        <f t="shared" ca="1" si="9"/>
        <v>1000</v>
      </c>
      <c r="AW14" s="125">
        <f t="shared" ca="1" si="9"/>
        <v>1000</v>
      </c>
    </row>
    <row r="15" spans="3:49" x14ac:dyDescent="0.25">
      <c r="C15" s="25" t="s">
        <v>94</v>
      </c>
      <c r="D15" s="25"/>
      <c r="E15" s="83">
        <f t="shared" ref="E15:AH15" si="10">SUM(E12:E14)</f>
        <v>25400</v>
      </c>
      <c r="F15" s="83">
        <f t="shared" si="10"/>
        <v>25400</v>
      </c>
      <c r="G15" s="83">
        <f t="shared" si="10"/>
        <v>25400</v>
      </c>
      <c r="H15" s="83">
        <f t="shared" si="10"/>
        <v>25400</v>
      </c>
      <c r="I15" s="83">
        <f t="shared" si="10"/>
        <v>25400</v>
      </c>
      <c r="J15" s="157">
        <f t="shared" si="10"/>
        <v>25400</v>
      </c>
      <c r="K15" s="83">
        <f t="shared" si="10"/>
        <v>25400</v>
      </c>
      <c r="L15" s="83">
        <f t="shared" si="10"/>
        <v>25400</v>
      </c>
      <c r="M15" s="83">
        <f t="shared" si="10"/>
        <v>25400</v>
      </c>
      <c r="N15" s="83">
        <f t="shared" si="10"/>
        <v>25400</v>
      </c>
      <c r="O15" s="83">
        <f t="shared" si="10"/>
        <v>25400</v>
      </c>
      <c r="P15" s="158">
        <f t="shared" si="10"/>
        <v>25400</v>
      </c>
      <c r="Q15" s="83">
        <f t="shared" si="10"/>
        <v>25959.999999999996</v>
      </c>
      <c r="R15" s="83">
        <f t="shared" si="10"/>
        <v>26620</v>
      </c>
      <c r="S15" s="83">
        <f t="shared" si="10"/>
        <v>27908</v>
      </c>
      <c r="T15" s="83">
        <f t="shared" si="10"/>
        <v>27740.000000000004</v>
      </c>
      <c r="U15" s="83">
        <f t="shared" si="10"/>
        <v>27740.000000000004</v>
      </c>
      <c r="V15" s="83">
        <f t="shared" si="10"/>
        <v>27740.000000000004</v>
      </c>
      <c r="W15" s="83">
        <f t="shared" si="10"/>
        <v>27740.000000000004</v>
      </c>
      <c r="X15" s="83">
        <f t="shared" si="10"/>
        <v>27740.000000000004</v>
      </c>
      <c r="Y15" s="83">
        <f t="shared" si="10"/>
        <v>27740.000000000004</v>
      </c>
      <c r="Z15" s="83">
        <f t="shared" si="10"/>
        <v>27740.000000000004</v>
      </c>
      <c r="AA15" s="83">
        <f t="shared" si="10"/>
        <v>27740.000000000004</v>
      </c>
      <c r="AB15" s="83">
        <f t="shared" si="10"/>
        <v>27740.000000000004</v>
      </c>
      <c r="AC15" s="83">
        <f t="shared" si="10"/>
        <v>27740.000000000004</v>
      </c>
      <c r="AD15" s="83">
        <f t="shared" si="10"/>
        <v>27740.000000000004</v>
      </c>
      <c r="AE15" s="83">
        <f t="shared" si="10"/>
        <v>27740.000000000004</v>
      </c>
      <c r="AF15" s="83">
        <f t="shared" si="10"/>
        <v>27740.000000000004</v>
      </c>
      <c r="AG15" s="83">
        <f t="shared" si="10"/>
        <v>27740.000000000004</v>
      </c>
      <c r="AH15" s="83">
        <f t="shared" si="10"/>
        <v>27740.000000000004</v>
      </c>
      <c r="AJ15" s="83">
        <f t="shared" ref="AJ15:AW15" ca="1" si="11">SUM(AJ12:AJ14)</f>
        <v>25400</v>
      </c>
      <c r="AK15" s="83">
        <f t="shared" ca="1" si="11"/>
        <v>25400</v>
      </c>
      <c r="AL15" s="83">
        <f t="shared" ca="1" si="11"/>
        <v>25400</v>
      </c>
      <c r="AM15" s="336">
        <f t="shared" ca="1" si="11"/>
        <v>25400</v>
      </c>
      <c r="AN15" s="83">
        <f t="shared" ca="1" si="11"/>
        <v>27908</v>
      </c>
      <c r="AO15" s="83">
        <f t="shared" ca="1" si="11"/>
        <v>27740.000000000004</v>
      </c>
      <c r="AP15" s="83">
        <f t="shared" ca="1" si="11"/>
        <v>27740.000000000004</v>
      </c>
      <c r="AQ15" s="83">
        <f t="shared" ca="1" si="11"/>
        <v>27740.000000000004</v>
      </c>
      <c r="AR15" s="83">
        <f t="shared" ca="1" si="11"/>
        <v>27740.000000000004</v>
      </c>
      <c r="AS15" s="83">
        <f t="shared" ca="1" si="11"/>
        <v>27740.000000000004</v>
      </c>
      <c r="AT15" s="13"/>
      <c r="AU15" s="83">
        <f t="shared" ca="1" si="11"/>
        <v>25400</v>
      </c>
      <c r="AV15" s="83">
        <f t="shared" ca="1" si="11"/>
        <v>27740.000000000004</v>
      </c>
      <c r="AW15" s="83">
        <f t="shared" ca="1" si="11"/>
        <v>27740.000000000004</v>
      </c>
    </row>
    <row r="16" spans="3:49" x14ac:dyDescent="0.25">
      <c r="P16" s="8"/>
    </row>
    <row r="17" spans="1:49" ht="18.75" x14ac:dyDescent="0.3">
      <c r="A17" t="s">
        <v>231</v>
      </c>
      <c r="B17" t="s">
        <v>231</v>
      </c>
      <c r="C17" s="181" t="s">
        <v>306</v>
      </c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</row>
    <row r="18" spans="1:49" x14ac:dyDescent="0.25">
      <c r="C18" s="11"/>
      <c r="D18" s="11"/>
    </row>
    <row r="19" spans="1:49" x14ac:dyDescent="0.25">
      <c r="C19" s="30" t="s">
        <v>505</v>
      </c>
      <c r="D19" s="30"/>
      <c r="E19" s="45" t="str">
        <f t="shared" ref="E19:AH19" si="12">E$9</f>
        <v>Jul-20A</v>
      </c>
      <c r="F19" s="45" t="str">
        <f t="shared" si="12"/>
        <v>Aug-20A</v>
      </c>
      <c r="G19" s="45" t="str">
        <f t="shared" si="12"/>
        <v>Sep-20A</v>
      </c>
      <c r="H19" s="45" t="str">
        <f t="shared" si="12"/>
        <v>Oct-20A</v>
      </c>
      <c r="I19" s="45" t="str">
        <f t="shared" si="12"/>
        <v>Nov-20A</v>
      </c>
      <c r="J19" s="45" t="str">
        <f t="shared" si="12"/>
        <v>Dec-20A</v>
      </c>
      <c r="K19" s="45" t="str">
        <f t="shared" si="12"/>
        <v>Jan-21A</v>
      </c>
      <c r="L19" s="45" t="str">
        <f t="shared" si="12"/>
        <v>Feb-21A</v>
      </c>
      <c r="M19" s="45" t="str">
        <f t="shared" si="12"/>
        <v>Mar-21A</v>
      </c>
      <c r="N19" s="45" t="str">
        <f t="shared" si="12"/>
        <v>Apr-21A</v>
      </c>
      <c r="O19" s="45" t="str">
        <f t="shared" si="12"/>
        <v>May-21A</v>
      </c>
      <c r="P19" s="46" t="str">
        <f t="shared" si="12"/>
        <v>Jun-21A</v>
      </c>
      <c r="Q19" s="45" t="str">
        <f t="shared" si="12"/>
        <v>Jul-21F</v>
      </c>
      <c r="R19" s="45" t="str">
        <f t="shared" si="12"/>
        <v>Aug-21F</v>
      </c>
      <c r="S19" s="45" t="str">
        <f t="shared" si="12"/>
        <v>Sep-21F</v>
      </c>
      <c r="T19" s="45" t="str">
        <f t="shared" si="12"/>
        <v>Oct-21F</v>
      </c>
      <c r="U19" s="45" t="str">
        <f t="shared" si="12"/>
        <v>Nov-21F</v>
      </c>
      <c r="V19" s="45" t="str">
        <f t="shared" si="12"/>
        <v>Dec-21F</v>
      </c>
      <c r="W19" s="45" t="str">
        <f t="shared" si="12"/>
        <v>Jan-22F</v>
      </c>
      <c r="X19" s="45" t="str">
        <f t="shared" si="12"/>
        <v>Feb-22F</v>
      </c>
      <c r="Y19" s="45" t="str">
        <f t="shared" si="12"/>
        <v>Mar-22F</v>
      </c>
      <c r="Z19" s="45" t="str">
        <f t="shared" si="12"/>
        <v>Apr-22F</v>
      </c>
      <c r="AA19" s="45" t="str">
        <f t="shared" si="12"/>
        <v>May-22F</v>
      </c>
      <c r="AB19" s="45" t="str">
        <f t="shared" si="12"/>
        <v>Jun-22F</v>
      </c>
      <c r="AC19" s="45" t="str">
        <f t="shared" si="12"/>
        <v>Jul-22F</v>
      </c>
      <c r="AD19" s="45" t="str">
        <f t="shared" si="12"/>
        <v>Aug-22F</v>
      </c>
      <c r="AE19" s="45" t="str">
        <f t="shared" si="12"/>
        <v>Sep-22F</v>
      </c>
      <c r="AF19" s="45" t="str">
        <f t="shared" si="12"/>
        <v>Oct-22F</v>
      </c>
      <c r="AG19" s="45" t="str">
        <f t="shared" si="12"/>
        <v>Nov-22F</v>
      </c>
      <c r="AH19" s="45" t="str">
        <f t="shared" si="12"/>
        <v>Dec-22F</v>
      </c>
      <c r="AJ19" s="45" t="str">
        <f ca="1">AJ$10</f>
        <v>Q3'20A</v>
      </c>
      <c r="AK19" s="45" t="str">
        <f t="shared" ref="AK19:AW19" ca="1" si="13">AK$10</f>
        <v>Q4'20A</v>
      </c>
      <c r="AL19" s="45" t="str">
        <f t="shared" ca="1" si="13"/>
        <v>Q1'21A</v>
      </c>
      <c r="AM19" s="46" t="str">
        <f t="shared" ca="1" si="13"/>
        <v>Q2'21A</v>
      </c>
      <c r="AN19" s="45" t="str">
        <f t="shared" ca="1" si="13"/>
        <v>Q3'21F</v>
      </c>
      <c r="AO19" s="45" t="str">
        <f t="shared" ca="1" si="13"/>
        <v>Q4'21F</v>
      </c>
      <c r="AP19" s="45" t="str">
        <f t="shared" ca="1" si="13"/>
        <v>Q1'22F</v>
      </c>
      <c r="AQ19" s="45" t="str">
        <f t="shared" ca="1" si="13"/>
        <v>Q2'22F</v>
      </c>
      <c r="AR19" s="45" t="str">
        <f t="shared" ca="1" si="13"/>
        <v>Q3'22F</v>
      </c>
      <c r="AS19" s="45" t="str">
        <f t="shared" ca="1" si="13"/>
        <v>Q4'22F</v>
      </c>
      <c r="AT19" s="13"/>
      <c r="AU19" s="45" t="str">
        <f t="shared" ca="1" si="13"/>
        <v>FY20</v>
      </c>
      <c r="AV19" s="45" t="str">
        <f t="shared" ca="1" si="13"/>
        <v>FY21</v>
      </c>
      <c r="AW19" s="45" t="str">
        <f t="shared" ca="1" si="13"/>
        <v>FY22</v>
      </c>
    </row>
    <row r="20" spans="1:49" x14ac:dyDescent="0.25">
      <c r="C20" s="1" t="s">
        <v>265</v>
      </c>
      <c r="E20" s="83">
        <f t="shared" ref="E20:AH20" si="14">E71</f>
        <v>2500</v>
      </c>
      <c r="F20" s="83">
        <f t="shared" si="14"/>
        <v>2500</v>
      </c>
      <c r="G20" s="83">
        <f t="shared" si="14"/>
        <v>2500</v>
      </c>
      <c r="H20" s="83">
        <f t="shared" si="14"/>
        <v>2500</v>
      </c>
      <c r="I20" s="83">
        <f t="shared" si="14"/>
        <v>2500</v>
      </c>
      <c r="J20" s="83">
        <f t="shared" si="14"/>
        <v>2500</v>
      </c>
      <c r="K20" s="83">
        <f t="shared" si="14"/>
        <v>2500</v>
      </c>
      <c r="L20" s="83">
        <f t="shared" si="14"/>
        <v>2500</v>
      </c>
      <c r="M20" s="83">
        <f t="shared" si="14"/>
        <v>2500</v>
      </c>
      <c r="N20" s="83">
        <f t="shared" si="14"/>
        <v>2500</v>
      </c>
      <c r="O20" s="83">
        <f t="shared" si="14"/>
        <v>2500</v>
      </c>
      <c r="P20" s="158">
        <f t="shared" si="14"/>
        <v>2500</v>
      </c>
      <c r="Q20" s="83">
        <f t="shared" si="14"/>
        <v>2625</v>
      </c>
      <c r="R20" s="83">
        <f t="shared" si="14"/>
        <v>2625</v>
      </c>
      <c r="S20" s="83">
        <f t="shared" si="14"/>
        <v>2750</v>
      </c>
      <c r="T20" s="83">
        <f t="shared" si="14"/>
        <v>2750</v>
      </c>
      <c r="U20" s="83">
        <f t="shared" si="14"/>
        <v>2750</v>
      </c>
      <c r="V20" s="83">
        <f t="shared" si="14"/>
        <v>2750</v>
      </c>
      <c r="W20" s="83">
        <f t="shared" si="14"/>
        <v>2750</v>
      </c>
      <c r="X20" s="83">
        <f t="shared" si="14"/>
        <v>2750</v>
      </c>
      <c r="Y20" s="83">
        <f t="shared" si="14"/>
        <v>2750</v>
      </c>
      <c r="Z20" s="83">
        <f t="shared" si="14"/>
        <v>2750</v>
      </c>
      <c r="AA20" s="83">
        <f t="shared" si="14"/>
        <v>2750</v>
      </c>
      <c r="AB20" s="83">
        <f t="shared" si="14"/>
        <v>2750</v>
      </c>
      <c r="AC20" s="83">
        <f t="shared" si="14"/>
        <v>2750</v>
      </c>
      <c r="AD20" s="83">
        <f t="shared" si="14"/>
        <v>2750</v>
      </c>
      <c r="AE20" s="83">
        <f t="shared" si="14"/>
        <v>2750</v>
      </c>
      <c r="AF20" s="83">
        <f t="shared" si="14"/>
        <v>2750</v>
      </c>
      <c r="AG20" s="83">
        <f t="shared" si="14"/>
        <v>2750</v>
      </c>
      <c r="AH20" s="83">
        <f t="shared" si="14"/>
        <v>2750</v>
      </c>
      <c r="AJ20" s="83" cm="1">
        <f t="array" aca="1" ref="AJ20" ca="1">INDEX($E20:$AH20,1,MATCH(AJ$3&amp;AJ$4&amp;AJ$5&amp;AJ$6,$E$3:$AH$3&amp;$E$4:$AH$4&amp;$E$5:$AH$5&amp;$E$6:$AH$6,1))</f>
        <v>2500</v>
      </c>
      <c r="AK20" s="83" cm="1">
        <f t="array" aca="1" ref="AK20" ca="1">INDEX($E20:$AH20,1,MATCH(AK$3&amp;AK$4&amp;AK$5&amp;AK$6,$E$3:$AH$3&amp;$E$4:$AH$4&amp;$E$5:$AH$5&amp;$E$6:$AH$6,1))</f>
        <v>2500</v>
      </c>
      <c r="AL20" s="83" cm="1">
        <f t="array" aca="1" ref="AL20" ca="1">INDEX($E20:$AH20,1,MATCH(AL$3&amp;AL$4&amp;AL$5&amp;AL$6,$E$3:$AH$3&amp;$E$4:$AH$4&amp;$E$5:$AH$5&amp;$E$6:$AH$6,1))</f>
        <v>2500</v>
      </c>
      <c r="AM20" s="158" cm="1">
        <f t="array" aca="1" ref="AM20" ca="1">INDEX($E20:$AH20,1,MATCH(AM$3&amp;AM$4&amp;AM$5&amp;AM$6,$E$3:$AH$3&amp;$E$4:$AH$4&amp;$E$5:$AH$5&amp;$E$6:$AH$6,1))</f>
        <v>2500</v>
      </c>
      <c r="AN20" s="83" cm="1">
        <f t="array" aca="1" ref="AN20" ca="1">INDEX($E20:$AH20,1,MATCH(AN$3&amp;AN$4&amp;AN$5&amp;AN$6,$E$3:$AH$3&amp;$E$4:$AH$4&amp;$E$5:$AH$5&amp;$E$6:$AH$6,1))</f>
        <v>2750</v>
      </c>
      <c r="AO20" s="83" cm="1">
        <f t="array" aca="1" ref="AO20" ca="1">INDEX($E20:$AH20,1,MATCH(AO$3&amp;AO$4&amp;AO$5&amp;AO$6,$E$3:$AH$3&amp;$E$4:$AH$4&amp;$E$5:$AH$5&amp;$E$6:$AH$6,1))</f>
        <v>2750</v>
      </c>
      <c r="AP20" s="83" cm="1">
        <f t="array" aca="1" ref="AP20" ca="1">INDEX($E20:$AH20,1,MATCH(AP$3&amp;AP$4&amp;AP$5&amp;AP$6,$E$3:$AH$3&amp;$E$4:$AH$4&amp;$E$5:$AH$5&amp;$E$6:$AH$6,1))</f>
        <v>2750</v>
      </c>
      <c r="AQ20" s="83" cm="1">
        <f t="array" aca="1" ref="AQ20" ca="1">INDEX($E20:$AH20,1,MATCH(AQ$3&amp;AQ$4&amp;AQ$5&amp;AQ$6,$E$3:$AH$3&amp;$E$4:$AH$4&amp;$E$5:$AH$5&amp;$E$6:$AH$6,1))</f>
        <v>2750</v>
      </c>
      <c r="AR20" s="83" cm="1">
        <f t="array" aca="1" ref="AR20" ca="1">INDEX($E20:$AH20,1,MATCH(AR$3&amp;AR$4&amp;AR$5&amp;AR$6,$E$3:$AH$3&amp;$E$4:$AH$4&amp;$E$5:$AH$5&amp;$E$6:$AH$6,1))</f>
        <v>2750</v>
      </c>
      <c r="AS20" s="83" cm="1">
        <f t="array" aca="1" ref="AS20" ca="1">INDEX($E20:$AH20,1,MATCH(AS$3&amp;AS$4&amp;AS$5&amp;AS$6,$E$3:$AH$3&amp;$E$4:$AH$4&amp;$E$5:$AH$5&amp;$E$6:$AH$6,1))</f>
        <v>2750</v>
      </c>
      <c r="AT20" s="13"/>
      <c r="AU20" s="83">
        <f t="shared" ref="AU20:AW22" ca="1" si="15">INDEX($E20:$AH20,MATCH(AU$5,$E$5:$AH$5,1))</f>
        <v>2500</v>
      </c>
      <c r="AV20" s="83">
        <f t="shared" ca="1" si="15"/>
        <v>2750</v>
      </c>
      <c r="AW20" s="83">
        <f t="shared" ca="1" si="15"/>
        <v>2750</v>
      </c>
    </row>
    <row r="21" spans="1:49" x14ac:dyDescent="0.25">
      <c r="C21" s="1" t="s">
        <v>307</v>
      </c>
      <c r="E21" s="83">
        <f t="shared" ref="E21:AH21" si="16">E76</f>
        <v>4500</v>
      </c>
      <c r="F21" s="83">
        <f t="shared" si="16"/>
        <v>4500</v>
      </c>
      <c r="G21" s="83">
        <f t="shared" si="16"/>
        <v>4500</v>
      </c>
      <c r="H21" s="83">
        <f t="shared" si="16"/>
        <v>4500</v>
      </c>
      <c r="I21" s="83">
        <f t="shared" si="16"/>
        <v>4500</v>
      </c>
      <c r="J21" s="83">
        <f t="shared" si="16"/>
        <v>4500</v>
      </c>
      <c r="K21" s="83">
        <f t="shared" si="16"/>
        <v>4500</v>
      </c>
      <c r="L21" s="83">
        <f t="shared" si="16"/>
        <v>4500</v>
      </c>
      <c r="M21" s="83">
        <f t="shared" si="16"/>
        <v>4500</v>
      </c>
      <c r="N21" s="83">
        <f t="shared" si="16"/>
        <v>4500</v>
      </c>
      <c r="O21" s="83">
        <f t="shared" si="16"/>
        <v>4500</v>
      </c>
      <c r="P21" s="158">
        <f t="shared" si="16"/>
        <v>4500</v>
      </c>
      <c r="Q21" s="83">
        <f t="shared" si="16"/>
        <v>4725</v>
      </c>
      <c r="R21" s="83">
        <f t="shared" si="16"/>
        <v>4725</v>
      </c>
      <c r="S21" s="83">
        <f t="shared" si="16"/>
        <v>4950</v>
      </c>
      <c r="T21" s="83">
        <f t="shared" si="16"/>
        <v>4950</v>
      </c>
      <c r="U21" s="83">
        <f t="shared" si="16"/>
        <v>4950</v>
      </c>
      <c r="V21" s="83">
        <f t="shared" si="16"/>
        <v>4950</v>
      </c>
      <c r="W21" s="83">
        <f t="shared" si="16"/>
        <v>4950</v>
      </c>
      <c r="X21" s="83">
        <f t="shared" si="16"/>
        <v>4950</v>
      </c>
      <c r="Y21" s="83">
        <f t="shared" si="16"/>
        <v>4950</v>
      </c>
      <c r="Z21" s="83">
        <f t="shared" si="16"/>
        <v>4950</v>
      </c>
      <c r="AA21" s="83">
        <f t="shared" si="16"/>
        <v>4950</v>
      </c>
      <c r="AB21" s="83">
        <f t="shared" si="16"/>
        <v>4950</v>
      </c>
      <c r="AC21" s="83">
        <f t="shared" si="16"/>
        <v>4950</v>
      </c>
      <c r="AD21" s="83">
        <f t="shared" si="16"/>
        <v>4950</v>
      </c>
      <c r="AE21" s="83">
        <f t="shared" si="16"/>
        <v>4950</v>
      </c>
      <c r="AF21" s="83">
        <f t="shared" si="16"/>
        <v>4950</v>
      </c>
      <c r="AG21" s="83">
        <f t="shared" si="16"/>
        <v>4950</v>
      </c>
      <c r="AH21" s="83">
        <f t="shared" si="16"/>
        <v>4950</v>
      </c>
      <c r="AJ21" s="83" cm="1">
        <f t="array" aca="1" ref="AJ21" ca="1">INDEX($E21:$AH21,1,MATCH(AJ$3&amp;AJ$4&amp;AJ$5&amp;AJ$6,$E$3:$AH$3&amp;$E$4:$AH$4&amp;$E$5:$AH$5&amp;$E$6:$AH$6,1))</f>
        <v>4500</v>
      </c>
      <c r="AK21" s="83" cm="1">
        <f t="array" aca="1" ref="AK21" ca="1">INDEX($E21:$AH21,1,MATCH(AK$3&amp;AK$4&amp;AK$5&amp;AK$6,$E$3:$AH$3&amp;$E$4:$AH$4&amp;$E$5:$AH$5&amp;$E$6:$AH$6,1))</f>
        <v>4500</v>
      </c>
      <c r="AL21" s="83" cm="1">
        <f t="array" aca="1" ref="AL21" ca="1">INDEX($E21:$AH21,1,MATCH(AL$3&amp;AL$4&amp;AL$5&amp;AL$6,$E$3:$AH$3&amp;$E$4:$AH$4&amp;$E$5:$AH$5&amp;$E$6:$AH$6,1))</f>
        <v>4500</v>
      </c>
      <c r="AM21" s="158" cm="1">
        <f t="array" aca="1" ref="AM21" ca="1">INDEX($E21:$AH21,1,MATCH(AM$3&amp;AM$4&amp;AM$5&amp;AM$6,$E$3:$AH$3&amp;$E$4:$AH$4&amp;$E$5:$AH$5&amp;$E$6:$AH$6,1))</f>
        <v>4500</v>
      </c>
      <c r="AN21" s="83" cm="1">
        <f t="array" aca="1" ref="AN21" ca="1">INDEX($E21:$AH21,1,MATCH(AN$3&amp;AN$4&amp;AN$5&amp;AN$6,$E$3:$AH$3&amp;$E$4:$AH$4&amp;$E$5:$AH$5&amp;$E$6:$AH$6,1))</f>
        <v>4950</v>
      </c>
      <c r="AO21" s="83" cm="1">
        <f t="array" aca="1" ref="AO21" ca="1">INDEX($E21:$AH21,1,MATCH(AO$3&amp;AO$4&amp;AO$5&amp;AO$6,$E$3:$AH$3&amp;$E$4:$AH$4&amp;$E$5:$AH$5&amp;$E$6:$AH$6,1))</f>
        <v>4950</v>
      </c>
      <c r="AP21" s="83" cm="1">
        <f t="array" aca="1" ref="AP21" ca="1">INDEX($E21:$AH21,1,MATCH(AP$3&amp;AP$4&amp;AP$5&amp;AP$6,$E$3:$AH$3&amp;$E$4:$AH$4&amp;$E$5:$AH$5&amp;$E$6:$AH$6,1))</f>
        <v>4950</v>
      </c>
      <c r="AQ21" s="83" cm="1">
        <f t="array" aca="1" ref="AQ21" ca="1">INDEX($E21:$AH21,1,MATCH(AQ$3&amp;AQ$4&amp;AQ$5&amp;AQ$6,$E$3:$AH$3&amp;$E$4:$AH$4&amp;$E$5:$AH$5&amp;$E$6:$AH$6,1))</f>
        <v>4950</v>
      </c>
      <c r="AR21" s="83" cm="1">
        <f t="array" aca="1" ref="AR21" ca="1">INDEX($E21:$AH21,1,MATCH(AR$3&amp;AR$4&amp;AR$5&amp;AR$6,$E$3:$AH$3&amp;$E$4:$AH$4&amp;$E$5:$AH$5&amp;$E$6:$AH$6,1))</f>
        <v>4950</v>
      </c>
      <c r="AS21" s="83" cm="1">
        <f t="array" aca="1" ref="AS21" ca="1">INDEX($E21:$AH21,1,MATCH(AS$3&amp;AS$4&amp;AS$5&amp;AS$6,$E$3:$AH$3&amp;$E$4:$AH$4&amp;$E$5:$AH$5&amp;$E$6:$AH$6,1))</f>
        <v>4950</v>
      </c>
      <c r="AT21" s="13"/>
      <c r="AU21" s="83">
        <f t="shared" ca="1" si="15"/>
        <v>4500</v>
      </c>
      <c r="AV21" s="83">
        <f t="shared" ca="1" si="15"/>
        <v>4950</v>
      </c>
      <c r="AW21" s="83">
        <f t="shared" ca="1" si="15"/>
        <v>4950</v>
      </c>
    </row>
    <row r="22" spans="1:49" x14ac:dyDescent="0.25">
      <c r="C22" s="23" t="s">
        <v>58</v>
      </c>
      <c r="D22" s="27"/>
      <c r="E22" s="125">
        <f t="shared" ref="E22:AH22" si="17">E97</f>
        <v>1850</v>
      </c>
      <c r="F22" s="125">
        <f t="shared" si="17"/>
        <v>1850</v>
      </c>
      <c r="G22" s="125">
        <f t="shared" si="17"/>
        <v>1850</v>
      </c>
      <c r="H22" s="125">
        <f t="shared" si="17"/>
        <v>1850</v>
      </c>
      <c r="I22" s="125">
        <f t="shared" si="17"/>
        <v>1850</v>
      </c>
      <c r="J22" s="125">
        <f t="shared" si="17"/>
        <v>1850</v>
      </c>
      <c r="K22" s="125">
        <f t="shared" si="17"/>
        <v>1850</v>
      </c>
      <c r="L22" s="125">
        <f t="shared" si="17"/>
        <v>1850</v>
      </c>
      <c r="M22" s="125">
        <f t="shared" si="17"/>
        <v>1850</v>
      </c>
      <c r="N22" s="125">
        <f t="shared" si="17"/>
        <v>1850</v>
      </c>
      <c r="O22" s="125">
        <f t="shared" si="17"/>
        <v>1850</v>
      </c>
      <c r="P22" s="170">
        <f t="shared" si="17"/>
        <v>1850</v>
      </c>
      <c r="Q22" s="125">
        <f t="shared" si="17"/>
        <v>2000</v>
      </c>
      <c r="R22" s="125">
        <f t="shared" si="17"/>
        <v>2000</v>
      </c>
      <c r="S22" s="125">
        <f t="shared" si="17"/>
        <v>2100</v>
      </c>
      <c r="T22" s="125">
        <f t="shared" si="17"/>
        <v>2150</v>
      </c>
      <c r="U22" s="125">
        <f t="shared" si="17"/>
        <v>2050</v>
      </c>
      <c r="V22" s="125">
        <f t="shared" si="17"/>
        <v>2050</v>
      </c>
      <c r="W22" s="125">
        <f t="shared" si="17"/>
        <v>2050</v>
      </c>
      <c r="X22" s="125">
        <f t="shared" si="17"/>
        <v>2050</v>
      </c>
      <c r="Y22" s="125">
        <f t="shared" si="17"/>
        <v>2050</v>
      </c>
      <c r="Z22" s="125">
        <f t="shared" si="17"/>
        <v>2050</v>
      </c>
      <c r="AA22" s="125">
        <f t="shared" si="17"/>
        <v>2050</v>
      </c>
      <c r="AB22" s="125">
        <f t="shared" si="17"/>
        <v>2050</v>
      </c>
      <c r="AC22" s="125">
        <f t="shared" si="17"/>
        <v>2050</v>
      </c>
      <c r="AD22" s="125">
        <f t="shared" si="17"/>
        <v>2050</v>
      </c>
      <c r="AE22" s="125">
        <f t="shared" si="17"/>
        <v>2050</v>
      </c>
      <c r="AF22" s="125">
        <f t="shared" si="17"/>
        <v>2050</v>
      </c>
      <c r="AG22" s="125">
        <f t="shared" si="17"/>
        <v>2050</v>
      </c>
      <c r="AH22" s="125">
        <f t="shared" si="17"/>
        <v>2050</v>
      </c>
      <c r="AJ22" s="125" cm="1">
        <f t="array" aca="1" ref="AJ22" ca="1">INDEX($E22:$AH22,1,MATCH(AJ$3&amp;AJ$4&amp;AJ$5&amp;AJ$6,$E$3:$AH$3&amp;$E$4:$AH$4&amp;$E$5:$AH$5&amp;$E$6:$AH$6,1))</f>
        <v>1850</v>
      </c>
      <c r="AK22" s="125" cm="1">
        <f t="array" aca="1" ref="AK22" ca="1">INDEX($E22:$AH22,1,MATCH(AK$3&amp;AK$4&amp;AK$5&amp;AK$6,$E$3:$AH$3&amp;$E$4:$AH$4&amp;$E$5:$AH$5&amp;$E$6:$AH$6,1))</f>
        <v>1850</v>
      </c>
      <c r="AL22" s="125" cm="1">
        <f t="array" aca="1" ref="AL22" ca="1">INDEX($E22:$AH22,1,MATCH(AL$3&amp;AL$4&amp;AL$5&amp;AL$6,$E$3:$AH$3&amp;$E$4:$AH$4&amp;$E$5:$AH$5&amp;$E$6:$AH$6,1))</f>
        <v>1850</v>
      </c>
      <c r="AM22" s="170" cm="1">
        <f t="array" aca="1" ref="AM22" ca="1">INDEX($E22:$AH22,1,MATCH(AM$3&amp;AM$4&amp;AM$5&amp;AM$6,$E$3:$AH$3&amp;$E$4:$AH$4&amp;$E$5:$AH$5&amp;$E$6:$AH$6,1))</f>
        <v>1850</v>
      </c>
      <c r="AN22" s="125" cm="1">
        <f t="array" aca="1" ref="AN22" ca="1">INDEX($E22:$AH22,1,MATCH(AN$3&amp;AN$4&amp;AN$5&amp;AN$6,$E$3:$AH$3&amp;$E$4:$AH$4&amp;$E$5:$AH$5&amp;$E$6:$AH$6,1))</f>
        <v>2100</v>
      </c>
      <c r="AO22" s="125" cm="1">
        <f t="array" aca="1" ref="AO22" ca="1">INDEX($E22:$AH22,1,MATCH(AO$3&amp;AO$4&amp;AO$5&amp;AO$6,$E$3:$AH$3&amp;$E$4:$AH$4&amp;$E$5:$AH$5&amp;$E$6:$AH$6,1))</f>
        <v>2050</v>
      </c>
      <c r="AP22" s="125" cm="1">
        <f t="array" aca="1" ref="AP22" ca="1">INDEX($E22:$AH22,1,MATCH(AP$3&amp;AP$4&amp;AP$5&amp;AP$6,$E$3:$AH$3&amp;$E$4:$AH$4&amp;$E$5:$AH$5&amp;$E$6:$AH$6,1))</f>
        <v>2050</v>
      </c>
      <c r="AQ22" s="125" cm="1">
        <f t="array" aca="1" ref="AQ22" ca="1">INDEX($E22:$AH22,1,MATCH(AQ$3&amp;AQ$4&amp;AQ$5&amp;AQ$6,$E$3:$AH$3&amp;$E$4:$AH$4&amp;$E$5:$AH$5&amp;$E$6:$AH$6,1))</f>
        <v>2050</v>
      </c>
      <c r="AR22" s="125" cm="1">
        <f t="array" aca="1" ref="AR22" ca="1">INDEX($E22:$AH22,1,MATCH(AR$3&amp;AR$4&amp;AR$5&amp;AR$6,$E$3:$AH$3&amp;$E$4:$AH$4&amp;$E$5:$AH$5&amp;$E$6:$AH$6,1))</f>
        <v>2050</v>
      </c>
      <c r="AS22" s="125" cm="1">
        <f t="array" aca="1" ref="AS22" ca="1">INDEX($E22:$AH22,1,MATCH(AS$3&amp;AS$4&amp;AS$5&amp;AS$6,$E$3:$AH$3&amp;$E$4:$AH$4&amp;$E$5:$AH$5&amp;$E$6:$AH$6,1))</f>
        <v>2050</v>
      </c>
      <c r="AT22" s="125"/>
      <c r="AU22" s="125">
        <f t="shared" ca="1" si="15"/>
        <v>1850</v>
      </c>
      <c r="AV22" s="125">
        <f t="shared" ca="1" si="15"/>
        <v>2050</v>
      </c>
      <c r="AW22" s="125">
        <f t="shared" ca="1" si="15"/>
        <v>2050</v>
      </c>
    </row>
    <row r="23" spans="1:49" x14ac:dyDescent="0.25">
      <c r="B23" t="s">
        <v>231</v>
      </c>
      <c r="C23" s="11" t="s">
        <v>308</v>
      </c>
      <c r="D23" s="11"/>
      <c r="E23" s="120">
        <f>SUM(E20:E22)</f>
        <v>8850</v>
      </c>
      <c r="F23" s="120">
        <f t="shared" ref="F23:AW23" si="18">SUM(F20:F22)</f>
        <v>8850</v>
      </c>
      <c r="G23" s="120">
        <f t="shared" si="18"/>
        <v>8850</v>
      </c>
      <c r="H23" s="120">
        <f t="shared" si="18"/>
        <v>8850</v>
      </c>
      <c r="I23" s="120">
        <f t="shared" si="18"/>
        <v>8850</v>
      </c>
      <c r="J23" s="120">
        <f t="shared" si="18"/>
        <v>8850</v>
      </c>
      <c r="K23" s="120">
        <f t="shared" si="18"/>
        <v>8850</v>
      </c>
      <c r="L23" s="120">
        <f t="shared" si="18"/>
        <v>8850</v>
      </c>
      <c r="M23" s="120">
        <f t="shared" si="18"/>
        <v>8850</v>
      </c>
      <c r="N23" s="120">
        <f t="shared" si="18"/>
        <v>8850</v>
      </c>
      <c r="O23" s="120">
        <f t="shared" si="18"/>
        <v>8850</v>
      </c>
      <c r="P23" s="122">
        <f t="shared" si="18"/>
        <v>8850</v>
      </c>
      <c r="Q23" s="120">
        <f t="shared" si="18"/>
        <v>9350</v>
      </c>
      <c r="R23" s="120">
        <f t="shared" si="18"/>
        <v>9350</v>
      </c>
      <c r="S23" s="120">
        <f t="shared" si="18"/>
        <v>9800</v>
      </c>
      <c r="T23" s="120">
        <f t="shared" si="18"/>
        <v>9850</v>
      </c>
      <c r="U23" s="120">
        <f t="shared" si="18"/>
        <v>9750</v>
      </c>
      <c r="V23" s="120">
        <f t="shared" si="18"/>
        <v>9750</v>
      </c>
      <c r="W23" s="120">
        <f t="shared" si="18"/>
        <v>9750</v>
      </c>
      <c r="X23" s="120">
        <f t="shared" si="18"/>
        <v>9750</v>
      </c>
      <c r="Y23" s="120">
        <f t="shared" si="18"/>
        <v>9750</v>
      </c>
      <c r="Z23" s="120">
        <f t="shared" si="18"/>
        <v>9750</v>
      </c>
      <c r="AA23" s="120">
        <f t="shared" si="18"/>
        <v>9750</v>
      </c>
      <c r="AB23" s="120">
        <f t="shared" si="18"/>
        <v>9750</v>
      </c>
      <c r="AC23" s="120">
        <f t="shared" si="18"/>
        <v>9750</v>
      </c>
      <c r="AD23" s="120">
        <f t="shared" si="18"/>
        <v>9750</v>
      </c>
      <c r="AE23" s="120">
        <f t="shared" si="18"/>
        <v>9750</v>
      </c>
      <c r="AF23" s="120">
        <f t="shared" si="18"/>
        <v>9750</v>
      </c>
      <c r="AG23" s="120">
        <f t="shared" si="18"/>
        <v>9750</v>
      </c>
      <c r="AH23" s="120">
        <f t="shared" si="18"/>
        <v>9750</v>
      </c>
      <c r="AJ23" s="120">
        <f t="shared" ca="1" si="18"/>
        <v>8850</v>
      </c>
      <c r="AK23" s="120">
        <f t="shared" ca="1" si="18"/>
        <v>8850</v>
      </c>
      <c r="AL23" s="120">
        <f t="shared" ca="1" si="18"/>
        <v>8850</v>
      </c>
      <c r="AM23" s="122">
        <f t="shared" ca="1" si="18"/>
        <v>8850</v>
      </c>
      <c r="AN23" s="120">
        <f t="shared" ca="1" si="18"/>
        <v>9800</v>
      </c>
      <c r="AO23" s="120">
        <f t="shared" ca="1" si="18"/>
        <v>9750</v>
      </c>
      <c r="AP23" s="120">
        <f t="shared" ca="1" si="18"/>
        <v>9750</v>
      </c>
      <c r="AQ23" s="120">
        <f t="shared" ca="1" si="18"/>
        <v>9750</v>
      </c>
      <c r="AR23" s="120">
        <f t="shared" ca="1" si="18"/>
        <v>9750</v>
      </c>
      <c r="AS23" s="120">
        <f t="shared" ca="1" si="18"/>
        <v>9750</v>
      </c>
      <c r="AT23" s="120">
        <f t="shared" si="18"/>
        <v>0</v>
      </c>
      <c r="AU23" s="120">
        <f t="shared" ca="1" si="18"/>
        <v>8850</v>
      </c>
      <c r="AV23" s="120">
        <f t="shared" ca="1" si="18"/>
        <v>9750</v>
      </c>
      <c r="AW23" s="120">
        <f t="shared" ca="1" si="18"/>
        <v>9750</v>
      </c>
    </row>
    <row r="24" spans="1:49" x14ac:dyDescent="0.25"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158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J24" s="83"/>
      <c r="AK24" s="83"/>
      <c r="AL24" s="83"/>
      <c r="AM24" s="158"/>
      <c r="AN24" s="83"/>
      <c r="AO24" s="83"/>
      <c r="AP24" s="83"/>
      <c r="AQ24" s="83"/>
      <c r="AR24" s="83"/>
      <c r="AS24" s="83"/>
      <c r="AT24" s="83"/>
      <c r="AU24" s="83"/>
      <c r="AV24" s="83"/>
      <c r="AW24" s="83"/>
    </row>
    <row r="25" spans="1:49" x14ac:dyDescent="0.25">
      <c r="C25" s="1" t="s">
        <v>309</v>
      </c>
      <c r="E25" s="83">
        <f t="shared" ref="E25:AH25" si="19">E115</f>
        <v>6300</v>
      </c>
      <c r="F25" s="83">
        <f t="shared" si="19"/>
        <v>6300</v>
      </c>
      <c r="G25" s="83">
        <f t="shared" si="19"/>
        <v>6300</v>
      </c>
      <c r="H25" s="83">
        <f t="shared" si="19"/>
        <v>6300</v>
      </c>
      <c r="I25" s="83">
        <f t="shared" si="19"/>
        <v>6300</v>
      </c>
      <c r="J25" s="83">
        <f t="shared" si="19"/>
        <v>6300</v>
      </c>
      <c r="K25" s="83">
        <f t="shared" si="19"/>
        <v>6300</v>
      </c>
      <c r="L25" s="83">
        <f t="shared" si="19"/>
        <v>6300</v>
      </c>
      <c r="M25" s="83">
        <f t="shared" si="19"/>
        <v>6300</v>
      </c>
      <c r="N25" s="83">
        <f t="shared" si="19"/>
        <v>6300</v>
      </c>
      <c r="O25" s="83">
        <f t="shared" si="19"/>
        <v>6300</v>
      </c>
      <c r="P25" s="158">
        <f t="shared" si="19"/>
        <v>6300</v>
      </c>
      <c r="Q25" s="83">
        <f t="shared" si="19"/>
        <v>6300</v>
      </c>
      <c r="R25" s="83">
        <f t="shared" si="19"/>
        <v>6300</v>
      </c>
      <c r="S25" s="83">
        <f t="shared" si="19"/>
        <v>6900</v>
      </c>
      <c r="T25" s="83">
        <f t="shared" si="19"/>
        <v>6900</v>
      </c>
      <c r="U25" s="83">
        <f t="shared" si="19"/>
        <v>6900</v>
      </c>
      <c r="V25" s="83">
        <f t="shared" si="19"/>
        <v>6900</v>
      </c>
      <c r="W25" s="83">
        <f t="shared" si="19"/>
        <v>6900</v>
      </c>
      <c r="X25" s="83">
        <f t="shared" si="19"/>
        <v>6900</v>
      </c>
      <c r="Y25" s="83">
        <f t="shared" si="19"/>
        <v>6900</v>
      </c>
      <c r="Z25" s="83">
        <f t="shared" si="19"/>
        <v>6900</v>
      </c>
      <c r="AA25" s="83">
        <f t="shared" si="19"/>
        <v>6900</v>
      </c>
      <c r="AB25" s="83">
        <f t="shared" si="19"/>
        <v>6900</v>
      </c>
      <c r="AC25" s="83">
        <f t="shared" si="19"/>
        <v>6900</v>
      </c>
      <c r="AD25" s="83">
        <f t="shared" si="19"/>
        <v>6900</v>
      </c>
      <c r="AE25" s="83">
        <f t="shared" si="19"/>
        <v>6900</v>
      </c>
      <c r="AF25" s="83">
        <f t="shared" si="19"/>
        <v>6900</v>
      </c>
      <c r="AG25" s="83">
        <f t="shared" si="19"/>
        <v>6900</v>
      </c>
      <c r="AH25" s="83">
        <f t="shared" si="19"/>
        <v>6900</v>
      </c>
      <c r="AJ25" s="83" cm="1">
        <f t="array" aca="1" ref="AJ25" ca="1">INDEX($E25:$AH25,1,MATCH(AJ$3&amp;AJ$4&amp;AJ$5&amp;AJ$6,$E$3:$AH$3&amp;$E$4:$AH$4&amp;$E$5:$AH$5&amp;$E$6:$AH$6,1))</f>
        <v>6300</v>
      </c>
      <c r="AK25" s="83" cm="1">
        <f t="array" aca="1" ref="AK25" ca="1">INDEX($E25:$AH25,1,MATCH(AK$3&amp;AK$4&amp;AK$5&amp;AK$6,$E$3:$AH$3&amp;$E$4:$AH$4&amp;$E$5:$AH$5&amp;$E$6:$AH$6,1))</f>
        <v>6300</v>
      </c>
      <c r="AL25" s="83" cm="1">
        <f t="array" aca="1" ref="AL25" ca="1">INDEX($E25:$AH25,1,MATCH(AL$3&amp;AL$4&amp;AL$5&amp;AL$6,$E$3:$AH$3&amp;$E$4:$AH$4&amp;$E$5:$AH$5&amp;$E$6:$AH$6,1))</f>
        <v>6300</v>
      </c>
      <c r="AM25" s="158" cm="1">
        <f t="array" aca="1" ref="AM25" ca="1">INDEX($E25:$AH25,1,MATCH(AM$3&amp;AM$4&amp;AM$5&amp;AM$6,$E$3:$AH$3&amp;$E$4:$AH$4&amp;$E$5:$AH$5&amp;$E$6:$AH$6,1))</f>
        <v>6300</v>
      </c>
      <c r="AN25" s="83" cm="1">
        <f t="array" aca="1" ref="AN25" ca="1">INDEX($E25:$AH25,1,MATCH(AN$3&amp;AN$4&amp;AN$5&amp;AN$6,$E$3:$AH$3&amp;$E$4:$AH$4&amp;$E$5:$AH$5&amp;$E$6:$AH$6,1))</f>
        <v>6900</v>
      </c>
      <c r="AO25" s="83" cm="1">
        <f t="array" aca="1" ref="AO25" ca="1">INDEX($E25:$AH25,1,MATCH(AO$3&amp;AO$4&amp;AO$5&amp;AO$6,$E$3:$AH$3&amp;$E$4:$AH$4&amp;$E$5:$AH$5&amp;$E$6:$AH$6,1))</f>
        <v>6900</v>
      </c>
      <c r="AP25" s="83" cm="1">
        <f t="array" aca="1" ref="AP25" ca="1">INDEX($E25:$AH25,1,MATCH(AP$3&amp;AP$4&amp;AP$5&amp;AP$6,$E$3:$AH$3&amp;$E$4:$AH$4&amp;$E$5:$AH$5&amp;$E$6:$AH$6,1))</f>
        <v>6900</v>
      </c>
      <c r="AQ25" s="83" cm="1">
        <f t="array" aca="1" ref="AQ25" ca="1">INDEX($E25:$AH25,1,MATCH(AQ$3&amp;AQ$4&amp;AQ$5&amp;AQ$6,$E$3:$AH$3&amp;$E$4:$AH$4&amp;$E$5:$AH$5&amp;$E$6:$AH$6,1))</f>
        <v>6900</v>
      </c>
      <c r="AR25" s="83" cm="1">
        <f t="array" aca="1" ref="AR25" ca="1">INDEX($E25:$AH25,1,MATCH(AR$3&amp;AR$4&amp;AR$5&amp;AR$6,$E$3:$AH$3&amp;$E$4:$AH$4&amp;$E$5:$AH$5&amp;$E$6:$AH$6,1))</f>
        <v>6900</v>
      </c>
      <c r="AS25" s="83" cm="1">
        <f t="array" aca="1" ref="AS25" ca="1">INDEX($E25:$AH25,1,MATCH(AS$3&amp;AS$4&amp;AS$5&amp;AS$6,$E$3:$AH$3&amp;$E$4:$AH$4&amp;$E$5:$AH$5&amp;$E$6:$AH$6,1))</f>
        <v>6900</v>
      </c>
      <c r="AT25" s="83"/>
      <c r="AU25" s="83">
        <f t="shared" ref="AU25:AW27" ca="1" si="20">INDEX($E25:$AH25,MATCH(AU$5,$E$5:$AH$5,1))</f>
        <v>6300</v>
      </c>
      <c r="AV25" s="83">
        <f t="shared" ca="1" si="20"/>
        <v>6900</v>
      </c>
      <c r="AW25" s="83">
        <f t="shared" ca="1" si="20"/>
        <v>6900</v>
      </c>
    </row>
    <row r="26" spans="1:49" x14ac:dyDescent="0.25">
      <c r="C26" s="1" t="s">
        <v>282</v>
      </c>
      <c r="E26" s="83">
        <f t="shared" ref="E26:AH26" si="21">E128</f>
        <v>2150</v>
      </c>
      <c r="F26" s="83">
        <f t="shared" si="21"/>
        <v>2150</v>
      </c>
      <c r="G26" s="83">
        <f t="shared" si="21"/>
        <v>2150</v>
      </c>
      <c r="H26" s="83">
        <f t="shared" si="21"/>
        <v>2150</v>
      </c>
      <c r="I26" s="83">
        <f t="shared" si="21"/>
        <v>2150</v>
      </c>
      <c r="J26" s="83">
        <f t="shared" si="21"/>
        <v>2150</v>
      </c>
      <c r="K26" s="83">
        <f t="shared" si="21"/>
        <v>2150</v>
      </c>
      <c r="L26" s="83">
        <f t="shared" si="21"/>
        <v>2150</v>
      </c>
      <c r="M26" s="83">
        <f t="shared" si="21"/>
        <v>2150</v>
      </c>
      <c r="N26" s="83">
        <f t="shared" si="21"/>
        <v>2150</v>
      </c>
      <c r="O26" s="83">
        <f t="shared" si="21"/>
        <v>2150</v>
      </c>
      <c r="P26" s="158">
        <f t="shared" si="21"/>
        <v>2150</v>
      </c>
      <c r="Q26" s="83">
        <f t="shared" si="21"/>
        <v>2150</v>
      </c>
      <c r="R26" s="83">
        <f t="shared" si="21"/>
        <v>2150</v>
      </c>
      <c r="S26" s="83">
        <f t="shared" si="21"/>
        <v>2150</v>
      </c>
      <c r="T26" s="83">
        <f t="shared" si="21"/>
        <v>2150</v>
      </c>
      <c r="U26" s="83">
        <f t="shared" si="21"/>
        <v>2150</v>
      </c>
      <c r="V26" s="83">
        <f t="shared" si="21"/>
        <v>2150</v>
      </c>
      <c r="W26" s="83">
        <f t="shared" si="21"/>
        <v>2150</v>
      </c>
      <c r="X26" s="83">
        <f t="shared" si="21"/>
        <v>2150</v>
      </c>
      <c r="Y26" s="83">
        <f t="shared" si="21"/>
        <v>2150</v>
      </c>
      <c r="Z26" s="83">
        <f t="shared" si="21"/>
        <v>2150</v>
      </c>
      <c r="AA26" s="83">
        <f t="shared" si="21"/>
        <v>2150</v>
      </c>
      <c r="AB26" s="83">
        <f t="shared" si="21"/>
        <v>2150</v>
      </c>
      <c r="AC26" s="83">
        <f t="shared" si="21"/>
        <v>2150</v>
      </c>
      <c r="AD26" s="83">
        <f t="shared" si="21"/>
        <v>2150</v>
      </c>
      <c r="AE26" s="83">
        <f t="shared" si="21"/>
        <v>2150</v>
      </c>
      <c r="AF26" s="83">
        <f t="shared" si="21"/>
        <v>2150</v>
      </c>
      <c r="AG26" s="83">
        <f t="shared" si="21"/>
        <v>2150</v>
      </c>
      <c r="AH26" s="83">
        <f t="shared" si="21"/>
        <v>2150</v>
      </c>
      <c r="AJ26" s="83" cm="1">
        <f t="array" aca="1" ref="AJ26" ca="1">INDEX($E26:$AH26,1,MATCH(AJ$3&amp;AJ$4&amp;AJ$5&amp;AJ$6,$E$3:$AH$3&amp;$E$4:$AH$4&amp;$E$5:$AH$5&amp;$E$6:$AH$6,1))</f>
        <v>2150</v>
      </c>
      <c r="AK26" s="83" cm="1">
        <f t="array" aca="1" ref="AK26" ca="1">INDEX($E26:$AH26,1,MATCH(AK$3&amp;AK$4&amp;AK$5&amp;AK$6,$E$3:$AH$3&amp;$E$4:$AH$4&amp;$E$5:$AH$5&amp;$E$6:$AH$6,1))</f>
        <v>2150</v>
      </c>
      <c r="AL26" s="83" cm="1">
        <f t="array" aca="1" ref="AL26" ca="1">INDEX($E26:$AH26,1,MATCH(AL$3&amp;AL$4&amp;AL$5&amp;AL$6,$E$3:$AH$3&amp;$E$4:$AH$4&amp;$E$5:$AH$5&amp;$E$6:$AH$6,1))</f>
        <v>2150</v>
      </c>
      <c r="AM26" s="158" cm="1">
        <f t="array" aca="1" ref="AM26" ca="1">INDEX($E26:$AH26,1,MATCH(AM$3&amp;AM$4&amp;AM$5&amp;AM$6,$E$3:$AH$3&amp;$E$4:$AH$4&amp;$E$5:$AH$5&amp;$E$6:$AH$6,1))</f>
        <v>2150</v>
      </c>
      <c r="AN26" s="83" cm="1">
        <f t="array" aca="1" ref="AN26" ca="1">INDEX($E26:$AH26,1,MATCH(AN$3&amp;AN$4&amp;AN$5&amp;AN$6,$E$3:$AH$3&amp;$E$4:$AH$4&amp;$E$5:$AH$5&amp;$E$6:$AH$6,1))</f>
        <v>2150</v>
      </c>
      <c r="AO26" s="83" cm="1">
        <f t="array" aca="1" ref="AO26" ca="1">INDEX($E26:$AH26,1,MATCH(AO$3&amp;AO$4&amp;AO$5&amp;AO$6,$E$3:$AH$3&amp;$E$4:$AH$4&amp;$E$5:$AH$5&amp;$E$6:$AH$6,1))</f>
        <v>2150</v>
      </c>
      <c r="AP26" s="83" cm="1">
        <f t="array" aca="1" ref="AP26" ca="1">INDEX($E26:$AH26,1,MATCH(AP$3&amp;AP$4&amp;AP$5&amp;AP$6,$E$3:$AH$3&amp;$E$4:$AH$4&amp;$E$5:$AH$5&amp;$E$6:$AH$6,1))</f>
        <v>2150</v>
      </c>
      <c r="AQ26" s="83" cm="1">
        <f t="array" aca="1" ref="AQ26" ca="1">INDEX($E26:$AH26,1,MATCH(AQ$3&amp;AQ$4&amp;AQ$5&amp;AQ$6,$E$3:$AH$3&amp;$E$4:$AH$4&amp;$E$5:$AH$5&amp;$E$6:$AH$6,1))</f>
        <v>2150</v>
      </c>
      <c r="AR26" s="83" cm="1">
        <f t="array" aca="1" ref="AR26" ca="1">INDEX($E26:$AH26,1,MATCH(AR$3&amp;AR$4&amp;AR$5&amp;AR$6,$E$3:$AH$3&amp;$E$4:$AH$4&amp;$E$5:$AH$5&amp;$E$6:$AH$6,1))</f>
        <v>2150</v>
      </c>
      <c r="AS26" s="83" cm="1">
        <f t="array" aca="1" ref="AS26" ca="1">INDEX($E26:$AH26,1,MATCH(AS$3&amp;AS$4&amp;AS$5&amp;AS$6,$E$3:$AH$3&amp;$E$4:$AH$4&amp;$E$5:$AH$5&amp;$E$6:$AH$6,1))</f>
        <v>2150</v>
      </c>
      <c r="AT26" s="83"/>
      <c r="AU26" s="83">
        <f t="shared" ca="1" si="20"/>
        <v>2150</v>
      </c>
      <c r="AV26" s="83">
        <f t="shared" ca="1" si="20"/>
        <v>2150</v>
      </c>
      <c r="AW26" s="83">
        <f t="shared" ca="1" si="20"/>
        <v>2150</v>
      </c>
    </row>
    <row r="27" spans="1:49" x14ac:dyDescent="0.25">
      <c r="C27" s="23" t="s">
        <v>310</v>
      </c>
      <c r="D27" s="27"/>
      <c r="E27" s="125">
        <f t="shared" ref="E27:AH27" si="22">E137</f>
        <v>700</v>
      </c>
      <c r="F27" s="125">
        <f t="shared" si="22"/>
        <v>700</v>
      </c>
      <c r="G27" s="125">
        <f t="shared" si="22"/>
        <v>700</v>
      </c>
      <c r="H27" s="125">
        <f t="shared" si="22"/>
        <v>700</v>
      </c>
      <c r="I27" s="125">
        <f t="shared" si="22"/>
        <v>700</v>
      </c>
      <c r="J27" s="125">
        <f t="shared" si="22"/>
        <v>700</v>
      </c>
      <c r="K27" s="125">
        <f t="shared" si="22"/>
        <v>700</v>
      </c>
      <c r="L27" s="125">
        <f t="shared" si="22"/>
        <v>700</v>
      </c>
      <c r="M27" s="125">
        <f t="shared" si="22"/>
        <v>700</v>
      </c>
      <c r="N27" s="125">
        <f t="shared" si="22"/>
        <v>700</v>
      </c>
      <c r="O27" s="125">
        <f t="shared" si="22"/>
        <v>700</v>
      </c>
      <c r="P27" s="170">
        <f t="shared" si="22"/>
        <v>700</v>
      </c>
      <c r="Q27" s="125">
        <f t="shared" si="22"/>
        <v>700</v>
      </c>
      <c r="R27" s="125">
        <f t="shared" si="22"/>
        <v>700</v>
      </c>
      <c r="S27" s="125">
        <f t="shared" si="22"/>
        <v>700</v>
      </c>
      <c r="T27" s="125">
        <f t="shared" si="22"/>
        <v>700</v>
      </c>
      <c r="U27" s="125">
        <f t="shared" si="22"/>
        <v>700</v>
      </c>
      <c r="V27" s="125">
        <f t="shared" si="22"/>
        <v>700</v>
      </c>
      <c r="W27" s="125">
        <f t="shared" si="22"/>
        <v>700</v>
      </c>
      <c r="X27" s="125">
        <f t="shared" si="22"/>
        <v>700</v>
      </c>
      <c r="Y27" s="125">
        <f t="shared" si="22"/>
        <v>700</v>
      </c>
      <c r="Z27" s="125">
        <f t="shared" si="22"/>
        <v>700</v>
      </c>
      <c r="AA27" s="125">
        <f t="shared" si="22"/>
        <v>700</v>
      </c>
      <c r="AB27" s="125">
        <f t="shared" si="22"/>
        <v>700</v>
      </c>
      <c r="AC27" s="125">
        <f t="shared" si="22"/>
        <v>700</v>
      </c>
      <c r="AD27" s="125">
        <f t="shared" si="22"/>
        <v>700</v>
      </c>
      <c r="AE27" s="125">
        <f t="shared" si="22"/>
        <v>700</v>
      </c>
      <c r="AF27" s="125">
        <f t="shared" si="22"/>
        <v>700</v>
      </c>
      <c r="AG27" s="125">
        <f t="shared" si="22"/>
        <v>700</v>
      </c>
      <c r="AH27" s="125">
        <f t="shared" si="22"/>
        <v>700</v>
      </c>
      <c r="AJ27" s="125" cm="1">
        <f t="array" aca="1" ref="AJ27" ca="1">INDEX($E27:$AH27,1,MATCH(AJ$3&amp;AJ$4&amp;AJ$5&amp;AJ$6,$E$3:$AH$3&amp;$E$4:$AH$4&amp;$E$5:$AH$5&amp;$E$6:$AH$6,1))</f>
        <v>700</v>
      </c>
      <c r="AK27" s="125" cm="1">
        <f t="array" aca="1" ref="AK27" ca="1">INDEX($E27:$AH27,1,MATCH(AK$3&amp;AK$4&amp;AK$5&amp;AK$6,$E$3:$AH$3&amp;$E$4:$AH$4&amp;$E$5:$AH$5&amp;$E$6:$AH$6,1))</f>
        <v>700</v>
      </c>
      <c r="AL27" s="125" cm="1">
        <f t="array" aca="1" ref="AL27" ca="1">INDEX($E27:$AH27,1,MATCH(AL$3&amp;AL$4&amp;AL$5&amp;AL$6,$E$3:$AH$3&amp;$E$4:$AH$4&amp;$E$5:$AH$5&amp;$E$6:$AH$6,1))</f>
        <v>700</v>
      </c>
      <c r="AM27" s="170" cm="1">
        <f t="array" aca="1" ref="AM27" ca="1">INDEX($E27:$AH27,1,MATCH(AM$3&amp;AM$4&amp;AM$5&amp;AM$6,$E$3:$AH$3&amp;$E$4:$AH$4&amp;$E$5:$AH$5&amp;$E$6:$AH$6,1))</f>
        <v>700</v>
      </c>
      <c r="AN27" s="125" cm="1">
        <f t="array" aca="1" ref="AN27" ca="1">INDEX($E27:$AH27,1,MATCH(AN$3&amp;AN$4&amp;AN$5&amp;AN$6,$E$3:$AH$3&amp;$E$4:$AH$4&amp;$E$5:$AH$5&amp;$E$6:$AH$6,1))</f>
        <v>700</v>
      </c>
      <c r="AO27" s="125" cm="1">
        <f t="array" aca="1" ref="AO27" ca="1">INDEX($E27:$AH27,1,MATCH(AO$3&amp;AO$4&amp;AO$5&amp;AO$6,$E$3:$AH$3&amp;$E$4:$AH$4&amp;$E$5:$AH$5&amp;$E$6:$AH$6,1))</f>
        <v>700</v>
      </c>
      <c r="AP27" s="125" cm="1">
        <f t="array" aca="1" ref="AP27" ca="1">INDEX($E27:$AH27,1,MATCH(AP$3&amp;AP$4&amp;AP$5&amp;AP$6,$E$3:$AH$3&amp;$E$4:$AH$4&amp;$E$5:$AH$5&amp;$E$6:$AH$6,1))</f>
        <v>700</v>
      </c>
      <c r="AQ27" s="125" cm="1">
        <f t="array" aca="1" ref="AQ27" ca="1">INDEX($E27:$AH27,1,MATCH(AQ$3&amp;AQ$4&amp;AQ$5&amp;AQ$6,$E$3:$AH$3&amp;$E$4:$AH$4&amp;$E$5:$AH$5&amp;$E$6:$AH$6,1))</f>
        <v>700</v>
      </c>
      <c r="AR27" s="125" cm="1">
        <f t="array" aca="1" ref="AR27" ca="1">INDEX($E27:$AH27,1,MATCH(AR$3&amp;AR$4&amp;AR$5&amp;AR$6,$E$3:$AH$3&amp;$E$4:$AH$4&amp;$E$5:$AH$5&amp;$E$6:$AH$6,1))</f>
        <v>700</v>
      </c>
      <c r="AS27" s="125" cm="1">
        <f t="array" aca="1" ref="AS27" ca="1">INDEX($E27:$AH27,1,MATCH(AS$3&amp;AS$4&amp;AS$5&amp;AS$6,$E$3:$AH$3&amp;$E$4:$AH$4&amp;$E$5:$AH$5&amp;$E$6:$AH$6,1))</f>
        <v>700</v>
      </c>
      <c r="AT27" s="125"/>
      <c r="AU27" s="125">
        <f t="shared" ca="1" si="20"/>
        <v>700</v>
      </c>
      <c r="AV27" s="125">
        <f t="shared" ca="1" si="20"/>
        <v>700</v>
      </c>
      <c r="AW27" s="125">
        <f t="shared" ca="1" si="20"/>
        <v>700</v>
      </c>
    </row>
    <row r="28" spans="1:49" x14ac:dyDescent="0.25">
      <c r="B28" t="s">
        <v>231</v>
      </c>
      <c r="C28" s="11" t="s">
        <v>311</v>
      </c>
      <c r="D28" s="11"/>
      <c r="E28" s="120">
        <f>SUM(E25:E27)</f>
        <v>9150</v>
      </c>
      <c r="F28" s="120">
        <f t="shared" ref="F28:AW28" si="23">SUM(F25:F27)</f>
        <v>9150</v>
      </c>
      <c r="G28" s="120">
        <f t="shared" si="23"/>
        <v>9150</v>
      </c>
      <c r="H28" s="120">
        <f t="shared" si="23"/>
        <v>9150</v>
      </c>
      <c r="I28" s="120">
        <f t="shared" si="23"/>
        <v>9150</v>
      </c>
      <c r="J28" s="120">
        <f t="shared" si="23"/>
        <v>9150</v>
      </c>
      <c r="K28" s="120">
        <f t="shared" si="23"/>
        <v>9150</v>
      </c>
      <c r="L28" s="120">
        <f t="shared" si="23"/>
        <v>9150</v>
      </c>
      <c r="M28" s="120">
        <f t="shared" si="23"/>
        <v>9150</v>
      </c>
      <c r="N28" s="120">
        <f t="shared" si="23"/>
        <v>9150</v>
      </c>
      <c r="O28" s="120">
        <f t="shared" si="23"/>
        <v>9150</v>
      </c>
      <c r="P28" s="122">
        <f t="shared" si="23"/>
        <v>9150</v>
      </c>
      <c r="Q28" s="120">
        <f t="shared" si="23"/>
        <v>9150</v>
      </c>
      <c r="R28" s="120">
        <f t="shared" si="23"/>
        <v>9150</v>
      </c>
      <c r="S28" s="120">
        <f t="shared" si="23"/>
        <v>9750</v>
      </c>
      <c r="T28" s="120">
        <f t="shared" si="23"/>
        <v>9750</v>
      </c>
      <c r="U28" s="120">
        <f t="shared" si="23"/>
        <v>9750</v>
      </c>
      <c r="V28" s="120">
        <f t="shared" si="23"/>
        <v>9750</v>
      </c>
      <c r="W28" s="120">
        <f t="shared" si="23"/>
        <v>9750</v>
      </c>
      <c r="X28" s="120">
        <f t="shared" si="23"/>
        <v>9750</v>
      </c>
      <c r="Y28" s="120">
        <f t="shared" si="23"/>
        <v>9750</v>
      </c>
      <c r="Z28" s="120">
        <f t="shared" si="23"/>
        <v>9750</v>
      </c>
      <c r="AA28" s="120">
        <f t="shared" si="23"/>
        <v>9750</v>
      </c>
      <c r="AB28" s="120">
        <f t="shared" si="23"/>
        <v>9750</v>
      </c>
      <c r="AC28" s="120">
        <f t="shared" si="23"/>
        <v>9750</v>
      </c>
      <c r="AD28" s="120">
        <f t="shared" si="23"/>
        <v>9750</v>
      </c>
      <c r="AE28" s="120">
        <f t="shared" si="23"/>
        <v>9750</v>
      </c>
      <c r="AF28" s="120">
        <f t="shared" si="23"/>
        <v>9750</v>
      </c>
      <c r="AG28" s="120">
        <f t="shared" si="23"/>
        <v>9750</v>
      </c>
      <c r="AH28" s="120">
        <f t="shared" si="23"/>
        <v>9750</v>
      </c>
      <c r="AJ28" s="120">
        <f t="shared" ca="1" si="23"/>
        <v>9150</v>
      </c>
      <c r="AK28" s="120">
        <f t="shared" ca="1" si="23"/>
        <v>9150</v>
      </c>
      <c r="AL28" s="120">
        <f t="shared" ca="1" si="23"/>
        <v>9150</v>
      </c>
      <c r="AM28" s="122">
        <f t="shared" ca="1" si="23"/>
        <v>9150</v>
      </c>
      <c r="AN28" s="120">
        <f t="shared" ca="1" si="23"/>
        <v>9750</v>
      </c>
      <c r="AO28" s="120">
        <f t="shared" ca="1" si="23"/>
        <v>9750</v>
      </c>
      <c r="AP28" s="120">
        <f t="shared" ca="1" si="23"/>
        <v>9750</v>
      </c>
      <c r="AQ28" s="120">
        <f t="shared" ca="1" si="23"/>
        <v>9750</v>
      </c>
      <c r="AR28" s="120">
        <f t="shared" ca="1" si="23"/>
        <v>9750</v>
      </c>
      <c r="AS28" s="120">
        <f t="shared" ca="1" si="23"/>
        <v>9750</v>
      </c>
      <c r="AT28" s="120">
        <f t="shared" si="23"/>
        <v>0</v>
      </c>
      <c r="AU28" s="120">
        <f t="shared" ca="1" si="23"/>
        <v>9150</v>
      </c>
      <c r="AV28" s="120">
        <f t="shared" ca="1" si="23"/>
        <v>9750</v>
      </c>
      <c r="AW28" s="120">
        <f t="shared" ca="1" si="23"/>
        <v>9750</v>
      </c>
    </row>
    <row r="29" spans="1:49" x14ac:dyDescent="0.25"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158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J29" s="83"/>
      <c r="AK29" s="83"/>
      <c r="AL29" s="83"/>
      <c r="AM29" s="158"/>
      <c r="AN29" s="83"/>
      <c r="AO29" s="83"/>
      <c r="AP29" s="83"/>
      <c r="AQ29" s="83"/>
      <c r="AR29" s="83"/>
      <c r="AS29" s="83"/>
      <c r="AT29" s="83"/>
      <c r="AU29" s="83"/>
      <c r="AV29" s="83"/>
      <c r="AW29" s="83"/>
    </row>
    <row r="30" spans="1:49" x14ac:dyDescent="0.25">
      <c r="C30" s="1" t="s">
        <v>312</v>
      </c>
      <c r="E30" s="83">
        <f t="shared" ref="E30:AH30" si="24">E156</f>
        <v>4900</v>
      </c>
      <c r="F30" s="83">
        <f t="shared" si="24"/>
        <v>4900</v>
      </c>
      <c r="G30" s="83">
        <f t="shared" si="24"/>
        <v>4900</v>
      </c>
      <c r="H30" s="83">
        <f t="shared" si="24"/>
        <v>4900</v>
      </c>
      <c r="I30" s="83">
        <f t="shared" si="24"/>
        <v>4900</v>
      </c>
      <c r="J30" s="83">
        <f t="shared" si="24"/>
        <v>4900</v>
      </c>
      <c r="K30" s="83">
        <f t="shared" si="24"/>
        <v>4900</v>
      </c>
      <c r="L30" s="83">
        <f t="shared" si="24"/>
        <v>4900</v>
      </c>
      <c r="M30" s="83">
        <f t="shared" si="24"/>
        <v>4900</v>
      </c>
      <c r="N30" s="83">
        <f t="shared" si="24"/>
        <v>4900</v>
      </c>
      <c r="O30" s="83">
        <f t="shared" si="24"/>
        <v>4900</v>
      </c>
      <c r="P30" s="158">
        <f t="shared" si="24"/>
        <v>4900</v>
      </c>
      <c r="Q30" s="83">
        <f t="shared" si="24"/>
        <v>5444.4444444444443</v>
      </c>
      <c r="R30" s="83">
        <f t="shared" si="24"/>
        <v>5553.333333333333</v>
      </c>
      <c r="S30" s="83">
        <f t="shared" si="24"/>
        <v>5553.333333333333</v>
      </c>
      <c r="T30" s="83">
        <f t="shared" si="24"/>
        <v>5553.333333333333</v>
      </c>
      <c r="U30" s="83">
        <f t="shared" si="24"/>
        <v>5553.333333333333</v>
      </c>
      <c r="V30" s="83">
        <f t="shared" si="24"/>
        <v>5553.333333333333</v>
      </c>
      <c r="W30" s="83">
        <f t="shared" si="24"/>
        <v>5553.333333333333</v>
      </c>
      <c r="X30" s="83">
        <f t="shared" si="24"/>
        <v>5553.333333333333</v>
      </c>
      <c r="Y30" s="83">
        <f t="shared" si="24"/>
        <v>5553.333333333333</v>
      </c>
      <c r="Z30" s="83">
        <f t="shared" si="24"/>
        <v>5553.333333333333</v>
      </c>
      <c r="AA30" s="83">
        <f t="shared" si="24"/>
        <v>5553.333333333333</v>
      </c>
      <c r="AB30" s="83">
        <f t="shared" si="24"/>
        <v>5553.333333333333</v>
      </c>
      <c r="AC30" s="83">
        <f t="shared" si="24"/>
        <v>5553.333333333333</v>
      </c>
      <c r="AD30" s="83">
        <f t="shared" si="24"/>
        <v>5553.333333333333</v>
      </c>
      <c r="AE30" s="83">
        <f t="shared" si="24"/>
        <v>5553.333333333333</v>
      </c>
      <c r="AF30" s="83">
        <f t="shared" si="24"/>
        <v>5553.333333333333</v>
      </c>
      <c r="AG30" s="83">
        <f t="shared" si="24"/>
        <v>5553.333333333333</v>
      </c>
      <c r="AH30" s="83">
        <f t="shared" si="24"/>
        <v>5553.333333333333</v>
      </c>
      <c r="AJ30" s="83" cm="1">
        <f t="array" aca="1" ref="AJ30" ca="1">INDEX($E30:$AH30,1,MATCH(AJ$3&amp;AJ$4&amp;AJ$5&amp;AJ$6,$E$3:$AH$3&amp;$E$4:$AH$4&amp;$E$5:$AH$5&amp;$E$6:$AH$6,1))</f>
        <v>4900</v>
      </c>
      <c r="AK30" s="83" cm="1">
        <f t="array" aca="1" ref="AK30" ca="1">INDEX($E30:$AH30,1,MATCH(AK$3&amp;AK$4&amp;AK$5&amp;AK$6,$E$3:$AH$3&amp;$E$4:$AH$4&amp;$E$5:$AH$5&amp;$E$6:$AH$6,1))</f>
        <v>4900</v>
      </c>
      <c r="AL30" s="83" cm="1">
        <f t="array" aca="1" ref="AL30" ca="1">INDEX($E30:$AH30,1,MATCH(AL$3&amp;AL$4&amp;AL$5&amp;AL$6,$E$3:$AH$3&amp;$E$4:$AH$4&amp;$E$5:$AH$5&amp;$E$6:$AH$6,1))</f>
        <v>4900</v>
      </c>
      <c r="AM30" s="158" cm="1">
        <f t="array" aca="1" ref="AM30" ca="1">INDEX($E30:$AH30,1,MATCH(AM$3&amp;AM$4&amp;AM$5&amp;AM$6,$E$3:$AH$3&amp;$E$4:$AH$4&amp;$E$5:$AH$5&amp;$E$6:$AH$6,1))</f>
        <v>4900</v>
      </c>
      <c r="AN30" s="83" cm="1">
        <f t="array" aca="1" ref="AN30" ca="1">INDEX($E30:$AH30,1,MATCH(AN$3&amp;AN$4&amp;AN$5&amp;AN$6,$E$3:$AH$3&amp;$E$4:$AH$4&amp;$E$5:$AH$5&amp;$E$6:$AH$6,1))</f>
        <v>5553.333333333333</v>
      </c>
      <c r="AO30" s="83" cm="1">
        <f t="array" aca="1" ref="AO30" ca="1">INDEX($E30:$AH30,1,MATCH(AO$3&amp;AO$4&amp;AO$5&amp;AO$6,$E$3:$AH$3&amp;$E$4:$AH$4&amp;$E$5:$AH$5&amp;$E$6:$AH$6,1))</f>
        <v>5553.333333333333</v>
      </c>
      <c r="AP30" s="83" cm="1">
        <f t="array" aca="1" ref="AP30" ca="1">INDEX($E30:$AH30,1,MATCH(AP$3&amp;AP$4&amp;AP$5&amp;AP$6,$E$3:$AH$3&amp;$E$4:$AH$4&amp;$E$5:$AH$5&amp;$E$6:$AH$6,1))</f>
        <v>5553.333333333333</v>
      </c>
      <c r="AQ30" s="83" cm="1">
        <f t="array" aca="1" ref="AQ30" ca="1">INDEX($E30:$AH30,1,MATCH(AQ$3&amp;AQ$4&amp;AQ$5&amp;AQ$6,$E$3:$AH$3&amp;$E$4:$AH$4&amp;$E$5:$AH$5&amp;$E$6:$AH$6,1))</f>
        <v>5553.333333333333</v>
      </c>
      <c r="AR30" s="83" cm="1">
        <f t="array" aca="1" ref="AR30" ca="1">INDEX($E30:$AH30,1,MATCH(AR$3&amp;AR$4&amp;AR$5&amp;AR$6,$E$3:$AH$3&amp;$E$4:$AH$4&amp;$E$5:$AH$5&amp;$E$6:$AH$6,1))</f>
        <v>5553.333333333333</v>
      </c>
      <c r="AS30" s="83" cm="1">
        <f t="array" aca="1" ref="AS30" ca="1">INDEX($E30:$AH30,1,MATCH(AS$3&amp;AS$4&amp;AS$5&amp;AS$6,$E$3:$AH$3&amp;$E$4:$AH$4&amp;$E$5:$AH$5&amp;$E$6:$AH$6,1))</f>
        <v>5553.333333333333</v>
      </c>
      <c r="AT30" s="83"/>
      <c r="AU30" s="83">
        <f t="shared" ref="AU30:AW34" ca="1" si="25">INDEX($E30:$AH30,MATCH(AU$5,$E$5:$AH$5,1))</f>
        <v>4900</v>
      </c>
      <c r="AV30" s="83">
        <f t="shared" ca="1" si="25"/>
        <v>5553.333333333333</v>
      </c>
      <c r="AW30" s="83">
        <f t="shared" ca="1" si="25"/>
        <v>5553.333333333333</v>
      </c>
    </row>
    <row r="31" spans="1:49" x14ac:dyDescent="0.25">
      <c r="C31" s="1" t="s">
        <v>313</v>
      </c>
      <c r="E31" s="83">
        <f t="shared" ref="E31:AH31" si="26">E161</f>
        <v>750</v>
      </c>
      <c r="F31" s="83">
        <f t="shared" si="26"/>
        <v>750</v>
      </c>
      <c r="G31" s="83">
        <f t="shared" si="26"/>
        <v>750</v>
      </c>
      <c r="H31" s="83">
        <f t="shared" si="26"/>
        <v>750</v>
      </c>
      <c r="I31" s="83">
        <f t="shared" si="26"/>
        <v>750</v>
      </c>
      <c r="J31" s="83">
        <f t="shared" si="26"/>
        <v>750</v>
      </c>
      <c r="K31" s="83">
        <f t="shared" si="26"/>
        <v>750</v>
      </c>
      <c r="L31" s="83">
        <f t="shared" si="26"/>
        <v>750</v>
      </c>
      <c r="M31" s="83">
        <f t="shared" si="26"/>
        <v>750</v>
      </c>
      <c r="N31" s="83">
        <f t="shared" si="26"/>
        <v>750</v>
      </c>
      <c r="O31" s="83">
        <f t="shared" si="26"/>
        <v>750</v>
      </c>
      <c r="P31" s="158">
        <f t="shared" si="26"/>
        <v>750</v>
      </c>
      <c r="Q31" s="83">
        <f t="shared" si="26"/>
        <v>784.47225353171223</v>
      </c>
      <c r="R31" s="83">
        <f t="shared" si="26"/>
        <v>784.64332694274219</v>
      </c>
      <c r="S31" s="83">
        <f t="shared" si="26"/>
        <v>784.68610263944845</v>
      </c>
      <c r="T31" s="83">
        <f t="shared" si="26"/>
        <v>784.81103601663426</v>
      </c>
      <c r="U31" s="83">
        <f t="shared" si="26"/>
        <v>784.85310171636092</v>
      </c>
      <c r="V31" s="83">
        <f t="shared" si="26"/>
        <v>784.73829448821846</v>
      </c>
      <c r="W31" s="83">
        <f t="shared" si="26"/>
        <v>784.69388729719867</v>
      </c>
      <c r="X31" s="83">
        <f t="shared" si="26"/>
        <v>784.65325252184721</v>
      </c>
      <c r="Y31" s="83">
        <f t="shared" si="26"/>
        <v>784.62618072862017</v>
      </c>
      <c r="Z31" s="83">
        <f t="shared" si="26"/>
        <v>784.72007944943584</v>
      </c>
      <c r="AA31" s="83">
        <f t="shared" si="26"/>
        <v>784.57770743135109</v>
      </c>
      <c r="AB31" s="83">
        <f t="shared" si="26"/>
        <v>784.6693160851712</v>
      </c>
      <c r="AC31" s="83">
        <f t="shared" si="26"/>
        <v>820.6559007286545</v>
      </c>
      <c r="AD31" s="83">
        <f t="shared" si="26"/>
        <v>821.01558534764706</v>
      </c>
      <c r="AE31" s="83">
        <f t="shared" si="26"/>
        <v>821.10753005590936</v>
      </c>
      <c r="AF31" s="83">
        <f t="shared" si="26"/>
        <v>821.3660760809056</v>
      </c>
      <c r="AG31" s="83">
        <f t="shared" si="26"/>
        <v>821.45448564435503</v>
      </c>
      <c r="AH31" s="83">
        <f t="shared" si="26"/>
        <v>821.21499662455972</v>
      </c>
      <c r="AJ31" s="83" cm="1">
        <f t="array" aca="1" ref="AJ31" ca="1">INDEX($E31:$AH31,1,MATCH(AJ$3&amp;AJ$4&amp;AJ$5&amp;AJ$6,$E$3:$AH$3&amp;$E$4:$AH$4&amp;$E$5:$AH$5&amp;$E$6:$AH$6,1))</f>
        <v>750</v>
      </c>
      <c r="AK31" s="83" cm="1">
        <f t="array" aca="1" ref="AK31" ca="1">INDEX($E31:$AH31,1,MATCH(AK$3&amp;AK$4&amp;AK$5&amp;AK$6,$E$3:$AH$3&amp;$E$4:$AH$4&amp;$E$5:$AH$5&amp;$E$6:$AH$6,1))</f>
        <v>750</v>
      </c>
      <c r="AL31" s="83" cm="1">
        <f t="array" aca="1" ref="AL31" ca="1">INDEX($E31:$AH31,1,MATCH(AL$3&amp;AL$4&amp;AL$5&amp;AL$6,$E$3:$AH$3&amp;$E$4:$AH$4&amp;$E$5:$AH$5&amp;$E$6:$AH$6,1))</f>
        <v>750</v>
      </c>
      <c r="AM31" s="158" cm="1">
        <f t="array" aca="1" ref="AM31" ca="1">INDEX($E31:$AH31,1,MATCH(AM$3&amp;AM$4&amp;AM$5&amp;AM$6,$E$3:$AH$3&amp;$E$4:$AH$4&amp;$E$5:$AH$5&amp;$E$6:$AH$6,1))</f>
        <v>750</v>
      </c>
      <c r="AN31" s="83" cm="1">
        <f t="array" aca="1" ref="AN31" ca="1">INDEX($E31:$AH31,1,MATCH(AN$3&amp;AN$4&amp;AN$5&amp;AN$6,$E$3:$AH$3&amp;$E$4:$AH$4&amp;$E$5:$AH$5&amp;$E$6:$AH$6,1))</f>
        <v>784.68610263944845</v>
      </c>
      <c r="AO31" s="83" cm="1">
        <f t="array" aca="1" ref="AO31" ca="1">INDEX($E31:$AH31,1,MATCH(AO$3&amp;AO$4&amp;AO$5&amp;AO$6,$E$3:$AH$3&amp;$E$4:$AH$4&amp;$E$5:$AH$5&amp;$E$6:$AH$6,1))</f>
        <v>784.73829448821846</v>
      </c>
      <c r="AP31" s="83" cm="1">
        <f t="array" aca="1" ref="AP31" ca="1">INDEX($E31:$AH31,1,MATCH(AP$3&amp;AP$4&amp;AP$5&amp;AP$6,$E$3:$AH$3&amp;$E$4:$AH$4&amp;$E$5:$AH$5&amp;$E$6:$AH$6,1))</f>
        <v>784.62618072862017</v>
      </c>
      <c r="AQ31" s="83" cm="1">
        <f t="array" aca="1" ref="AQ31" ca="1">INDEX($E31:$AH31,1,MATCH(AQ$3&amp;AQ$4&amp;AQ$5&amp;AQ$6,$E$3:$AH$3&amp;$E$4:$AH$4&amp;$E$5:$AH$5&amp;$E$6:$AH$6,1))</f>
        <v>784.6693160851712</v>
      </c>
      <c r="AR31" s="83" cm="1">
        <f t="array" aca="1" ref="AR31" ca="1">INDEX($E31:$AH31,1,MATCH(AR$3&amp;AR$4&amp;AR$5&amp;AR$6,$E$3:$AH$3&amp;$E$4:$AH$4&amp;$E$5:$AH$5&amp;$E$6:$AH$6,1))</f>
        <v>821.10753005590936</v>
      </c>
      <c r="AS31" s="83" cm="1">
        <f t="array" aca="1" ref="AS31" ca="1">INDEX($E31:$AH31,1,MATCH(AS$3&amp;AS$4&amp;AS$5&amp;AS$6,$E$3:$AH$3&amp;$E$4:$AH$4&amp;$E$5:$AH$5&amp;$E$6:$AH$6,1))</f>
        <v>821.21499662455972</v>
      </c>
      <c r="AT31" s="83"/>
      <c r="AU31" s="83">
        <f t="shared" ca="1" si="25"/>
        <v>750</v>
      </c>
      <c r="AV31" s="83">
        <f t="shared" ca="1" si="25"/>
        <v>784.73829448821846</v>
      </c>
      <c r="AW31" s="83">
        <f t="shared" ca="1" si="25"/>
        <v>821.21499662455972</v>
      </c>
    </row>
    <row r="32" spans="1:49" x14ac:dyDescent="0.25">
      <c r="C32" s="1" t="s">
        <v>314</v>
      </c>
      <c r="E32" s="83">
        <f t="shared" ref="E32:AH32" si="27">E166</f>
        <v>400</v>
      </c>
      <c r="F32" s="83">
        <f t="shared" si="27"/>
        <v>400</v>
      </c>
      <c r="G32" s="83">
        <f t="shared" si="27"/>
        <v>400</v>
      </c>
      <c r="H32" s="83">
        <f t="shared" si="27"/>
        <v>400</v>
      </c>
      <c r="I32" s="83">
        <f t="shared" si="27"/>
        <v>400</v>
      </c>
      <c r="J32" s="83">
        <f t="shared" si="27"/>
        <v>400</v>
      </c>
      <c r="K32" s="83">
        <f t="shared" si="27"/>
        <v>400</v>
      </c>
      <c r="L32" s="83">
        <f t="shared" si="27"/>
        <v>400</v>
      </c>
      <c r="M32" s="83">
        <f t="shared" si="27"/>
        <v>400</v>
      </c>
      <c r="N32" s="83">
        <f t="shared" si="27"/>
        <v>400</v>
      </c>
      <c r="O32" s="83">
        <f t="shared" si="27"/>
        <v>400</v>
      </c>
      <c r="P32" s="158">
        <f t="shared" si="27"/>
        <v>400</v>
      </c>
      <c r="Q32" s="83">
        <f t="shared" si="27"/>
        <v>418.38520188357984</v>
      </c>
      <c r="R32" s="83">
        <f t="shared" si="27"/>
        <v>418.47644103612919</v>
      </c>
      <c r="S32" s="83">
        <f t="shared" si="27"/>
        <v>418.49925474103918</v>
      </c>
      <c r="T32" s="83">
        <f t="shared" si="27"/>
        <v>418.5658858755383</v>
      </c>
      <c r="U32" s="83">
        <f t="shared" si="27"/>
        <v>418.5883209153925</v>
      </c>
      <c r="V32" s="83">
        <f t="shared" si="27"/>
        <v>418.52709039371649</v>
      </c>
      <c r="W32" s="83">
        <f t="shared" si="27"/>
        <v>418.50340655850596</v>
      </c>
      <c r="X32" s="83">
        <f t="shared" si="27"/>
        <v>418.4817346783185</v>
      </c>
      <c r="Y32" s="83">
        <f t="shared" si="27"/>
        <v>418.46729638859745</v>
      </c>
      <c r="Z32" s="83">
        <f t="shared" si="27"/>
        <v>418.51737570636578</v>
      </c>
      <c r="AA32" s="83">
        <f t="shared" si="27"/>
        <v>418.44144396338726</v>
      </c>
      <c r="AB32" s="83">
        <f t="shared" si="27"/>
        <v>418.4903019120913</v>
      </c>
      <c r="AC32" s="83">
        <f t="shared" si="27"/>
        <v>437.6831470552824</v>
      </c>
      <c r="AD32" s="83">
        <f t="shared" si="27"/>
        <v>437.87497885207841</v>
      </c>
      <c r="AE32" s="83">
        <f t="shared" si="27"/>
        <v>437.92401602981835</v>
      </c>
      <c r="AF32" s="83">
        <f t="shared" si="27"/>
        <v>438.06190724314968</v>
      </c>
      <c r="AG32" s="83">
        <f t="shared" si="27"/>
        <v>438.10905901032271</v>
      </c>
      <c r="AH32" s="83">
        <f t="shared" si="27"/>
        <v>437.98133153309851</v>
      </c>
      <c r="AJ32" s="83" cm="1">
        <f t="array" aca="1" ref="AJ32" ca="1">INDEX($E32:$AH32,1,MATCH(AJ$3&amp;AJ$4&amp;AJ$5&amp;AJ$6,$E$3:$AH$3&amp;$E$4:$AH$4&amp;$E$5:$AH$5&amp;$E$6:$AH$6,1))</f>
        <v>400</v>
      </c>
      <c r="AK32" s="83" cm="1">
        <f t="array" aca="1" ref="AK32" ca="1">INDEX($E32:$AH32,1,MATCH(AK$3&amp;AK$4&amp;AK$5&amp;AK$6,$E$3:$AH$3&amp;$E$4:$AH$4&amp;$E$5:$AH$5&amp;$E$6:$AH$6,1))</f>
        <v>400</v>
      </c>
      <c r="AL32" s="83" cm="1">
        <f t="array" aca="1" ref="AL32" ca="1">INDEX($E32:$AH32,1,MATCH(AL$3&amp;AL$4&amp;AL$5&amp;AL$6,$E$3:$AH$3&amp;$E$4:$AH$4&amp;$E$5:$AH$5&amp;$E$6:$AH$6,1))</f>
        <v>400</v>
      </c>
      <c r="AM32" s="158" cm="1">
        <f t="array" aca="1" ref="AM32" ca="1">INDEX($E32:$AH32,1,MATCH(AM$3&amp;AM$4&amp;AM$5&amp;AM$6,$E$3:$AH$3&amp;$E$4:$AH$4&amp;$E$5:$AH$5&amp;$E$6:$AH$6,1))</f>
        <v>400</v>
      </c>
      <c r="AN32" s="83" cm="1">
        <f t="array" aca="1" ref="AN32" ca="1">INDEX($E32:$AH32,1,MATCH(AN$3&amp;AN$4&amp;AN$5&amp;AN$6,$E$3:$AH$3&amp;$E$4:$AH$4&amp;$E$5:$AH$5&amp;$E$6:$AH$6,1))</f>
        <v>418.49925474103918</v>
      </c>
      <c r="AO32" s="83" cm="1">
        <f t="array" aca="1" ref="AO32" ca="1">INDEX($E32:$AH32,1,MATCH(AO$3&amp;AO$4&amp;AO$5&amp;AO$6,$E$3:$AH$3&amp;$E$4:$AH$4&amp;$E$5:$AH$5&amp;$E$6:$AH$6,1))</f>
        <v>418.52709039371649</v>
      </c>
      <c r="AP32" s="83" cm="1">
        <f t="array" aca="1" ref="AP32" ca="1">INDEX($E32:$AH32,1,MATCH(AP$3&amp;AP$4&amp;AP$5&amp;AP$6,$E$3:$AH$3&amp;$E$4:$AH$4&amp;$E$5:$AH$5&amp;$E$6:$AH$6,1))</f>
        <v>418.46729638859745</v>
      </c>
      <c r="AQ32" s="83" cm="1">
        <f t="array" aca="1" ref="AQ32" ca="1">INDEX($E32:$AH32,1,MATCH(AQ$3&amp;AQ$4&amp;AQ$5&amp;AQ$6,$E$3:$AH$3&amp;$E$4:$AH$4&amp;$E$5:$AH$5&amp;$E$6:$AH$6,1))</f>
        <v>418.4903019120913</v>
      </c>
      <c r="AR32" s="83" cm="1">
        <f t="array" aca="1" ref="AR32" ca="1">INDEX($E32:$AH32,1,MATCH(AR$3&amp;AR$4&amp;AR$5&amp;AR$6,$E$3:$AH$3&amp;$E$4:$AH$4&amp;$E$5:$AH$5&amp;$E$6:$AH$6,1))</f>
        <v>437.92401602981835</v>
      </c>
      <c r="AS32" s="83" cm="1">
        <f t="array" aca="1" ref="AS32" ca="1">INDEX($E32:$AH32,1,MATCH(AS$3&amp;AS$4&amp;AS$5&amp;AS$6,$E$3:$AH$3&amp;$E$4:$AH$4&amp;$E$5:$AH$5&amp;$E$6:$AH$6,1))</f>
        <v>437.98133153309851</v>
      </c>
      <c r="AT32" s="83"/>
      <c r="AU32" s="83">
        <f t="shared" ca="1" si="25"/>
        <v>400</v>
      </c>
      <c r="AV32" s="83">
        <f t="shared" ca="1" si="25"/>
        <v>418.52709039371649</v>
      </c>
      <c r="AW32" s="83">
        <f t="shared" ca="1" si="25"/>
        <v>437.98133153309851</v>
      </c>
    </row>
    <row r="33" spans="1:49" x14ac:dyDescent="0.25">
      <c r="C33" s="1" t="s">
        <v>315</v>
      </c>
      <c r="E33" s="83">
        <f t="shared" ref="E33:AH33" si="28">E173</f>
        <v>325</v>
      </c>
      <c r="F33" s="83">
        <f t="shared" si="28"/>
        <v>325</v>
      </c>
      <c r="G33" s="83">
        <f t="shared" si="28"/>
        <v>325</v>
      </c>
      <c r="H33" s="83">
        <f t="shared" si="28"/>
        <v>325</v>
      </c>
      <c r="I33" s="83">
        <f t="shared" si="28"/>
        <v>325</v>
      </c>
      <c r="J33" s="83">
        <f t="shared" si="28"/>
        <v>325</v>
      </c>
      <c r="K33" s="83">
        <f t="shared" si="28"/>
        <v>325</v>
      </c>
      <c r="L33" s="83">
        <f t="shared" si="28"/>
        <v>325</v>
      </c>
      <c r="M33" s="83">
        <f t="shared" si="28"/>
        <v>325</v>
      </c>
      <c r="N33" s="83">
        <f t="shared" si="28"/>
        <v>325</v>
      </c>
      <c r="O33" s="83">
        <f t="shared" si="28"/>
        <v>325</v>
      </c>
      <c r="P33" s="158">
        <f t="shared" si="28"/>
        <v>325</v>
      </c>
      <c r="Q33" s="83">
        <f t="shared" si="28"/>
        <v>260</v>
      </c>
      <c r="R33" s="83">
        <f t="shared" si="28"/>
        <v>260</v>
      </c>
      <c r="S33" s="83">
        <f t="shared" si="28"/>
        <v>260</v>
      </c>
      <c r="T33" s="83">
        <f t="shared" si="28"/>
        <v>260</v>
      </c>
      <c r="U33" s="83">
        <f t="shared" si="28"/>
        <v>260</v>
      </c>
      <c r="V33" s="83">
        <f t="shared" si="28"/>
        <v>260</v>
      </c>
      <c r="W33" s="83">
        <f t="shared" si="28"/>
        <v>260</v>
      </c>
      <c r="X33" s="83">
        <f t="shared" si="28"/>
        <v>260</v>
      </c>
      <c r="Y33" s="83">
        <f t="shared" si="28"/>
        <v>260</v>
      </c>
      <c r="Z33" s="83">
        <f t="shared" si="28"/>
        <v>260</v>
      </c>
      <c r="AA33" s="83">
        <f t="shared" si="28"/>
        <v>260</v>
      </c>
      <c r="AB33" s="83">
        <f t="shared" si="28"/>
        <v>260</v>
      </c>
      <c r="AC33" s="83">
        <f t="shared" si="28"/>
        <v>260</v>
      </c>
      <c r="AD33" s="83">
        <f t="shared" si="28"/>
        <v>260</v>
      </c>
      <c r="AE33" s="83">
        <f t="shared" si="28"/>
        <v>260</v>
      </c>
      <c r="AF33" s="83">
        <f t="shared" si="28"/>
        <v>260</v>
      </c>
      <c r="AG33" s="83">
        <f t="shared" si="28"/>
        <v>260</v>
      </c>
      <c r="AH33" s="83">
        <f t="shared" si="28"/>
        <v>260</v>
      </c>
      <c r="AJ33" s="83" cm="1">
        <f t="array" aca="1" ref="AJ33" ca="1">INDEX($E33:$AH33,1,MATCH(AJ$3&amp;AJ$4&amp;AJ$5&amp;AJ$6,$E$3:$AH$3&amp;$E$4:$AH$4&amp;$E$5:$AH$5&amp;$E$6:$AH$6,1))</f>
        <v>325</v>
      </c>
      <c r="AK33" s="83" cm="1">
        <f t="array" aca="1" ref="AK33" ca="1">INDEX($E33:$AH33,1,MATCH(AK$3&amp;AK$4&amp;AK$5&amp;AK$6,$E$3:$AH$3&amp;$E$4:$AH$4&amp;$E$5:$AH$5&amp;$E$6:$AH$6,1))</f>
        <v>325</v>
      </c>
      <c r="AL33" s="83" cm="1">
        <f t="array" aca="1" ref="AL33" ca="1">INDEX($E33:$AH33,1,MATCH(AL$3&amp;AL$4&amp;AL$5&amp;AL$6,$E$3:$AH$3&amp;$E$4:$AH$4&amp;$E$5:$AH$5&amp;$E$6:$AH$6,1))</f>
        <v>325</v>
      </c>
      <c r="AM33" s="158" cm="1">
        <f t="array" aca="1" ref="AM33" ca="1">INDEX($E33:$AH33,1,MATCH(AM$3&amp;AM$4&amp;AM$5&amp;AM$6,$E$3:$AH$3&amp;$E$4:$AH$4&amp;$E$5:$AH$5&amp;$E$6:$AH$6,1))</f>
        <v>325</v>
      </c>
      <c r="AN33" s="83" cm="1">
        <f t="array" aca="1" ref="AN33" ca="1">INDEX($E33:$AH33,1,MATCH(AN$3&amp;AN$4&amp;AN$5&amp;AN$6,$E$3:$AH$3&amp;$E$4:$AH$4&amp;$E$5:$AH$5&amp;$E$6:$AH$6,1))</f>
        <v>260</v>
      </c>
      <c r="AO33" s="83" cm="1">
        <f t="array" aca="1" ref="AO33" ca="1">INDEX($E33:$AH33,1,MATCH(AO$3&amp;AO$4&amp;AO$5&amp;AO$6,$E$3:$AH$3&amp;$E$4:$AH$4&amp;$E$5:$AH$5&amp;$E$6:$AH$6,1))</f>
        <v>260</v>
      </c>
      <c r="AP33" s="83" cm="1">
        <f t="array" aca="1" ref="AP33" ca="1">INDEX($E33:$AH33,1,MATCH(AP$3&amp;AP$4&amp;AP$5&amp;AP$6,$E$3:$AH$3&amp;$E$4:$AH$4&amp;$E$5:$AH$5&amp;$E$6:$AH$6,1))</f>
        <v>260</v>
      </c>
      <c r="AQ33" s="83" cm="1">
        <f t="array" aca="1" ref="AQ33" ca="1">INDEX($E33:$AH33,1,MATCH(AQ$3&amp;AQ$4&amp;AQ$5&amp;AQ$6,$E$3:$AH$3&amp;$E$4:$AH$4&amp;$E$5:$AH$5&amp;$E$6:$AH$6,1))</f>
        <v>260</v>
      </c>
      <c r="AR33" s="83" cm="1">
        <f t="array" aca="1" ref="AR33" ca="1">INDEX($E33:$AH33,1,MATCH(AR$3&amp;AR$4&amp;AR$5&amp;AR$6,$E$3:$AH$3&amp;$E$4:$AH$4&amp;$E$5:$AH$5&amp;$E$6:$AH$6,1))</f>
        <v>260</v>
      </c>
      <c r="AS33" s="83" cm="1">
        <f t="array" aca="1" ref="AS33" ca="1">INDEX($E33:$AH33,1,MATCH(AS$3&amp;AS$4&amp;AS$5&amp;AS$6,$E$3:$AH$3&amp;$E$4:$AH$4&amp;$E$5:$AH$5&amp;$E$6:$AH$6,1))</f>
        <v>260</v>
      </c>
      <c r="AT33" s="83"/>
      <c r="AU33" s="83">
        <f t="shared" ca="1" si="25"/>
        <v>325</v>
      </c>
      <c r="AV33" s="83">
        <f t="shared" ca="1" si="25"/>
        <v>260</v>
      </c>
      <c r="AW33" s="83">
        <f t="shared" ca="1" si="25"/>
        <v>260</v>
      </c>
    </row>
    <row r="34" spans="1:49" x14ac:dyDescent="0.25">
      <c r="C34" s="23" t="s">
        <v>316</v>
      </c>
      <c r="D34" s="27"/>
      <c r="E34" s="125">
        <f t="shared" ref="E34:AH34" si="29">E185</f>
        <v>1025</v>
      </c>
      <c r="F34" s="125">
        <f t="shared" si="29"/>
        <v>1025</v>
      </c>
      <c r="G34" s="125">
        <f t="shared" si="29"/>
        <v>1025</v>
      </c>
      <c r="H34" s="125">
        <f t="shared" si="29"/>
        <v>1025</v>
      </c>
      <c r="I34" s="125">
        <f t="shared" si="29"/>
        <v>1025</v>
      </c>
      <c r="J34" s="125">
        <f t="shared" si="29"/>
        <v>1025</v>
      </c>
      <c r="K34" s="125">
        <f t="shared" si="29"/>
        <v>1025</v>
      </c>
      <c r="L34" s="125">
        <f t="shared" si="29"/>
        <v>1025</v>
      </c>
      <c r="M34" s="125">
        <f t="shared" si="29"/>
        <v>1025</v>
      </c>
      <c r="N34" s="125">
        <f t="shared" si="29"/>
        <v>1025</v>
      </c>
      <c r="O34" s="125">
        <f t="shared" si="29"/>
        <v>1025</v>
      </c>
      <c r="P34" s="170">
        <f t="shared" si="29"/>
        <v>1025</v>
      </c>
      <c r="Q34" s="125">
        <f t="shared" si="29"/>
        <v>1068.4096183530762</v>
      </c>
      <c r="R34" s="125">
        <f t="shared" si="29"/>
        <v>1072.9995663115901</v>
      </c>
      <c r="S34" s="125">
        <f t="shared" si="29"/>
        <v>1117.1561705838633</v>
      </c>
      <c r="T34" s="125">
        <f t="shared" si="29"/>
        <v>1119.2667902197391</v>
      </c>
      <c r="U34" s="125">
        <f t="shared" si="29"/>
        <v>1115.0643743534035</v>
      </c>
      <c r="V34" s="125">
        <f t="shared" si="29"/>
        <v>1115.0569717403343</v>
      </c>
      <c r="W34" s="125">
        <f t="shared" si="29"/>
        <v>1115.054108425385</v>
      </c>
      <c r="X34" s="125">
        <f t="shared" si="29"/>
        <v>1115.0514883506394</v>
      </c>
      <c r="Y34" s="125">
        <f t="shared" si="29"/>
        <v>1115.0497427984335</v>
      </c>
      <c r="Z34" s="125">
        <f t="shared" si="29"/>
        <v>1115.0557972595429</v>
      </c>
      <c r="AA34" s="125">
        <f t="shared" si="29"/>
        <v>1115.0466173065138</v>
      </c>
      <c r="AB34" s="125">
        <f t="shared" si="29"/>
        <v>1115.0525241072353</v>
      </c>
      <c r="AC34" s="125">
        <f t="shared" si="29"/>
        <v>1117.3728898726238</v>
      </c>
      <c r="AD34" s="125">
        <f t="shared" si="29"/>
        <v>1117.39608184498</v>
      </c>
      <c r="AE34" s="125">
        <f t="shared" si="29"/>
        <v>1117.4020103140324</v>
      </c>
      <c r="AF34" s="125">
        <f t="shared" si="29"/>
        <v>1117.4186810081569</v>
      </c>
      <c r="AG34" s="125">
        <f t="shared" si="29"/>
        <v>1117.4243815359059</v>
      </c>
      <c r="AH34" s="125">
        <f t="shared" si="29"/>
        <v>1117.4089396114159</v>
      </c>
      <c r="AJ34" s="125" cm="1">
        <f t="array" aca="1" ref="AJ34" ca="1">INDEX($E34:$AH34,1,MATCH(AJ$3&amp;AJ$4&amp;AJ$5&amp;AJ$6,$E$3:$AH$3&amp;$E$4:$AH$4&amp;$E$5:$AH$5&amp;$E$6:$AH$6,1))</f>
        <v>1025</v>
      </c>
      <c r="AK34" s="125" cm="1">
        <f t="array" aca="1" ref="AK34" ca="1">INDEX($E34:$AH34,1,MATCH(AK$3&amp;AK$4&amp;AK$5&amp;AK$6,$E$3:$AH$3&amp;$E$4:$AH$4&amp;$E$5:$AH$5&amp;$E$6:$AH$6,1))</f>
        <v>1025</v>
      </c>
      <c r="AL34" s="125" cm="1">
        <f t="array" aca="1" ref="AL34" ca="1">INDEX($E34:$AH34,1,MATCH(AL$3&amp;AL$4&amp;AL$5&amp;AL$6,$E$3:$AH$3&amp;$E$4:$AH$4&amp;$E$5:$AH$5&amp;$E$6:$AH$6,1))</f>
        <v>1025</v>
      </c>
      <c r="AM34" s="170" cm="1">
        <f t="array" aca="1" ref="AM34" ca="1">INDEX($E34:$AH34,1,MATCH(AM$3&amp;AM$4&amp;AM$5&amp;AM$6,$E$3:$AH$3&amp;$E$4:$AH$4&amp;$E$5:$AH$5&amp;$E$6:$AH$6,1))</f>
        <v>1025</v>
      </c>
      <c r="AN34" s="125" cm="1">
        <f t="array" aca="1" ref="AN34" ca="1">INDEX($E34:$AH34,1,MATCH(AN$3&amp;AN$4&amp;AN$5&amp;AN$6,$E$3:$AH$3&amp;$E$4:$AH$4&amp;$E$5:$AH$5&amp;$E$6:$AH$6,1))</f>
        <v>1117.1561705838633</v>
      </c>
      <c r="AO34" s="125" cm="1">
        <f t="array" aca="1" ref="AO34" ca="1">INDEX($E34:$AH34,1,MATCH(AO$3&amp;AO$4&amp;AO$5&amp;AO$6,$E$3:$AH$3&amp;$E$4:$AH$4&amp;$E$5:$AH$5&amp;$E$6:$AH$6,1))</f>
        <v>1115.0569717403343</v>
      </c>
      <c r="AP34" s="125" cm="1">
        <f t="array" aca="1" ref="AP34" ca="1">INDEX($E34:$AH34,1,MATCH(AP$3&amp;AP$4&amp;AP$5&amp;AP$6,$E$3:$AH$3&amp;$E$4:$AH$4&amp;$E$5:$AH$5&amp;$E$6:$AH$6,1))</f>
        <v>1115.0497427984335</v>
      </c>
      <c r="AQ34" s="125" cm="1">
        <f t="array" aca="1" ref="AQ34" ca="1">INDEX($E34:$AH34,1,MATCH(AQ$3&amp;AQ$4&amp;AQ$5&amp;AQ$6,$E$3:$AH$3&amp;$E$4:$AH$4&amp;$E$5:$AH$5&amp;$E$6:$AH$6,1))</f>
        <v>1115.0525241072353</v>
      </c>
      <c r="AR34" s="125" cm="1">
        <f t="array" aca="1" ref="AR34" ca="1">INDEX($E34:$AH34,1,MATCH(AR$3&amp;AR$4&amp;AR$5&amp;AR$6,$E$3:$AH$3&amp;$E$4:$AH$4&amp;$E$5:$AH$5&amp;$E$6:$AH$6,1))</f>
        <v>1117.4020103140324</v>
      </c>
      <c r="AS34" s="125" cm="1">
        <f t="array" aca="1" ref="AS34" ca="1">INDEX($E34:$AH34,1,MATCH(AS$3&amp;AS$4&amp;AS$5&amp;AS$6,$E$3:$AH$3&amp;$E$4:$AH$4&amp;$E$5:$AH$5&amp;$E$6:$AH$6,1))</f>
        <v>1117.4089396114159</v>
      </c>
      <c r="AT34" s="125"/>
      <c r="AU34" s="125">
        <f t="shared" ca="1" si="25"/>
        <v>1025</v>
      </c>
      <c r="AV34" s="125">
        <f t="shared" ca="1" si="25"/>
        <v>1115.0569717403343</v>
      </c>
      <c r="AW34" s="125">
        <f t="shared" ca="1" si="25"/>
        <v>1117.4089396114159</v>
      </c>
    </row>
    <row r="35" spans="1:49" x14ac:dyDescent="0.25">
      <c r="B35" t="s">
        <v>231</v>
      </c>
      <c r="C35" s="11" t="s">
        <v>317</v>
      </c>
      <c r="D35" s="11"/>
      <c r="E35" s="120">
        <f>SUM(E30:E34)</f>
        <v>7400</v>
      </c>
      <c r="F35" s="120">
        <f t="shared" ref="F35:AH35" si="30">SUM(F30:F34)</f>
        <v>7400</v>
      </c>
      <c r="G35" s="120">
        <f t="shared" si="30"/>
        <v>7400</v>
      </c>
      <c r="H35" s="120">
        <f t="shared" si="30"/>
        <v>7400</v>
      </c>
      <c r="I35" s="120">
        <f t="shared" si="30"/>
        <v>7400</v>
      </c>
      <c r="J35" s="120">
        <f t="shared" si="30"/>
        <v>7400</v>
      </c>
      <c r="K35" s="120">
        <f t="shared" si="30"/>
        <v>7400</v>
      </c>
      <c r="L35" s="120">
        <f t="shared" si="30"/>
        <v>7400</v>
      </c>
      <c r="M35" s="120">
        <f t="shared" si="30"/>
        <v>7400</v>
      </c>
      <c r="N35" s="120">
        <f t="shared" si="30"/>
        <v>7400</v>
      </c>
      <c r="O35" s="120">
        <f t="shared" si="30"/>
        <v>7400</v>
      </c>
      <c r="P35" s="122">
        <f t="shared" si="30"/>
        <v>7400</v>
      </c>
      <c r="Q35" s="120">
        <f t="shared" si="30"/>
        <v>7975.7115182128127</v>
      </c>
      <c r="R35" s="120">
        <f t="shared" si="30"/>
        <v>8089.4526676237947</v>
      </c>
      <c r="S35" s="120">
        <f t="shared" si="30"/>
        <v>8133.6748612976835</v>
      </c>
      <c r="T35" s="120">
        <f t="shared" si="30"/>
        <v>8135.9770454452455</v>
      </c>
      <c r="U35" s="120">
        <f t="shared" si="30"/>
        <v>8131.8391303184908</v>
      </c>
      <c r="V35" s="120">
        <f t="shared" si="30"/>
        <v>8131.6556899556017</v>
      </c>
      <c r="W35" s="120">
        <f t="shared" si="30"/>
        <v>8131.5847356144222</v>
      </c>
      <c r="X35" s="120">
        <f t="shared" si="30"/>
        <v>8131.519808884138</v>
      </c>
      <c r="Y35" s="120">
        <f t="shared" si="30"/>
        <v>8131.4765532489846</v>
      </c>
      <c r="Z35" s="120">
        <f t="shared" si="30"/>
        <v>8131.6265857486778</v>
      </c>
      <c r="AA35" s="120">
        <f t="shared" si="30"/>
        <v>8131.3991020345857</v>
      </c>
      <c r="AB35" s="120">
        <f t="shared" si="30"/>
        <v>8131.5454754378306</v>
      </c>
      <c r="AC35" s="120">
        <f t="shared" si="30"/>
        <v>8189.0452709898937</v>
      </c>
      <c r="AD35" s="120">
        <f t="shared" si="30"/>
        <v>8189.6199793780379</v>
      </c>
      <c r="AE35" s="120">
        <f t="shared" si="30"/>
        <v>8189.7668897330932</v>
      </c>
      <c r="AF35" s="120">
        <f t="shared" si="30"/>
        <v>8190.1799976655457</v>
      </c>
      <c r="AG35" s="120">
        <f t="shared" si="30"/>
        <v>8190.3212595239174</v>
      </c>
      <c r="AH35" s="120">
        <f t="shared" si="30"/>
        <v>8189.9386011024071</v>
      </c>
      <c r="AJ35" s="120">
        <f t="shared" ref="AJ35:AW35" ca="1" si="31">SUM(AJ30:AJ34)</f>
        <v>7400</v>
      </c>
      <c r="AK35" s="120">
        <f t="shared" ca="1" si="31"/>
        <v>7400</v>
      </c>
      <c r="AL35" s="120">
        <f t="shared" ca="1" si="31"/>
        <v>7400</v>
      </c>
      <c r="AM35" s="122">
        <f t="shared" ca="1" si="31"/>
        <v>7400</v>
      </c>
      <c r="AN35" s="120">
        <f t="shared" ca="1" si="31"/>
        <v>8133.6748612976835</v>
      </c>
      <c r="AO35" s="120">
        <f t="shared" ca="1" si="31"/>
        <v>8131.6556899556017</v>
      </c>
      <c r="AP35" s="120">
        <f t="shared" ca="1" si="31"/>
        <v>8131.4765532489846</v>
      </c>
      <c r="AQ35" s="120">
        <f t="shared" ca="1" si="31"/>
        <v>8131.5454754378306</v>
      </c>
      <c r="AR35" s="120">
        <f t="shared" ca="1" si="31"/>
        <v>8189.7668897330932</v>
      </c>
      <c r="AS35" s="120">
        <f t="shared" ca="1" si="31"/>
        <v>8189.9386011024071</v>
      </c>
      <c r="AT35" s="120">
        <f t="shared" si="31"/>
        <v>0</v>
      </c>
      <c r="AU35" s="120">
        <f t="shared" ca="1" si="31"/>
        <v>7400</v>
      </c>
      <c r="AV35" s="120">
        <f t="shared" ca="1" si="31"/>
        <v>8131.6556899556017</v>
      </c>
      <c r="AW35" s="120">
        <f t="shared" ca="1" si="31"/>
        <v>8189.9386011024071</v>
      </c>
    </row>
    <row r="36" spans="1:49" x14ac:dyDescent="0.25"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158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J36" s="83"/>
      <c r="AK36" s="83"/>
      <c r="AL36" s="83"/>
      <c r="AM36" s="158"/>
      <c r="AN36" s="83"/>
      <c r="AO36" s="83"/>
      <c r="AP36" s="83"/>
      <c r="AQ36" s="83"/>
      <c r="AR36" s="83"/>
      <c r="AS36" s="83"/>
      <c r="AT36" s="83"/>
      <c r="AU36" s="83"/>
      <c r="AV36" s="83"/>
      <c r="AW36" s="83"/>
    </row>
    <row r="37" spans="1:49" ht="15.75" thickBot="1" x14ac:dyDescent="0.3">
      <c r="B37" t="s">
        <v>231</v>
      </c>
      <c r="C37" s="53" t="s">
        <v>94</v>
      </c>
      <c r="D37" s="53"/>
      <c r="E37" s="183">
        <f>E23+E28+E35</f>
        <v>25400</v>
      </c>
      <c r="F37" s="183">
        <f t="shared" ref="F37:AH37" si="32">F23+F28+F35</f>
        <v>25400</v>
      </c>
      <c r="G37" s="183">
        <f t="shared" si="32"/>
        <v>25400</v>
      </c>
      <c r="H37" s="183">
        <f t="shared" si="32"/>
        <v>25400</v>
      </c>
      <c r="I37" s="183">
        <f t="shared" si="32"/>
        <v>25400</v>
      </c>
      <c r="J37" s="183">
        <f t="shared" si="32"/>
        <v>25400</v>
      </c>
      <c r="K37" s="183">
        <f t="shared" si="32"/>
        <v>25400</v>
      </c>
      <c r="L37" s="183">
        <f t="shared" si="32"/>
        <v>25400</v>
      </c>
      <c r="M37" s="183">
        <f t="shared" si="32"/>
        <v>25400</v>
      </c>
      <c r="N37" s="183">
        <f t="shared" si="32"/>
        <v>25400</v>
      </c>
      <c r="O37" s="183">
        <f t="shared" si="32"/>
        <v>25400</v>
      </c>
      <c r="P37" s="184">
        <f t="shared" si="32"/>
        <v>25400</v>
      </c>
      <c r="Q37" s="183">
        <f t="shared" si="32"/>
        <v>26475.711518212811</v>
      </c>
      <c r="R37" s="183">
        <f t="shared" si="32"/>
        <v>26589.452667623795</v>
      </c>
      <c r="S37" s="183">
        <f t="shared" si="32"/>
        <v>27683.674861297684</v>
      </c>
      <c r="T37" s="183">
        <f t="shared" si="32"/>
        <v>27735.977045445245</v>
      </c>
      <c r="U37" s="183">
        <f t="shared" si="32"/>
        <v>27631.839130318491</v>
      </c>
      <c r="V37" s="183">
        <f t="shared" si="32"/>
        <v>27631.655689955602</v>
      </c>
      <c r="W37" s="183">
        <f t="shared" si="32"/>
        <v>27631.584735614422</v>
      </c>
      <c r="X37" s="183">
        <f t="shared" si="32"/>
        <v>27631.519808884139</v>
      </c>
      <c r="Y37" s="183">
        <f t="shared" si="32"/>
        <v>27631.476553248984</v>
      </c>
      <c r="Z37" s="183">
        <f t="shared" si="32"/>
        <v>27631.62658574868</v>
      </c>
      <c r="AA37" s="183">
        <f t="shared" si="32"/>
        <v>27631.399102034586</v>
      </c>
      <c r="AB37" s="183">
        <f t="shared" si="32"/>
        <v>27631.54547543783</v>
      </c>
      <c r="AC37" s="183">
        <f t="shared" si="32"/>
        <v>27689.045270989893</v>
      </c>
      <c r="AD37" s="183">
        <f t="shared" si="32"/>
        <v>27689.61997937804</v>
      </c>
      <c r="AE37" s="183">
        <f t="shared" si="32"/>
        <v>27689.766889733095</v>
      </c>
      <c r="AF37" s="183">
        <f t="shared" si="32"/>
        <v>27690.179997665546</v>
      </c>
      <c r="AG37" s="183">
        <f t="shared" si="32"/>
        <v>27690.321259523917</v>
      </c>
      <c r="AH37" s="183">
        <f t="shared" si="32"/>
        <v>27689.938601102407</v>
      </c>
      <c r="AJ37" s="183">
        <f t="shared" ref="AJ37:AW37" ca="1" si="33">AJ23+AJ28+AJ35</f>
        <v>25400</v>
      </c>
      <c r="AK37" s="183">
        <f t="shared" ca="1" si="33"/>
        <v>25400</v>
      </c>
      <c r="AL37" s="183">
        <f t="shared" ca="1" si="33"/>
        <v>25400</v>
      </c>
      <c r="AM37" s="184">
        <f t="shared" ca="1" si="33"/>
        <v>25400</v>
      </c>
      <c r="AN37" s="183">
        <f t="shared" ca="1" si="33"/>
        <v>27683.674861297684</v>
      </c>
      <c r="AO37" s="183">
        <f t="shared" ca="1" si="33"/>
        <v>27631.655689955602</v>
      </c>
      <c r="AP37" s="183">
        <f t="shared" ca="1" si="33"/>
        <v>27631.476553248984</v>
      </c>
      <c r="AQ37" s="183">
        <f t="shared" ca="1" si="33"/>
        <v>27631.54547543783</v>
      </c>
      <c r="AR37" s="183">
        <f t="shared" ca="1" si="33"/>
        <v>27689.766889733095</v>
      </c>
      <c r="AS37" s="183">
        <f t="shared" ca="1" si="33"/>
        <v>27689.938601102407</v>
      </c>
      <c r="AT37" s="183">
        <f t="shared" si="33"/>
        <v>0</v>
      </c>
      <c r="AU37" s="183">
        <f t="shared" ca="1" si="33"/>
        <v>25400</v>
      </c>
      <c r="AV37" s="183">
        <f t="shared" ca="1" si="33"/>
        <v>27631.655689955602</v>
      </c>
      <c r="AW37" s="183">
        <f t="shared" ca="1" si="33"/>
        <v>27689.938601102407</v>
      </c>
    </row>
    <row r="38" spans="1:49" ht="15.75" thickTop="1" x14ac:dyDescent="0.25"/>
    <row r="39" spans="1:49" ht="18.75" x14ac:dyDescent="0.3">
      <c r="A39" t="s">
        <v>231</v>
      </c>
      <c r="B39" t="s">
        <v>231</v>
      </c>
      <c r="C39" s="181" t="s">
        <v>286</v>
      </c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</row>
    <row r="40" spans="1:49" x14ac:dyDescent="0.25">
      <c r="C40" s="11"/>
      <c r="D40" s="11"/>
    </row>
    <row r="41" spans="1:49" x14ac:dyDescent="0.25">
      <c r="C41" s="30" t="s">
        <v>299</v>
      </c>
      <c r="D41" s="30"/>
      <c r="E41" s="45" t="str">
        <f t="shared" ref="E41:AH41" si="34">E$9</f>
        <v>Jul-20A</v>
      </c>
      <c r="F41" s="45" t="str">
        <f t="shared" si="34"/>
        <v>Aug-20A</v>
      </c>
      <c r="G41" s="45" t="str">
        <f t="shared" si="34"/>
        <v>Sep-20A</v>
      </c>
      <c r="H41" s="45" t="str">
        <f t="shared" si="34"/>
        <v>Oct-20A</v>
      </c>
      <c r="I41" s="45" t="str">
        <f t="shared" si="34"/>
        <v>Nov-20A</v>
      </c>
      <c r="J41" s="45" t="str">
        <f t="shared" si="34"/>
        <v>Dec-20A</v>
      </c>
      <c r="K41" s="45" t="str">
        <f t="shared" si="34"/>
        <v>Jan-21A</v>
      </c>
      <c r="L41" s="45" t="str">
        <f t="shared" si="34"/>
        <v>Feb-21A</v>
      </c>
      <c r="M41" s="45" t="str">
        <f t="shared" si="34"/>
        <v>Mar-21A</v>
      </c>
      <c r="N41" s="45" t="str">
        <f t="shared" si="34"/>
        <v>Apr-21A</v>
      </c>
      <c r="O41" s="45" t="str">
        <f t="shared" si="34"/>
        <v>May-21A</v>
      </c>
      <c r="P41" s="46" t="str">
        <f t="shared" si="34"/>
        <v>Jun-21A</v>
      </c>
      <c r="Q41" s="45" t="str">
        <f t="shared" si="34"/>
        <v>Jul-21F</v>
      </c>
      <c r="R41" s="45" t="str">
        <f t="shared" si="34"/>
        <v>Aug-21F</v>
      </c>
      <c r="S41" s="45" t="str">
        <f t="shared" si="34"/>
        <v>Sep-21F</v>
      </c>
      <c r="T41" s="45" t="str">
        <f t="shared" si="34"/>
        <v>Oct-21F</v>
      </c>
      <c r="U41" s="45" t="str">
        <f t="shared" si="34"/>
        <v>Nov-21F</v>
      </c>
      <c r="V41" s="45" t="str">
        <f t="shared" si="34"/>
        <v>Dec-21F</v>
      </c>
      <c r="W41" s="45" t="str">
        <f t="shared" si="34"/>
        <v>Jan-22F</v>
      </c>
      <c r="X41" s="45" t="str">
        <f t="shared" si="34"/>
        <v>Feb-22F</v>
      </c>
      <c r="Y41" s="45" t="str">
        <f t="shared" si="34"/>
        <v>Mar-22F</v>
      </c>
      <c r="Z41" s="45" t="str">
        <f t="shared" si="34"/>
        <v>Apr-22F</v>
      </c>
      <c r="AA41" s="45" t="str">
        <f t="shared" si="34"/>
        <v>May-22F</v>
      </c>
      <c r="AB41" s="45" t="str">
        <f t="shared" si="34"/>
        <v>Jun-22F</v>
      </c>
      <c r="AC41" s="45" t="str">
        <f t="shared" si="34"/>
        <v>Jul-22F</v>
      </c>
      <c r="AD41" s="45" t="str">
        <f t="shared" si="34"/>
        <v>Aug-22F</v>
      </c>
      <c r="AE41" s="45" t="str">
        <f t="shared" si="34"/>
        <v>Sep-22F</v>
      </c>
      <c r="AF41" s="45" t="str">
        <f t="shared" si="34"/>
        <v>Oct-22F</v>
      </c>
      <c r="AG41" s="45" t="str">
        <f t="shared" si="34"/>
        <v>Nov-22F</v>
      </c>
      <c r="AH41" s="45" t="str">
        <f t="shared" si="34"/>
        <v>Dec-22F</v>
      </c>
      <c r="AJ41" s="45" t="str">
        <f ca="1">AJ$10</f>
        <v>Q3'20A</v>
      </c>
      <c r="AK41" s="45" t="str">
        <f t="shared" ref="AK41:AW41" ca="1" si="35">AK$10</f>
        <v>Q4'20A</v>
      </c>
      <c r="AL41" s="45" t="str">
        <f t="shared" ca="1" si="35"/>
        <v>Q1'21A</v>
      </c>
      <c r="AM41" s="46" t="str">
        <f t="shared" ca="1" si="35"/>
        <v>Q2'21A</v>
      </c>
      <c r="AN41" s="45" t="str">
        <f t="shared" ca="1" si="35"/>
        <v>Q3'21F</v>
      </c>
      <c r="AO41" s="45" t="str">
        <f t="shared" ca="1" si="35"/>
        <v>Q4'21F</v>
      </c>
      <c r="AP41" s="45" t="str">
        <f t="shared" ca="1" si="35"/>
        <v>Q1'22F</v>
      </c>
      <c r="AQ41" s="45" t="str">
        <f t="shared" ca="1" si="35"/>
        <v>Q2'22F</v>
      </c>
      <c r="AR41" s="45" t="str">
        <f t="shared" ca="1" si="35"/>
        <v>Q3'22F</v>
      </c>
      <c r="AS41" s="45" t="str">
        <f t="shared" ca="1" si="35"/>
        <v>Q4'22F</v>
      </c>
      <c r="AT41" s="13"/>
      <c r="AU41" s="45" t="str">
        <f t="shared" ca="1" si="35"/>
        <v>FY20</v>
      </c>
      <c r="AV41" s="45" t="str">
        <f t="shared" ca="1" si="35"/>
        <v>FY21</v>
      </c>
      <c r="AW41" s="45" t="str">
        <f t="shared" ca="1" si="35"/>
        <v>FY22</v>
      </c>
    </row>
    <row r="42" spans="1:49" x14ac:dyDescent="0.25">
      <c r="C42" t="s">
        <v>287</v>
      </c>
      <c r="E42" s="33">
        <f>SUM(Summary_Income_Stmt!E49,Summary_Income_Stmt!E41,Summary_Income_Stmt!E43)</f>
        <v>371.8330108470912</v>
      </c>
      <c r="F42" s="33">
        <f>SUM(Summary_Income_Stmt!F49,Summary_Income_Stmt!F41,Summary_Income_Stmt!F43)</f>
        <v>230.35116178483759</v>
      </c>
      <c r="G42" s="33">
        <f>SUM(Summary_Income_Stmt!G49,Summary_Income_Stmt!G41,Summary_Income_Stmt!G43)</f>
        <v>308.82415053640193</v>
      </c>
      <c r="H42" s="33">
        <f>SUM(Summary_Income_Stmt!H49,Summary_Income_Stmt!H41,Summary_Income_Stmt!H43)</f>
        <v>370.42235928849169</v>
      </c>
      <c r="I42" s="33">
        <f>SUM(Summary_Income_Stmt!I49,Summary_Income_Stmt!I41,Summary_Income_Stmt!I43)</f>
        <v>409.62909394359366</v>
      </c>
      <c r="J42" s="33">
        <f>SUM(Summary_Income_Stmt!J49,Summary_Income_Stmt!J41,Summary_Income_Stmt!J43)</f>
        <v>637.30691813041517</v>
      </c>
      <c r="K42" s="33">
        <f>SUM(Summary_Income_Stmt!K49,Summary_Income_Stmt!K41,Summary_Income_Stmt!K43)</f>
        <v>404.3761496370845</v>
      </c>
      <c r="L42" s="33">
        <f>SUM(Summary_Income_Stmt!L49,Summary_Income_Stmt!L41,Summary_Income_Stmt!L43)</f>
        <v>360.81450262667835</v>
      </c>
      <c r="M42" s="33">
        <f>SUM(Summary_Income_Stmt!M49,Summary_Income_Stmt!M41,Summary_Income_Stmt!M43)</f>
        <v>-8.612710541045665</v>
      </c>
      <c r="N42" s="33">
        <f>SUM(Summary_Income_Stmt!N49,Summary_Income_Stmt!N41,Summary_Income_Stmt!N43)</f>
        <v>604.95457956090127</v>
      </c>
      <c r="O42" s="33">
        <f>SUM(Summary_Income_Stmt!O49,Summary_Income_Stmt!O41,Summary_Income_Stmt!O43)</f>
        <v>510.6482626648571</v>
      </c>
      <c r="P42" s="34">
        <f>SUM(Summary_Income_Stmt!P49,Summary_Income_Stmt!P41,Summary_Income_Stmt!P43)</f>
        <v>487.30882623459826</v>
      </c>
      <c r="Q42" s="33">
        <f>SUM(Summary_Income_Stmt!Q49,Summary_Income_Stmt!Q41,Summary_Income_Stmt!Q43)</f>
        <v>445.3338911511421</v>
      </c>
      <c r="R42" s="33">
        <f>SUM(Summary_Income_Stmt!R49,Summary_Income_Stmt!R41,Summary_Income_Stmt!R43)</f>
        <v>310.9736778762645</v>
      </c>
      <c r="S42" s="33">
        <f>SUM(Summary_Income_Stmt!S49,Summary_Income_Stmt!S41,Summary_Income_Stmt!S43)</f>
        <v>348.72201609794615</v>
      </c>
      <c r="T42" s="33">
        <f>SUM(Summary_Income_Stmt!T49,Summary_Income_Stmt!T41,Summary_Income_Stmt!T43)</f>
        <v>384.99536021859376</v>
      </c>
      <c r="U42" s="33">
        <f>SUM(Summary_Income_Stmt!U49,Summary_Income_Stmt!U41,Summary_Income_Stmt!U43)</f>
        <v>434.13543933949444</v>
      </c>
      <c r="V42" s="33">
        <f>SUM(Summary_Income_Stmt!V49,Summary_Income_Stmt!V41,Summary_Income_Stmt!V43)</f>
        <v>611.91906831162385</v>
      </c>
      <c r="W42" s="33">
        <f>SUM(Summary_Income_Stmt!W49,Summary_Income_Stmt!W41,Summary_Income_Stmt!W43)</f>
        <v>424.35469180453208</v>
      </c>
      <c r="X42" s="33">
        <f>SUM(Summary_Income_Stmt!X49,Summary_Income_Stmt!X41,Summary_Income_Stmt!X43)</f>
        <v>361.85884715174967</v>
      </c>
      <c r="Y42" s="33">
        <f>SUM(Summary_Income_Stmt!Y49,Summary_Income_Stmt!Y41,Summary_Income_Stmt!Y43)</f>
        <v>7.3462986361212401</v>
      </c>
      <c r="Z42" s="33">
        <f>SUM(Summary_Income_Stmt!Z49,Summary_Income_Stmt!Z41,Summary_Income_Stmt!Z43)</f>
        <v>638.71294842670761</v>
      </c>
      <c r="AA42" s="33">
        <f>SUM(Summary_Income_Stmt!AA49,Summary_Income_Stmt!AA41,Summary_Income_Stmt!AA43)</f>
        <v>528.24096292601678</v>
      </c>
      <c r="AB42" s="33">
        <f>SUM(Summary_Income_Stmt!AB49,Summary_Income_Stmt!AB41,Summary_Income_Stmt!AB43)</f>
        <v>569.56940774888551</v>
      </c>
      <c r="AC42" s="33">
        <f>SUM(Summary_Income_Stmt!AC49,Summary_Income_Stmt!AC41,Summary_Income_Stmt!AC43)</f>
        <v>475.63725415276815</v>
      </c>
      <c r="AD42" s="33">
        <f>SUM(Summary_Income_Stmt!AD49,Summary_Income_Stmt!AD41,Summary_Income_Stmt!AD43)</f>
        <v>334.75195289324978</v>
      </c>
      <c r="AE42" s="33">
        <f>SUM(Summary_Income_Stmt!AE49,Summary_Income_Stmt!AE41,Summary_Income_Stmt!AE43)</f>
        <v>373.35385387900845</v>
      </c>
      <c r="AF42" s="33">
        <f>SUM(Summary_Income_Stmt!AF49,Summary_Income_Stmt!AF41,Summary_Income_Stmt!AF43)</f>
        <v>409.95973779803086</v>
      </c>
      <c r="AG42" s="33">
        <f>SUM(Summary_Income_Stmt!AG49,Summary_Income_Stmt!AG41,Summary_Income_Stmt!AG43)</f>
        <v>461.16898484006992</v>
      </c>
      <c r="AH42" s="33">
        <f>SUM(Summary_Income_Stmt!AH49,Summary_Income_Stmt!AH41,Summary_Income_Stmt!AH43)</f>
        <v>648.58623924799338</v>
      </c>
      <c r="AM42" s="338"/>
    </row>
    <row r="43" spans="1:49" x14ac:dyDescent="0.25"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M43" s="8"/>
    </row>
    <row r="44" spans="1:49" x14ac:dyDescent="0.25">
      <c r="C44" s="1" t="s">
        <v>54</v>
      </c>
      <c r="E44" s="33">
        <f>Revenue!E21</f>
        <v>1076.0245631271903</v>
      </c>
      <c r="F44" s="33">
        <f>Revenue!F21</f>
        <v>859.26920010937727</v>
      </c>
      <c r="G44" s="33">
        <f>Revenue!G21</f>
        <v>836.52248099866563</v>
      </c>
      <c r="H44" s="33">
        <f>Revenue!H21</f>
        <v>856.34353116215016</v>
      </c>
      <c r="I44" s="33">
        <f>Revenue!I21</f>
        <v>867.96401434551092</v>
      </c>
      <c r="J44" s="33">
        <f>Revenue!J21</f>
        <v>1202.7235625694784</v>
      </c>
      <c r="K44" s="33">
        <f>Revenue!K21</f>
        <v>999.30327627363522</v>
      </c>
      <c r="L44" s="33">
        <f>Revenue!L21</f>
        <v>871.88490961518551</v>
      </c>
      <c r="M44" s="33">
        <f>Revenue!M21</f>
        <v>872.77456928733591</v>
      </c>
      <c r="N44" s="33">
        <f>Revenue!N21</f>
        <v>1197.1562696903486</v>
      </c>
      <c r="O44" s="33">
        <f>Revenue!O21</f>
        <v>1183.4780841029253</v>
      </c>
      <c r="P44" s="34">
        <f>Revenue!P21</f>
        <v>1250.1871922417429</v>
      </c>
      <c r="Q44" s="33">
        <f>Revenue!Q21</f>
        <v>1132.808116934413</v>
      </c>
      <c r="R44" s="33">
        <f>Revenue!R21</f>
        <v>924.28989330578554</v>
      </c>
      <c r="S44" s="33">
        <f>Revenue!S21</f>
        <v>881.48613024466636</v>
      </c>
      <c r="T44" s="33">
        <f>Revenue!T21</f>
        <v>897.76544844326088</v>
      </c>
      <c r="U44" s="33">
        <f>Revenue!U21</f>
        <v>916.16025491466962</v>
      </c>
      <c r="V44" s="33">
        <f>Revenue!V21</f>
        <v>1204.916359100057</v>
      </c>
      <c r="W44" s="33">
        <f>Revenue!W21</f>
        <v>1057.131134894355</v>
      </c>
      <c r="X44" s="33">
        <f>Revenue!X21</f>
        <v>909.33744398212934</v>
      </c>
      <c r="Y44" s="33">
        <f>Revenue!Y21</f>
        <v>897.40647334653238</v>
      </c>
      <c r="Z44" s="33">
        <f>Revenue!Z21</f>
        <v>1285.0423590273199</v>
      </c>
      <c r="AA44" s="33">
        <f>Revenue!AA21</f>
        <v>1205.9135471960133</v>
      </c>
      <c r="AB44" s="33">
        <f>Revenue!AB21</f>
        <v>1313.002590548946</v>
      </c>
      <c r="AC44" s="33">
        <f>Revenue!AC21</f>
        <v>1185.0629560611505</v>
      </c>
      <c r="AD44" s="33">
        <f>Revenue!AD21</f>
        <v>967.14486205329683</v>
      </c>
      <c r="AE44" s="33">
        <f>Revenue!AE21</f>
        <v>922.39951981466538</v>
      </c>
      <c r="AF44" s="33">
        <f>Revenue!AF21</f>
        <v>939.58156234665057</v>
      </c>
      <c r="AG44" s="33">
        <f>Revenue!AG21</f>
        <v>958.88043189295263</v>
      </c>
      <c r="AH44" s="33">
        <f>Revenue!AH21</f>
        <v>1260.9299508968747</v>
      </c>
      <c r="AM44" s="8"/>
    </row>
    <row r="45" spans="1:49" x14ac:dyDescent="0.25">
      <c r="C45" s="23" t="s">
        <v>289</v>
      </c>
      <c r="D45" s="27"/>
      <c r="E45" s="93">
        <v>0.05</v>
      </c>
      <c r="F45" s="93">
        <f>E45</f>
        <v>0.05</v>
      </c>
      <c r="G45" s="93">
        <f t="shared" ref="G45:AH45" si="36">F45</f>
        <v>0.05</v>
      </c>
      <c r="H45" s="93">
        <f t="shared" si="36"/>
        <v>0.05</v>
      </c>
      <c r="I45" s="93">
        <f t="shared" si="36"/>
        <v>0.05</v>
      </c>
      <c r="J45" s="93">
        <f t="shared" si="36"/>
        <v>0.05</v>
      </c>
      <c r="K45" s="93">
        <f t="shared" si="36"/>
        <v>0.05</v>
      </c>
      <c r="L45" s="93">
        <f t="shared" si="36"/>
        <v>0.05</v>
      </c>
      <c r="M45" s="93">
        <f t="shared" si="36"/>
        <v>0.05</v>
      </c>
      <c r="N45" s="93">
        <f t="shared" si="36"/>
        <v>0.05</v>
      </c>
      <c r="O45" s="93">
        <f t="shared" si="36"/>
        <v>0.05</v>
      </c>
      <c r="P45" s="171">
        <f t="shared" si="36"/>
        <v>0.05</v>
      </c>
      <c r="Q45" s="93">
        <f t="shared" si="36"/>
        <v>0.05</v>
      </c>
      <c r="R45" s="93">
        <f t="shared" si="36"/>
        <v>0.05</v>
      </c>
      <c r="S45" s="93">
        <f t="shared" si="36"/>
        <v>0.05</v>
      </c>
      <c r="T45" s="93">
        <f t="shared" si="36"/>
        <v>0.05</v>
      </c>
      <c r="U45" s="93">
        <f t="shared" si="36"/>
        <v>0.05</v>
      </c>
      <c r="V45" s="93">
        <f t="shared" si="36"/>
        <v>0.05</v>
      </c>
      <c r="W45" s="93">
        <f t="shared" si="36"/>
        <v>0.05</v>
      </c>
      <c r="X45" s="93">
        <f t="shared" si="36"/>
        <v>0.05</v>
      </c>
      <c r="Y45" s="93">
        <f t="shared" si="36"/>
        <v>0.05</v>
      </c>
      <c r="Z45" s="93">
        <f t="shared" si="36"/>
        <v>0.05</v>
      </c>
      <c r="AA45" s="93">
        <f t="shared" si="36"/>
        <v>0.05</v>
      </c>
      <c r="AB45" s="93">
        <f t="shared" si="36"/>
        <v>0.05</v>
      </c>
      <c r="AC45" s="93">
        <f t="shared" si="36"/>
        <v>0.05</v>
      </c>
      <c r="AD45" s="93">
        <f t="shared" si="36"/>
        <v>0.05</v>
      </c>
      <c r="AE45" s="93">
        <f t="shared" si="36"/>
        <v>0.05</v>
      </c>
      <c r="AF45" s="93">
        <f t="shared" si="36"/>
        <v>0.05</v>
      </c>
      <c r="AG45" s="93">
        <f t="shared" si="36"/>
        <v>0.05</v>
      </c>
      <c r="AH45" s="93">
        <f t="shared" si="36"/>
        <v>0.05</v>
      </c>
      <c r="AM45" s="8"/>
    </row>
    <row r="46" spans="1:49" x14ac:dyDescent="0.25">
      <c r="C46" t="s">
        <v>288</v>
      </c>
      <c r="E46" s="33">
        <f>E44*E45</f>
        <v>53.801228156359514</v>
      </c>
      <c r="F46" s="33">
        <f t="shared" ref="F46:AH46" si="37">F44*F45</f>
        <v>42.963460005468868</v>
      </c>
      <c r="G46" s="33">
        <f t="shared" si="37"/>
        <v>41.826124049933284</v>
      </c>
      <c r="H46" s="33">
        <f t="shared" si="37"/>
        <v>42.817176558107512</v>
      </c>
      <c r="I46" s="33">
        <f t="shared" si="37"/>
        <v>43.39820071727555</v>
      </c>
      <c r="J46" s="33">
        <f t="shared" si="37"/>
        <v>60.136178128473922</v>
      </c>
      <c r="K46" s="33">
        <f t="shared" si="37"/>
        <v>49.965163813681762</v>
      </c>
      <c r="L46" s="33">
        <f t="shared" si="37"/>
        <v>43.594245480759277</v>
      </c>
      <c r="M46" s="33">
        <f t="shared" si="37"/>
        <v>43.6387284643668</v>
      </c>
      <c r="N46" s="33">
        <f t="shared" si="37"/>
        <v>59.857813484517436</v>
      </c>
      <c r="O46" s="33">
        <f t="shared" si="37"/>
        <v>59.173904205146272</v>
      </c>
      <c r="P46" s="34">
        <f t="shared" si="37"/>
        <v>62.509359612087145</v>
      </c>
      <c r="Q46" s="33">
        <f t="shared" si="37"/>
        <v>56.640405846720654</v>
      </c>
      <c r="R46" s="33">
        <f t="shared" si="37"/>
        <v>46.21449466528928</v>
      </c>
      <c r="S46" s="33">
        <f t="shared" si="37"/>
        <v>44.074306512233321</v>
      </c>
      <c r="T46" s="33">
        <f t="shared" si="37"/>
        <v>44.888272422163048</v>
      </c>
      <c r="U46" s="33">
        <f t="shared" si="37"/>
        <v>45.808012745733485</v>
      </c>
      <c r="V46" s="33">
        <f t="shared" si="37"/>
        <v>60.245817955002849</v>
      </c>
      <c r="W46" s="33">
        <f t="shared" si="37"/>
        <v>52.85655674471775</v>
      </c>
      <c r="X46" s="33">
        <f t="shared" si="37"/>
        <v>45.466872199106469</v>
      </c>
      <c r="Y46" s="33">
        <f t="shared" si="37"/>
        <v>44.870323667326623</v>
      </c>
      <c r="Z46" s="33">
        <f t="shared" si="37"/>
        <v>64.252117951366003</v>
      </c>
      <c r="AA46" s="33">
        <f t="shared" si="37"/>
        <v>60.295677359800663</v>
      </c>
      <c r="AB46" s="33">
        <f t="shared" si="37"/>
        <v>65.650129527447305</v>
      </c>
      <c r="AC46" s="33">
        <f t="shared" si="37"/>
        <v>59.25314780305753</v>
      </c>
      <c r="AD46" s="33">
        <f t="shared" si="37"/>
        <v>48.357243102664846</v>
      </c>
      <c r="AE46" s="33">
        <f t="shared" si="37"/>
        <v>46.119975990733273</v>
      </c>
      <c r="AF46" s="33">
        <f t="shared" si="37"/>
        <v>46.979078117332534</v>
      </c>
      <c r="AG46" s="33">
        <f t="shared" si="37"/>
        <v>47.944021594647637</v>
      </c>
      <c r="AH46" s="33">
        <f t="shared" si="37"/>
        <v>63.046497544843739</v>
      </c>
      <c r="AM46" s="8"/>
    </row>
    <row r="47" spans="1:49" x14ac:dyDescent="0.25"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4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M47" s="8"/>
    </row>
    <row r="48" spans="1:49" x14ac:dyDescent="0.25">
      <c r="C48" t="s">
        <v>290</v>
      </c>
      <c r="E48" s="172">
        <f>Expense!E179</f>
        <v>0.21</v>
      </c>
      <c r="F48" s="172">
        <f>Expense!F179</f>
        <v>0.21</v>
      </c>
      <c r="G48" s="172">
        <f>Expense!G179</f>
        <v>0.21</v>
      </c>
      <c r="H48" s="172">
        <f>Expense!H179</f>
        <v>0.21</v>
      </c>
      <c r="I48" s="172">
        <f>Expense!I179</f>
        <v>0.21</v>
      </c>
      <c r="J48" s="172">
        <f>Expense!J179</f>
        <v>0.21</v>
      </c>
      <c r="K48" s="172">
        <f>Expense!K179</f>
        <v>0.21</v>
      </c>
      <c r="L48" s="172">
        <f>Expense!L179</f>
        <v>0.21</v>
      </c>
      <c r="M48" s="172">
        <f>Expense!M179</f>
        <v>0.21</v>
      </c>
      <c r="N48" s="172">
        <f>Expense!N179</f>
        <v>0.21</v>
      </c>
      <c r="O48" s="172">
        <f>Expense!O179</f>
        <v>0.21</v>
      </c>
      <c r="P48" s="173">
        <f>Expense!P179</f>
        <v>0.21</v>
      </c>
      <c r="Q48" s="172">
        <f>Expense!Q179</f>
        <v>0.21</v>
      </c>
      <c r="R48" s="172">
        <f>Expense!R179</f>
        <v>0.21</v>
      </c>
      <c r="S48" s="172">
        <f>Expense!S179</f>
        <v>0.21</v>
      </c>
      <c r="T48" s="172">
        <f>Expense!T179</f>
        <v>0.21</v>
      </c>
      <c r="U48" s="172">
        <f>Expense!U179</f>
        <v>0.21</v>
      </c>
      <c r="V48" s="172">
        <f>Expense!V179</f>
        <v>0.21</v>
      </c>
      <c r="W48" s="172">
        <f>Expense!W179</f>
        <v>0.21</v>
      </c>
      <c r="X48" s="172">
        <f>Expense!X179</f>
        <v>0.21</v>
      </c>
      <c r="Y48" s="172">
        <f>Expense!Y179</f>
        <v>0.21</v>
      </c>
      <c r="Z48" s="172">
        <f>Expense!Z179</f>
        <v>0.21</v>
      </c>
      <c r="AA48" s="172">
        <f>Expense!AA179</f>
        <v>0.21</v>
      </c>
      <c r="AB48" s="172">
        <f>Expense!AB179</f>
        <v>0.21</v>
      </c>
      <c r="AC48" s="172">
        <f>Expense!AC179</f>
        <v>0.21</v>
      </c>
      <c r="AD48" s="172">
        <f>Expense!AD179</f>
        <v>0.21</v>
      </c>
      <c r="AE48" s="172">
        <f>Expense!AE179</f>
        <v>0.21</v>
      </c>
      <c r="AF48" s="172">
        <f>Expense!AF179</f>
        <v>0.21</v>
      </c>
      <c r="AG48" s="172">
        <f>Expense!AG179</f>
        <v>0.21</v>
      </c>
      <c r="AH48" s="172">
        <f>Expense!AH179</f>
        <v>0.21</v>
      </c>
      <c r="AM48" s="8"/>
    </row>
    <row r="49" spans="2:49" x14ac:dyDescent="0.25">
      <c r="P49" s="8"/>
      <c r="AM49" s="8"/>
    </row>
    <row r="50" spans="2:49" x14ac:dyDescent="0.25">
      <c r="C50" s="11" t="s">
        <v>300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4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M50" s="8"/>
    </row>
    <row r="51" spans="2:49" x14ac:dyDescent="0.25">
      <c r="C51" s="1" t="s">
        <v>291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4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M51" s="8"/>
    </row>
    <row r="52" spans="2:49" x14ac:dyDescent="0.25">
      <c r="C52" s="1" t="s">
        <v>292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M52" s="8"/>
    </row>
    <row r="53" spans="2:49" x14ac:dyDescent="0.25">
      <c r="C53" s="129" t="s">
        <v>293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M53" s="8"/>
    </row>
    <row r="54" spans="2:49" x14ac:dyDescent="0.25"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4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M54" s="8"/>
    </row>
    <row r="55" spans="2:49" x14ac:dyDescent="0.25">
      <c r="C55" t="s">
        <v>301</v>
      </c>
      <c r="E55" s="13">
        <f t="shared" ref="E55:AH55" si="38">E42-(E46/(1-E48))</f>
        <v>303.7301903960032</v>
      </c>
      <c r="F55" s="13">
        <f t="shared" si="38"/>
        <v>175.9670351956365</v>
      </c>
      <c r="G55" s="13">
        <f t="shared" si="38"/>
        <v>255.87968971370157</v>
      </c>
      <c r="H55" s="13">
        <f t="shared" si="38"/>
        <v>316.22340162000114</v>
      </c>
      <c r="I55" s="13">
        <f t="shared" si="38"/>
        <v>354.69466265590307</v>
      </c>
      <c r="J55" s="13">
        <f t="shared" si="38"/>
        <v>561.18517366399249</v>
      </c>
      <c r="K55" s="13">
        <f t="shared" si="38"/>
        <v>341.12910683495568</v>
      </c>
      <c r="L55" s="13">
        <f t="shared" si="38"/>
        <v>305.63191341052737</v>
      </c>
      <c r="M55" s="13">
        <f t="shared" si="38"/>
        <v>-63.851607331383384</v>
      </c>
      <c r="N55" s="13">
        <f t="shared" si="38"/>
        <v>529.1851954032843</v>
      </c>
      <c r="O55" s="13">
        <f t="shared" si="38"/>
        <v>435.7445864558112</v>
      </c>
      <c r="P55" s="17">
        <f t="shared" si="38"/>
        <v>408.18305457372844</v>
      </c>
      <c r="Q55" s="13">
        <f t="shared" si="38"/>
        <v>373.63717488947037</v>
      </c>
      <c r="R55" s="13">
        <f t="shared" si="38"/>
        <v>252.47431754045527</v>
      </c>
      <c r="S55" s="13">
        <f t="shared" si="38"/>
        <v>292.93175469005587</v>
      </c>
      <c r="T55" s="13">
        <f t="shared" si="38"/>
        <v>328.17476221585571</v>
      </c>
      <c r="U55" s="13">
        <f t="shared" si="38"/>
        <v>376.15061307907229</v>
      </c>
      <c r="V55" s="13">
        <f t="shared" si="38"/>
        <v>535.65853925465819</v>
      </c>
      <c r="W55" s="13">
        <f t="shared" si="38"/>
        <v>357.44765795045896</v>
      </c>
      <c r="X55" s="13">
        <f t="shared" si="38"/>
        <v>304.30584436807061</v>
      </c>
      <c r="Y55" s="13">
        <f t="shared" si="38"/>
        <v>-49.451579423785873</v>
      </c>
      <c r="Z55" s="13">
        <f t="shared" si="38"/>
        <v>557.38115355156083</v>
      </c>
      <c r="AA55" s="13">
        <f t="shared" si="38"/>
        <v>451.91732069842101</v>
      </c>
      <c r="AB55" s="13">
        <f t="shared" si="38"/>
        <v>486.46797796730664</v>
      </c>
      <c r="AC55" s="13">
        <f t="shared" si="38"/>
        <v>400.63326959193586</v>
      </c>
      <c r="AD55" s="13">
        <f t="shared" si="38"/>
        <v>273.54025276329429</v>
      </c>
      <c r="AE55" s="13">
        <f t="shared" si="38"/>
        <v>314.97413743504228</v>
      </c>
      <c r="AF55" s="13">
        <f t="shared" si="38"/>
        <v>350.49255030773651</v>
      </c>
      <c r="AG55" s="13">
        <f t="shared" si="38"/>
        <v>400.48034991013623</v>
      </c>
      <c r="AH55" s="13">
        <f t="shared" si="38"/>
        <v>568.78054615325448</v>
      </c>
      <c r="AM55" s="8"/>
    </row>
    <row r="56" spans="2:49" x14ac:dyDescent="0.25">
      <c r="C56" t="s">
        <v>295</v>
      </c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">
        <f>AVERAGE(E55:P55)</f>
        <v>326.97520021601349</v>
      </c>
      <c r="Q56" s="13">
        <f t="shared" ref="Q56:AH56" si="39">AVERAGE(F55:Q55)</f>
        <v>332.80078225713572</v>
      </c>
      <c r="R56" s="13">
        <f t="shared" si="39"/>
        <v>339.17638911920398</v>
      </c>
      <c r="S56" s="13">
        <f t="shared" si="39"/>
        <v>342.2640612005668</v>
      </c>
      <c r="T56" s="13">
        <f t="shared" si="39"/>
        <v>343.26000791688801</v>
      </c>
      <c r="U56" s="13">
        <f t="shared" si="39"/>
        <v>345.04800378548543</v>
      </c>
      <c r="V56" s="13">
        <f t="shared" si="39"/>
        <v>342.92078425137424</v>
      </c>
      <c r="W56" s="13">
        <f t="shared" si="39"/>
        <v>344.28066351099943</v>
      </c>
      <c r="X56" s="13">
        <f t="shared" si="39"/>
        <v>344.17015775746148</v>
      </c>
      <c r="Y56" s="13">
        <f t="shared" si="39"/>
        <v>345.37016008309456</v>
      </c>
      <c r="Z56" s="13">
        <f t="shared" si="39"/>
        <v>347.71982326211764</v>
      </c>
      <c r="AA56" s="13">
        <f t="shared" si="39"/>
        <v>349.06755111566844</v>
      </c>
      <c r="AB56" s="13">
        <f t="shared" si="39"/>
        <v>355.59129473179996</v>
      </c>
      <c r="AC56" s="13">
        <f t="shared" si="39"/>
        <v>357.84096929033876</v>
      </c>
      <c r="AD56" s="13">
        <f t="shared" si="39"/>
        <v>359.59646389224207</v>
      </c>
      <c r="AE56" s="13">
        <f t="shared" si="39"/>
        <v>361.43332912099089</v>
      </c>
      <c r="AF56" s="13">
        <f t="shared" si="39"/>
        <v>363.29314479531428</v>
      </c>
      <c r="AG56" s="13">
        <f t="shared" si="39"/>
        <v>365.32062286456966</v>
      </c>
      <c r="AH56" s="13">
        <f t="shared" si="39"/>
        <v>368.08079010611937</v>
      </c>
      <c r="AM56" s="8"/>
    </row>
    <row r="57" spans="2:49" x14ac:dyDescent="0.25"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4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M57" s="8"/>
    </row>
    <row r="58" spans="2:49" x14ac:dyDescent="0.25">
      <c r="C58" s="1" t="s">
        <v>96</v>
      </c>
      <c r="D58" s="25"/>
      <c r="E58" s="56">
        <f>Expense!E122</f>
        <v>290.25</v>
      </c>
      <c r="F58" s="56">
        <f>Expense!F122</f>
        <v>290.25</v>
      </c>
      <c r="G58" s="56">
        <f>Expense!G122</f>
        <v>290.25</v>
      </c>
      <c r="H58" s="56">
        <f>Expense!H122</f>
        <v>290.25</v>
      </c>
      <c r="I58" s="56">
        <f>Expense!I122</f>
        <v>290.25</v>
      </c>
      <c r="J58" s="56">
        <f>Expense!J122</f>
        <v>290.25</v>
      </c>
      <c r="K58" s="56">
        <f>Expense!K122</f>
        <v>290.25</v>
      </c>
      <c r="L58" s="56">
        <f>Expense!L122</f>
        <v>290.25</v>
      </c>
      <c r="M58" s="56">
        <f>Expense!M122</f>
        <v>290.25</v>
      </c>
      <c r="N58" s="56">
        <f>Expense!N122</f>
        <v>290.25</v>
      </c>
      <c r="O58" s="56">
        <f>Expense!O122</f>
        <v>290.25</v>
      </c>
      <c r="P58" s="34">
        <f>Expense!P122</f>
        <v>290.25</v>
      </c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M58" s="8"/>
    </row>
    <row r="59" spans="2:49" x14ac:dyDescent="0.25">
      <c r="C59" s="1" t="s">
        <v>297</v>
      </c>
      <c r="D59" s="25"/>
      <c r="E59" s="56">
        <f>Expense!E132</f>
        <v>28.060805930349986</v>
      </c>
      <c r="F59" s="56">
        <f>Expense!F132</f>
        <v>27.904555160312505</v>
      </c>
      <c r="G59" s="56">
        <f>Expense!G132</f>
        <v>28.497594212365705</v>
      </c>
      <c r="H59" s="56">
        <f>Expense!H132</f>
        <v>28.123459268379939</v>
      </c>
      <c r="I59" s="56">
        <f>Expense!I132</f>
        <v>28.022409926223933</v>
      </c>
      <c r="J59" s="56">
        <f>Expense!J132</f>
        <v>28.45283808301085</v>
      </c>
      <c r="K59" s="56">
        <f>Expense!K132</f>
        <v>28.297291652640723</v>
      </c>
      <c r="L59" s="56">
        <f>Expense!L132</f>
        <v>28.509404654645248</v>
      </c>
      <c r="M59" s="56">
        <f>Expense!M132</f>
        <v>27.906239537241042</v>
      </c>
      <c r="N59" s="56">
        <f>Expense!N132</f>
        <v>28.148710076876299</v>
      </c>
      <c r="O59" s="56">
        <f>Expense!O132</f>
        <v>28.383349212334618</v>
      </c>
      <c r="P59" s="34">
        <f>Expense!P132</f>
        <v>27.956947696306809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M59" s="8"/>
    </row>
    <row r="60" spans="2:49" x14ac:dyDescent="0.25">
      <c r="C60" s="23" t="s">
        <v>95</v>
      </c>
      <c r="D60" s="27"/>
      <c r="E60" s="85">
        <f>Expense!E106</f>
        <v>25400</v>
      </c>
      <c r="F60" s="85">
        <f>Expense!F106</f>
        <v>25400</v>
      </c>
      <c r="G60" s="85">
        <f>Expense!G106</f>
        <v>25400</v>
      </c>
      <c r="H60" s="85">
        <f>Expense!H106</f>
        <v>25400</v>
      </c>
      <c r="I60" s="85">
        <f>Expense!I106</f>
        <v>25400</v>
      </c>
      <c r="J60" s="85">
        <f>Expense!J106</f>
        <v>25400</v>
      </c>
      <c r="K60" s="85">
        <f>Expense!K106</f>
        <v>25400</v>
      </c>
      <c r="L60" s="85">
        <f>Expense!L106</f>
        <v>25400</v>
      </c>
      <c r="M60" s="85">
        <f>Expense!M106</f>
        <v>25400</v>
      </c>
      <c r="N60" s="85">
        <f>Expense!N106</f>
        <v>25400</v>
      </c>
      <c r="O60" s="85">
        <f>Expense!O106</f>
        <v>25400</v>
      </c>
      <c r="P60" s="86">
        <f>Expense!P106</f>
        <v>25400</v>
      </c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M60" s="8"/>
    </row>
    <row r="61" spans="2:49" x14ac:dyDescent="0.25">
      <c r="C61" t="s">
        <v>298</v>
      </c>
      <c r="E61" s="61">
        <f>SUM(E58:E59)*12*1000000/E60</f>
        <v>150383.0579198504</v>
      </c>
      <c r="F61" s="15">
        <f t="shared" ref="F61:P61" si="40">SUM(F58:F59)*12*1000000/F60</f>
        <v>150309.23865841536</v>
      </c>
      <c r="G61" s="15">
        <f t="shared" si="40"/>
        <v>150589.41458851923</v>
      </c>
      <c r="H61" s="15">
        <f t="shared" si="40"/>
        <v>150412.65792206925</v>
      </c>
      <c r="I61" s="15">
        <f t="shared" si="40"/>
        <v>150364.9180753814</v>
      </c>
      <c r="J61" s="15">
        <f t="shared" si="40"/>
        <v>150568.26996047757</v>
      </c>
      <c r="K61" s="15">
        <f t="shared" si="40"/>
        <v>150494.7834579405</v>
      </c>
      <c r="L61" s="15">
        <f t="shared" si="40"/>
        <v>150594.99432502926</v>
      </c>
      <c r="M61" s="15">
        <f t="shared" si="40"/>
        <v>150310.03442704302</v>
      </c>
      <c r="N61" s="15">
        <f t="shared" si="40"/>
        <v>150424.58743789431</v>
      </c>
      <c r="O61" s="15">
        <f t="shared" si="40"/>
        <v>150535.44057275649</v>
      </c>
      <c r="P61" s="16">
        <f t="shared" si="40"/>
        <v>150333.9910376253</v>
      </c>
      <c r="Q61" s="37">
        <f>P61</f>
        <v>150333.9910376253</v>
      </c>
      <c r="R61" s="37">
        <f t="shared" ref="R61:AH61" si="41">Q61</f>
        <v>150333.9910376253</v>
      </c>
      <c r="S61" s="37">
        <f t="shared" si="41"/>
        <v>150333.9910376253</v>
      </c>
      <c r="T61" s="37">
        <f t="shared" si="41"/>
        <v>150333.9910376253</v>
      </c>
      <c r="U61" s="37">
        <f t="shared" si="41"/>
        <v>150333.9910376253</v>
      </c>
      <c r="V61" s="37">
        <f t="shared" si="41"/>
        <v>150333.9910376253</v>
      </c>
      <c r="W61" s="37">
        <f t="shared" si="41"/>
        <v>150333.9910376253</v>
      </c>
      <c r="X61" s="37">
        <f t="shared" si="41"/>
        <v>150333.9910376253</v>
      </c>
      <c r="Y61" s="37">
        <f t="shared" si="41"/>
        <v>150333.9910376253</v>
      </c>
      <c r="Z61" s="37">
        <f t="shared" si="41"/>
        <v>150333.9910376253</v>
      </c>
      <c r="AA61" s="37">
        <f t="shared" si="41"/>
        <v>150333.9910376253</v>
      </c>
      <c r="AB61" s="37">
        <f t="shared" si="41"/>
        <v>150333.9910376253</v>
      </c>
      <c r="AC61" s="37">
        <f t="shared" si="41"/>
        <v>150333.9910376253</v>
      </c>
      <c r="AD61" s="37">
        <f t="shared" si="41"/>
        <v>150333.9910376253</v>
      </c>
      <c r="AE61" s="37">
        <f t="shared" si="41"/>
        <v>150333.9910376253</v>
      </c>
      <c r="AF61" s="37">
        <f t="shared" si="41"/>
        <v>150333.9910376253</v>
      </c>
      <c r="AG61" s="37">
        <f t="shared" si="41"/>
        <v>150333.9910376253</v>
      </c>
      <c r="AH61" s="37">
        <f t="shared" si="41"/>
        <v>150333.9910376253</v>
      </c>
      <c r="AM61" s="8"/>
    </row>
    <row r="62" spans="2:49" x14ac:dyDescent="0.25">
      <c r="P62" s="8"/>
      <c r="AM62" s="8"/>
    </row>
    <row r="63" spans="2:49" s="11" customFormat="1" x14ac:dyDescent="0.25">
      <c r="B63" t="s">
        <v>231</v>
      </c>
      <c r="C63" s="11" t="s">
        <v>296</v>
      </c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22">
        <f>P56*12*1000000/P61</f>
        <v>26099.901795397323</v>
      </c>
      <c r="Q63" s="178">
        <f t="shared" ref="Q63:AH63" si="42">Q56*12*1000000/Q61</f>
        <v>26564.912961607704</v>
      </c>
      <c r="R63" s="178">
        <f t="shared" si="42"/>
        <v>27073.828356035508</v>
      </c>
      <c r="S63" s="178">
        <f t="shared" si="42"/>
        <v>27320.293341902081</v>
      </c>
      <c r="T63" s="178">
        <f t="shared" si="42"/>
        <v>27399.792066796996</v>
      </c>
      <c r="U63" s="178">
        <f t="shared" si="42"/>
        <v>27542.513950750697</v>
      </c>
      <c r="V63" s="178">
        <f t="shared" si="42"/>
        <v>27372.714464731962</v>
      </c>
      <c r="W63" s="178">
        <f t="shared" si="42"/>
        <v>27481.263110336789</v>
      </c>
      <c r="X63" s="178">
        <f t="shared" si="42"/>
        <v>27472.442290552099</v>
      </c>
      <c r="Y63" s="178">
        <f t="shared" si="42"/>
        <v>27568.229196814656</v>
      </c>
      <c r="Z63" s="178">
        <f t="shared" si="42"/>
        <v>27755.784638891757</v>
      </c>
      <c r="AA63" s="178">
        <f t="shared" si="42"/>
        <v>27863.363331714208</v>
      </c>
      <c r="AB63" s="178">
        <f t="shared" si="42"/>
        <v>28384.103337705172</v>
      </c>
      <c r="AC63" s="178">
        <f t="shared" si="42"/>
        <v>28563.677461402247</v>
      </c>
      <c r="AD63" s="178">
        <f t="shared" si="42"/>
        <v>28703.805020561951</v>
      </c>
      <c r="AE63" s="178">
        <f t="shared" si="42"/>
        <v>28850.42776763895</v>
      </c>
      <c r="AF63" s="178">
        <f t="shared" si="42"/>
        <v>28998.88247131469</v>
      </c>
      <c r="AG63" s="178">
        <f t="shared" si="42"/>
        <v>29160.720367476009</v>
      </c>
      <c r="AH63" s="178">
        <f t="shared" si="42"/>
        <v>29381.043174513754</v>
      </c>
      <c r="AJ63" s="120" cm="1">
        <f t="array" aca="1" ref="AJ63" ca="1">INDEX($E63:$AH63,1,MATCH(AJ$3&amp;AJ$4&amp;AJ$5&amp;AJ$6,$E$3:$AH$3&amp;$E$4:$AH$4&amp;$E$5:$AH$5&amp;$E$6:$AH$6,1))</f>
        <v>0</v>
      </c>
      <c r="AK63" s="120" cm="1">
        <f t="array" aca="1" ref="AK63" ca="1">INDEX($E63:$AH63,1,MATCH(AK$3&amp;AK$4&amp;AK$5&amp;AK$6,$E$3:$AH$3&amp;$E$4:$AH$4&amp;$E$5:$AH$5&amp;$E$6:$AH$6,1))</f>
        <v>0</v>
      </c>
      <c r="AL63" s="120" cm="1">
        <f t="array" aca="1" ref="AL63" ca="1">INDEX($E63:$AH63,1,MATCH(AL$3&amp;AL$4&amp;AL$5&amp;AL$6,$E$3:$AH$3&amp;$E$4:$AH$4&amp;$E$5:$AH$5&amp;$E$6:$AH$6,1))</f>
        <v>0</v>
      </c>
      <c r="AM63" s="122" cm="1">
        <f t="array" aca="1" ref="AM63" ca="1">INDEX($E63:$AH63,1,MATCH(AM$3&amp;AM$4&amp;AM$5&amp;AM$6,$E$3:$AH$3&amp;$E$4:$AH$4&amp;$E$5:$AH$5&amp;$E$6:$AH$6,1))</f>
        <v>26099.901795397323</v>
      </c>
      <c r="AN63" s="120" cm="1">
        <f t="array" aca="1" ref="AN63" ca="1">INDEX($E63:$AH63,1,MATCH(AN$3&amp;AN$4&amp;AN$5&amp;AN$6,$E$3:$AH$3&amp;$E$4:$AH$4&amp;$E$5:$AH$5&amp;$E$6:$AH$6,1))</f>
        <v>27320.293341902081</v>
      </c>
      <c r="AO63" s="120" cm="1">
        <f t="array" aca="1" ref="AO63" ca="1">INDEX($E63:$AH63,1,MATCH(AO$3&amp;AO$4&amp;AO$5&amp;AO$6,$E$3:$AH$3&amp;$E$4:$AH$4&amp;$E$5:$AH$5&amp;$E$6:$AH$6,1))</f>
        <v>27372.714464731962</v>
      </c>
      <c r="AP63" s="120" cm="1">
        <f t="array" aca="1" ref="AP63" ca="1">INDEX($E63:$AH63,1,MATCH(AP$3&amp;AP$4&amp;AP$5&amp;AP$6,$E$3:$AH$3&amp;$E$4:$AH$4&amp;$E$5:$AH$5&amp;$E$6:$AH$6,1))</f>
        <v>27568.229196814656</v>
      </c>
      <c r="AQ63" s="120" cm="1">
        <f t="array" aca="1" ref="AQ63" ca="1">INDEX($E63:$AH63,1,MATCH(AQ$3&amp;AQ$4&amp;AQ$5&amp;AQ$6,$E$3:$AH$3&amp;$E$4:$AH$4&amp;$E$5:$AH$5&amp;$E$6:$AH$6,1))</f>
        <v>28384.103337705172</v>
      </c>
      <c r="AR63" s="120" cm="1">
        <f t="array" aca="1" ref="AR63" ca="1">INDEX($E63:$AH63,1,MATCH(AR$3&amp;AR$4&amp;AR$5&amp;AR$6,$E$3:$AH$3&amp;$E$4:$AH$4&amp;$E$5:$AH$5&amp;$E$6:$AH$6,1))</f>
        <v>28850.42776763895</v>
      </c>
      <c r="AS63" s="120" cm="1">
        <f t="array" aca="1" ref="AS63" ca="1">INDEX($E63:$AH63,1,MATCH(AS$3&amp;AS$4&amp;AS$5&amp;AS$6,$E$3:$AH$3&amp;$E$4:$AH$4&amp;$E$5:$AH$5&amp;$E$6:$AH$6,1))</f>
        <v>29381.043174513754</v>
      </c>
      <c r="AT63" s="120"/>
      <c r="AU63" s="120">
        <f t="shared" ref="AU63:AW63" ca="1" si="43">INDEX($E63:$AH63,MATCH(AU$5,$E$5:$AH$5,1))</f>
        <v>0</v>
      </c>
      <c r="AV63" s="120">
        <f t="shared" ca="1" si="43"/>
        <v>27372.714464731962</v>
      </c>
      <c r="AW63" s="120">
        <f t="shared" ca="1" si="43"/>
        <v>29381.043174513754</v>
      </c>
    </row>
    <row r="64" spans="2:49" x14ac:dyDescent="0.25">
      <c r="P64" s="8"/>
    </row>
    <row r="65" spans="1:49" ht="18.75" x14ac:dyDescent="0.3">
      <c r="A65" t="s">
        <v>231</v>
      </c>
      <c r="B65" t="s">
        <v>231</v>
      </c>
      <c r="C65" s="181" t="s">
        <v>302</v>
      </c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</row>
    <row r="66" spans="1:49" ht="18.75" x14ac:dyDescent="0.3">
      <c r="C66" s="182" t="s">
        <v>303</v>
      </c>
      <c r="D66" s="179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</row>
    <row r="67" spans="1:49" x14ac:dyDescent="0.25">
      <c r="C67" s="11"/>
      <c r="D67" s="11"/>
    </row>
    <row r="68" spans="1:49" x14ac:dyDescent="0.25">
      <c r="C68" s="30" t="s">
        <v>318</v>
      </c>
      <c r="D68" s="30"/>
      <c r="E68" s="45" t="str">
        <f t="shared" ref="E68:AH68" si="44">E$9</f>
        <v>Jul-20A</v>
      </c>
      <c r="F68" s="45" t="str">
        <f t="shared" si="44"/>
        <v>Aug-20A</v>
      </c>
      <c r="G68" s="45" t="str">
        <f t="shared" si="44"/>
        <v>Sep-20A</v>
      </c>
      <c r="H68" s="45" t="str">
        <f t="shared" si="44"/>
        <v>Oct-20A</v>
      </c>
      <c r="I68" s="45" t="str">
        <f t="shared" si="44"/>
        <v>Nov-20A</v>
      </c>
      <c r="J68" s="45" t="str">
        <f t="shared" si="44"/>
        <v>Dec-20A</v>
      </c>
      <c r="K68" s="45" t="str">
        <f t="shared" si="44"/>
        <v>Jan-21A</v>
      </c>
      <c r="L68" s="45" t="str">
        <f t="shared" si="44"/>
        <v>Feb-21A</v>
      </c>
      <c r="M68" s="45" t="str">
        <f t="shared" si="44"/>
        <v>Mar-21A</v>
      </c>
      <c r="N68" s="45" t="str">
        <f t="shared" si="44"/>
        <v>Apr-21A</v>
      </c>
      <c r="O68" s="45" t="str">
        <f t="shared" si="44"/>
        <v>May-21A</v>
      </c>
      <c r="P68" s="46" t="str">
        <f t="shared" si="44"/>
        <v>Jun-21A</v>
      </c>
      <c r="Q68" s="45" t="str">
        <f t="shared" si="44"/>
        <v>Jul-21F</v>
      </c>
      <c r="R68" s="45" t="str">
        <f t="shared" si="44"/>
        <v>Aug-21F</v>
      </c>
      <c r="S68" s="45" t="str">
        <f t="shared" si="44"/>
        <v>Sep-21F</v>
      </c>
      <c r="T68" s="45" t="str">
        <f t="shared" si="44"/>
        <v>Oct-21F</v>
      </c>
      <c r="U68" s="45" t="str">
        <f t="shared" si="44"/>
        <v>Nov-21F</v>
      </c>
      <c r="V68" s="45" t="str">
        <f t="shared" si="44"/>
        <v>Dec-21F</v>
      </c>
      <c r="W68" s="45" t="str">
        <f t="shared" si="44"/>
        <v>Jan-22F</v>
      </c>
      <c r="X68" s="45" t="str">
        <f t="shared" si="44"/>
        <v>Feb-22F</v>
      </c>
      <c r="Y68" s="45" t="str">
        <f t="shared" si="44"/>
        <v>Mar-22F</v>
      </c>
      <c r="Z68" s="45" t="str">
        <f t="shared" si="44"/>
        <v>Apr-22F</v>
      </c>
      <c r="AA68" s="45" t="str">
        <f t="shared" si="44"/>
        <v>May-22F</v>
      </c>
      <c r="AB68" s="45" t="str">
        <f t="shared" si="44"/>
        <v>Jun-22F</v>
      </c>
      <c r="AC68" s="45" t="str">
        <f t="shared" si="44"/>
        <v>Jul-22F</v>
      </c>
      <c r="AD68" s="45" t="str">
        <f t="shared" si="44"/>
        <v>Aug-22F</v>
      </c>
      <c r="AE68" s="45" t="str">
        <f t="shared" si="44"/>
        <v>Sep-22F</v>
      </c>
      <c r="AF68" s="45" t="str">
        <f t="shared" si="44"/>
        <v>Oct-22F</v>
      </c>
      <c r="AG68" s="45" t="str">
        <f t="shared" si="44"/>
        <v>Nov-22F</v>
      </c>
      <c r="AH68" s="45" t="str">
        <f t="shared" si="44"/>
        <v>Dec-22F</v>
      </c>
      <c r="AJ68" s="45" t="str">
        <f ca="1">AJ$10</f>
        <v>Q3'20A</v>
      </c>
      <c r="AK68" s="45" t="str">
        <f t="shared" ref="AK68:AW68" ca="1" si="45">AK$10</f>
        <v>Q4'20A</v>
      </c>
      <c r="AL68" s="45" t="str">
        <f t="shared" ca="1" si="45"/>
        <v>Q1'21A</v>
      </c>
      <c r="AM68" s="46" t="str">
        <f t="shared" ca="1" si="45"/>
        <v>Q2'21A</v>
      </c>
      <c r="AN68" s="45" t="str">
        <f t="shared" ca="1" si="45"/>
        <v>Q3'21F</v>
      </c>
      <c r="AO68" s="45" t="str">
        <f t="shared" ca="1" si="45"/>
        <v>Q4'21F</v>
      </c>
      <c r="AP68" s="45" t="str">
        <f t="shared" ca="1" si="45"/>
        <v>Q1'22F</v>
      </c>
      <c r="AQ68" s="45" t="str">
        <f t="shared" ca="1" si="45"/>
        <v>Q2'22F</v>
      </c>
      <c r="AR68" s="45" t="str">
        <f t="shared" ca="1" si="45"/>
        <v>Q3'22F</v>
      </c>
      <c r="AS68" s="45" t="str">
        <f t="shared" ca="1" si="45"/>
        <v>Q4'22F</v>
      </c>
      <c r="AU68" s="45" t="str">
        <f t="shared" ca="1" si="45"/>
        <v>FY20</v>
      </c>
      <c r="AV68" s="45" t="str">
        <f t="shared" ca="1" si="45"/>
        <v>FY21</v>
      </c>
      <c r="AW68" s="45" t="str">
        <f t="shared" ca="1" si="45"/>
        <v>FY22</v>
      </c>
    </row>
    <row r="69" spans="1:49" x14ac:dyDescent="0.25">
      <c r="C69" s="1" t="s">
        <v>330</v>
      </c>
      <c r="E69" s="65">
        <v>10000</v>
      </c>
      <c r="F69" s="65">
        <v>10000</v>
      </c>
      <c r="G69" s="65">
        <v>10000</v>
      </c>
      <c r="H69" s="65">
        <v>10000</v>
      </c>
      <c r="I69" s="65">
        <v>10000</v>
      </c>
      <c r="J69" s="65">
        <v>10000</v>
      </c>
      <c r="K69" s="65">
        <v>10000</v>
      </c>
      <c r="L69" s="65">
        <v>10000</v>
      </c>
      <c r="M69" s="65">
        <v>10000</v>
      </c>
      <c r="N69" s="65">
        <v>10000</v>
      </c>
      <c r="O69" s="65">
        <v>10000</v>
      </c>
      <c r="P69" s="67">
        <v>10000</v>
      </c>
      <c r="Q69" s="65">
        <v>10500</v>
      </c>
      <c r="R69" s="65">
        <f t="shared" ref="R69:AH69" si="46">Q69</f>
        <v>10500</v>
      </c>
      <c r="S69" s="66">
        <v>11000</v>
      </c>
      <c r="T69" s="65">
        <f t="shared" si="46"/>
        <v>11000</v>
      </c>
      <c r="U69" s="65">
        <f t="shared" si="46"/>
        <v>11000</v>
      </c>
      <c r="V69" s="65">
        <f t="shared" si="46"/>
        <v>11000</v>
      </c>
      <c r="W69" s="65">
        <f t="shared" si="46"/>
        <v>11000</v>
      </c>
      <c r="X69" s="65">
        <f t="shared" si="46"/>
        <v>11000</v>
      </c>
      <c r="Y69" s="65">
        <f t="shared" si="46"/>
        <v>11000</v>
      </c>
      <c r="Z69" s="65">
        <f t="shared" si="46"/>
        <v>11000</v>
      </c>
      <c r="AA69" s="65">
        <f t="shared" si="46"/>
        <v>11000</v>
      </c>
      <c r="AB69" s="65">
        <f t="shared" si="46"/>
        <v>11000</v>
      </c>
      <c r="AC69" s="65">
        <f t="shared" si="46"/>
        <v>11000</v>
      </c>
      <c r="AD69" s="65">
        <f t="shared" si="46"/>
        <v>11000</v>
      </c>
      <c r="AE69" s="65">
        <f t="shared" si="46"/>
        <v>11000</v>
      </c>
      <c r="AF69" s="65">
        <f t="shared" si="46"/>
        <v>11000</v>
      </c>
      <c r="AG69" s="65">
        <f t="shared" si="46"/>
        <v>11000</v>
      </c>
      <c r="AH69" s="65">
        <f t="shared" si="46"/>
        <v>11000</v>
      </c>
      <c r="AJ69" s="83" cm="1">
        <f t="array" aca="1" ref="AJ69" ca="1">INDEX($E69:$AH69,1,MATCH(AJ$3&amp;AJ$4&amp;AJ$5&amp;AJ$6,$E$3:$AH$3&amp;$E$4:$AH$4&amp;$E$5:$AH$5&amp;$E$6:$AH$6,1))</f>
        <v>10000</v>
      </c>
      <c r="AK69" s="83" cm="1">
        <f t="array" aca="1" ref="AK69" ca="1">INDEX($E69:$AH69,1,MATCH(AK$3&amp;AK$4&amp;AK$5&amp;AK$6,$E$3:$AH$3&amp;$E$4:$AH$4&amp;$E$5:$AH$5&amp;$E$6:$AH$6,1))</f>
        <v>10000</v>
      </c>
      <c r="AL69" s="83" cm="1">
        <f t="array" aca="1" ref="AL69" ca="1">INDEX($E69:$AH69,1,MATCH(AL$3&amp;AL$4&amp;AL$5&amp;AL$6,$E$3:$AH$3&amp;$E$4:$AH$4&amp;$E$5:$AH$5&amp;$E$6:$AH$6,1))</f>
        <v>10000</v>
      </c>
      <c r="AM69" s="158" cm="1">
        <f t="array" aca="1" ref="AM69" ca="1">INDEX($E69:$AH69,1,MATCH(AM$3&amp;AM$4&amp;AM$5&amp;AM$6,$E$3:$AH$3&amp;$E$4:$AH$4&amp;$E$5:$AH$5&amp;$E$6:$AH$6,1))</f>
        <v>10000</v>
      </c>
      <c r="AN69" s="83" cm="1">
        <f t="array" aca="1" ref="AN69" ca="1">INDEX($E69:$AH69,1,MATCH(AN$3&amp;AN$4&amp;AN$5&amp;AN$6,$E$3:$AH$3&amp;$E$4:$AH$4&amp;$E$5:$AH$5&amp;$E$6:$AH$6,1))</f>
        <v>11000</v>
      </c>
      <c r="AO69" s="83" cm="1">
        <f t="array" aca="1" ref="AO69" ca="1">INDEX($E69:$AH69,1,MATCH(AO$3&amp;AO$4&amp;AO$5&amp;AO$6,$E$3:$AH$3&amp;$E$4:$AH$4&amp;$E$5:$AH$5&amp;$E$6:$AH$6,1))</f>
        <v>11000</v>
      </c>
      <c r="AP69" s="83" cm="1">
        <f t="array" aca="1" ref="AP69" ca="1">INDEX($E69:$AH69,1,MATCH(AP$3&amp;AP$4&amp;AP$5&amp;AP$6,$E$3:$AH$3&amp;$E$4:$AH$4&amp;$E$5:$AH$5&amp;$E$6:$AH$6,1))</f>
        <v>11000</v>
      </c>
      <c r="AQ69" s="83" cm="1">
        <f t="array" aca="1" ref="AQ69" ca="1">INDEX($E69:$AH69,1,MATCH(AQ$3&amp;AQ$4&amp;AQ$5&amp;AQ$6,$E$3:$AH$3&amp;$E$4:$AH$4&amp;$E$5:$AH$5&amp;$E$6:$AH$6,1))</f>
        <v>11000</v>
      </c>
      <c r="AR69" s="83" cm="1">
        <f t="array" aca="1" ref="AR69" ca="1">INDEX($E69:$AH69,1,MATCH(AR$3&amp;AR$4&amp;AR$5&amp;AR$6,$E$3:$AH$3&amp;$E$4:$AH$4&amp;$E$5:$AH$5&amp;$E$6:$AH$6,1))</f>
        <v>11000</v>
      </c>
      <c r="AS69" s="83" cm="1">
        <f t="array" aca="1" ref="AS69" ca="1">INDEX($E69:$AH69,1,MATCH(AS$3&amp;AS$4&amp;AS$5&amp;AS$6,$E$3:$AH$3&amp;$E$4:$AH$4&amp;$E$5:$AH$5&amp;$E$6:$AH$6,1))</f>
        <v>11000</v>
      </c>
      <c r="AU69" s="83">
        <f t="shared" ref="AU69:AW69" ca="1" si="47">INDEX($E69:$AH69,MATCH(AU$5,$E$5:$AH$5,1))</f>
        <v>10000</v>
      </c>
      <c r="AV69" s="83">
        <f t="shared" ca="1" si="47"/>
        <v>11000</v>
      </c>
      <c r="AW69" s="83">
        <f t="shared" ca="1" si="47"/>
        <v>11000</v>
      </c>
    </row>
    <row r="70" spans="1:49" x14ac:dyDescent="0.25">
      <c r="C70" s="23" t="s">
        <v>331</v>
      </c>
      <c r="D70" s="27"/>
      <c r="E70" s="169">
        <f t="shared" ref="E70:P70" si="48">E69/E71</f>
        <v>4</v>
      </c>
      <c r="F70" s="169">
        <f t="shared" si="48"/>
        <v>4</v>
      </c>
      <c r="G70" s="169">
        <f t="shared" si="48"/>
        <v>4</v>
      </c>
      <c r="H70" s="169">
        <f t="shared" si="48"/>
        <v>4</v>
      </c>
      <c r="I70" s="169">
        <f t="shared" si="48"/>
        <v>4</v>
      </c>
      <c r="J70" s="169">
        <f t="shared" si="48"/>
        <v>4</v>
      </c>
      <c r="K70" s="169">
        <f t="shared" si="48"/>
        <v>4</v>
      </c>
      <c r="L70" s="169">
        <f t="shared" si="48"/>
        <v>4</v>
      </c>
      <c r="M70" s="169">
        <f t="shared" si="48"/>
        <v>4</v>
      </c>
      <c r="N70" s="169">
        <f t="shared" si="48"/>
        <v>4</v>
      </c>
      <c r="O70" s="169">
        <f t="shared" si="48"/>
        <v>4</v>
      </c>
      <c r="P70" s="214">
        <f t="shared" si="48"/>
        <v>4</v>
      </c>
      <c r="Q70" s="221">
        <f>P70</f>
        <v>4</v>
      </c>
      <c r="R70" s="221">
        <f t="shared" ref="R70:AH70" si="49">Q70</f>
        <v>4</v>
      </c>
      <c r="S70" s="221">
        <f t="shared" si="49"/>
        <v>4</v>
      </c>
      <c r="T70" s="221">
        <f t="shared" si="49"/>
        <v>4</v>
      </c>
      <c r="U70" s="221">
        <f t="shared" si="49"/>
        <v>4</v>
      </c>
      <c r="V70" s="221">
        <f t="shared" si="49"/>
        <v>4</v>
      </c>
      <c r="W70" s="221">
        <f t="shared" si="49"/>
        <v>4</v>
      </c>
      <c r="X70" s="221">
        <f t="shared" si="49"/>
        <v>4</v>
      </c>
      <c r="Y70" s="221">
        <f t="shared" si="49"/>
        <v>4</v>
      </c>
      <c r="Z70" s="221">
        <f t="shared" si="49"/>
        <v>4</v>
      </c>
      <c r="AA70" s="221">
        <f t="shared" si="49"/>
        <v>4</v>
      </c>
      <c r="AB70" s="221">
        <f t="shared" si="49"/>
        <v>4</v>
      </c>
      <c r="AC70" s="221">
        <f t="shared" si="49"/>
        <v>4</v>
      </c>
      <c r="AD70" s="221">
        <f t="shared" si="49"/>
        <v>4</v>
      </c>
      <c r="AE70" s="221">
        <f t="shared" si="49"/>
        <v>4</v>
      </c>
      <c r="AF70" s="221">
        <f t="shared" si="49"/>
        <v>4</v>
      </c>
      <c r="AG70" s="221">
        <f t="shared" si="49"/>
        <v>4</v>
      </c>
      <c r="AH70" s="221">
        <f t="shared" si="49"/>
        <v>4</v>
      </c>
      <c r="AM70" s="8"/>
    </row>
    <row r="71" spans="1:49" x14ac:dyDescent="0.25">
      <c r="B71" t="s">
        <v>231</v>
      </c>
      <c r="C71" s="30" t="str">
        <f>"Total "&amp;MID(C68,1,LEN(C68)-LEN(" Department"))&amp;" Headcount"</f>
        <v>Total Sales Headcount</v>
      </c>
      <c r="D71" s="30"/>
      <c r="E71" s="198">
        <v>2500</v>
      </c>
      <c r="F71" s="198">
        <v>2500</v>
      </c>
      <c r="G71" s="198">
        <v>2500</v>
      </c>
      <c r="H71" s="198">
        <v>2500</v>
      </c>
      <c r="I71" s="198">
        <v>2500</v>
      </c>
      <c r="J71" s="198">
        <v>2500</v>
      </c>
      <c r="K71" s="198">
        <v>2500</v>
      </c>
      <c r="L71" s="198">
        <v>2500</v>
      </c>
      <c r="M71" s="198">
        <v>2500</v>
      </c>
      <c r="N71" s="198">
        <v>2500</v>
      </c>
      <c r="O71" s="198">
        <v>2500</v>
      </c>
      <c r="P71" s="199">
        <v>2500</v>
      </c>
      <c r="Q71" s="200">
        <f t="shared" ref="Q71:AH71" si="50">Q69/Q70</f>
        <v>2625</v>
      </c>
      <c r="R71" s="200">
        <f t="shared" si="50"/>
        <v>2625</v>
      </c>
      <c r="S71" s="200">
        <f t="shared" si="50"/>
        <v>2750</v>
      </c>
      <c r="T71" s="200">
        <f t="shared" si="50"/>
        <v>2750</v>
      </c>
      <c r="U71" s="200">
        <f t="shared" si="50"/>
        <v>2750</v>
      </c>
      <c r="V71" s="200">
        <f t="shared" si="50"/>
        <v>2750</v>
      </c>
      <c r="W71" s="200">
        <f t="shared" si="50"/>
        <v>2750</v>
      </c>
      <c r="X71" s="200">
        <f t="shared" si="50"/>
        <v>2750</v>
      </c>
      <c r="Y71" s="200">
        <f t="shared" si="50"/>
        <v>2750</v>
      </c>
      <c r="Z71" s="200">
        <f t="shared" si="50"/>
        <v>2750</v>
      </c>
      <c r="AA71" s="200">
        <f t="shared" si="50"/>
        <v>2750</v>
      </c>
      <c r="AB71" s="200">
        <f t="shared" si="50"/>
        <v>2750</v>
      </c>
      <c r="AC71" s="200">
        <f t="shared" si="50"/>
        <v>2750</v>
      </c>
      <c r="AD71" s="200">
        <f t="shared" si="50"/>
        <v>2750</v>
      </c>
      <c r="AE71" s="200">
        <f t="shared" si="50"/>
        <v>2750</v>
      </c>
      <c r="AF71" s="200">
        <f t="shared" si="50"/>
        <v>2750</v>
      </c>
      <c r="AG71" s="200">
        <f t="shared" si="50"/>
        <v>2750</v>
      </c>
      <c r="AH71" s="200">
        <f t="shared" si="50"/>
        <v>2750</v>
      </c>
      <c r="AJ71" s="200" cm="1">
        <f t="array" aca="1" ref="AJ71" ca="1">INDEX($E71:$AH71,1,MATCH(AJ$3&amp;AJ$4&amp;AJ$5&amp;AJ$6,$E$3:$AH$3&amp;$E$4:$AH$4&amp;$E$5:$AH$5&amp;$E$6:$AH$6,1))</f>
        <v>2500</v>
      </c>
      <c r="AK71" s="200" cm="1">
        <f t="array" aca="1" ref="AK71" ca="1">INDEX($E71:$AH71,1,MATCH(AK$3&amp;AK$4&amp;AK$5&amp;AK$6,$E$3:$AH$3&amp;$E$4:$AH$4&amp;$E$5:$AH$5&amp;$E$6:$AH$6,1))</f>
        <v>2500</v>
      </c>
      <c r="AL71" s="200" cm="1">
        <f t="array" aca="1" ref="AL71" ca="1">INDEX($E71:$AH71,1,MATCH(AL$3&amp;AL$4&amp;AL$5&amp;AL$6,$E$3:$AH$3&amp;$E$4:$AH$4&amp;$E$5:$AH$5&amp;$E$6:$AH$6,1))</f>
        <v>2500</v>
      </c>
      <c r="AM71" s="201" cm="1">
        <f t="array" aca="1" ref="AM71" ca="1">INDEX($E71:$AH71,1,MATCH(AM$3&amp;AM$4&amp;AM$5&amp;AM$6,$E$3:$AH$3&amp;$E$4:$AH$4&amp;$E$5:$AH$5&amp;$E$6:$AH$6,1))</f>
        <v>2500</v>
      </c>
      <c r="AN71" s="200" cm="1">
        <f t="array" aca="1" ref="AN71" ca="1">INDEX($E71:$AH71,1,MATCH(AN$3&amp;AN$4&amp;AN$5&amp;AN$6,$E$3:$AH$3&amp;$E$4:$AH$4&amp;$E$5:$AH$5&amp;$E$6:$AH$6,1))</f>
        <v>2750</v>
      </c>
      <c r="AO71" s="200" cm="1">
        <f t="array" aca="1" ref="AO71" ca="1">INDEX($E71:$AH71,1,MATCH(AO$3&amp;AO$4&amp;AO$5&amp;AO$6,$E$3:$AH$3&amp;$E$4:$AH$4&amp;$E$5:$AH$5&amp;$E$6:$AH$6,1))</f>
        <v>2750</v>
      </c>
      <c r="AP71" s="200" cm="1">
        <f t="array" aca="1" ref="AP71" ca="1">INDEX($E71:$AH71,1,MATCH(AP$3&amp;AP$4&amp;AP$5&amp;AP$6,$E$3:$AH$3&amp;$E$4:$AH$4&amp;$E$5:$AH$5&amp;$E$6:$AH$6,1))</f>
        <v>2750</v>
      </c>
      <c r="AQ71" s="200" cm="1">
        <f t="array" aca="1" ref="AQ71" ca="1">INDEX($E71:$AH71,1,MATCH(AQ$3&amp;AQ$4&amp;AQ$5&amp;AQ$6,$E$3:$AH$3&amp;$E$4:$AH$4&amp;$E$5:$AH$5&amp;$E$6:$AH$6,1))</f>
        <v>2750</v>
      </c>
      <c r="AR71" s="200" cm="1">
        <f t="array" aca="1" ref="AR71" ca="1">INDEX($E71:$AH71,1,MATCH(AR$3&amp;AR$4&amp;AR$5&amp;AR$6,$E$3:$AH$3&amp;$E$4:$AH$4&amp;$E$5:$AH$5&amp;$E$6:$AH$6,1))</f>
        <v>2750</v>
      </c>
      <c r="AS71" s="200" cm="1">
        <f t="array" aca="1" ref="AS71" ca="1">INDEX($E71:$AH71,1,MATCH(AS$3&amp;AS$4&amp;AS$5&amp;AS$6,$E$3:$AH$3&amp;$E$4:$AH$4&amp;$E$5:$AH$5&amp;$E$6:$AH$6,1))</f>
        <v>2750</v>
      </c>
      <c r="AU71" s="200">
        <f t="shared" ref="AU71:AW71" ca="1" si="51">INDEX($E71:$AH71,MATCH(AU$5,$E$5:$AH$5,1))</f>
        <v>2500</v>
      </c>
      <c r="AV71" s="200">
        <f t="shared" ca="1" si="51"/>
        <v>2750</v>
      </c>
      <c r="AW71" s="200">
        <f t="shared" ca="1" si="51"/>
        <v>2750</v>
      </c>
    </row>
    <row r="72" spans="1:49" x14ac:dyDescent="0.25">
      <c r="P72" s="8"/>
      <c r="AM72" s="8"/>
    </row>
    <row r="73" spans="1:49" x14ac:dyDescent="0.25">
      <c r="C73" s="30" t="s">
        <v>320</v>
      </c>
      <c r="D73" s="30"/>
      <c r="E73" s="45" t="str">
        <f t="shared" ref="E73:AH73" si="52">E$9</f>
        <v>Jul-20A</v>
      </c>
      <c r="F73" s="45" t="str">
        <f t="shared" si="52"/>
        <v>Aug-20A</v>
      </c>
      <c r="G73" s="45" t="str">
        <f t="shared" si="52"/>
        <v>Sep-20A</v>
      </c>
      <c r="H73" s="45" t="str">
        <f t="shared" si="52"/>
        <v>Oct-20A</v>
      </c>
      <c r="I73" s="45" t="str">
        <f t="shared" si="52"/>
        <v>Nov-20A</v>
      </c>
      <c r="J73" s="45" t="str">
        <f t="shared" si="52"/>
        <v>Dec-20A</v>
      </c>
      <c r="K73" s="45" t="str">
        <f t="shared" si="52"/>
        <v>Jan-21A</v>
      </c>
      <c r="L73" s="45" t="str">
        <f t="shared" si="52"/>
        <v>Feb-21A</v>
      </c>
      <c r="M73" s="45" t="str">
        <f t="shared" si="52"/>
        <v>Mar-21A</v>
      </c>
      <c r="N73" s="45" t="str">
        <f t="shared" si="52"/>
        <v>Apr-21A</v>
      </c>
      <c r="O73" s="45" t="str">
        <f t="shared" si="52"/>
        <v>May-21A</v>
      </c>
      <c r="P73" s="46" t="str">
        <f t="shared" si="52"/>
        <v>Jun-21A</v>
      </c>
      <c r="Q73" s="45" t="str">
        <f t="shared" si="52"/>
        <v>Jul-21F</v>
      </c>
      <c r="R73" s="45" t="str">
        <f t="shared" si="52"/>
        <v>Aug-21F</v>
      </c>
      <c r="S73" s="45" t="str">
        <f t="shared" si="52"/>
        <v>Sep-21F</v>
      </c>
      <c r="T73" s="45" t="str">
        <f t="shared" si="52"/>
        <v>Oct-21F</v>
      </c>
      <c r="U73" s="45" t="str">
        <f t="shared" si="52"/>
        <v>Nov-21F</v>
      </c>
      <c r="V73" s="45" t="str">
        <f t="shared" si="52"/>
        <v>Dec-21F</v>
      </c>
      <c r="W73" s="45" t="str">
        <f t="shared" si="52"/>
        <v>Jan-22F</v>
      </c>
      <c r="X73" s="45" t="str">
        <f t="shared" si="52"/>
        <v>Feb-22F</v>
      </c>
      <c r="Y73" s="45" t="str">
        <f t="shared" si="52"/>
        <v>Mar-22F</v>
      </c>
      <c r="Z73" s="45" t="str">
        <f t="shared" si="52"/>
        <v>Apr-22F</v>
      </c>
      <c r="AA73" s="45" t="str">
        <f t="shared" si="52"/>
        <v>May-22F</v>
      </c>
      <c r="AB73" s="45" t="str">
        <f t="shared" si="52"/>
        <v>Jun-22F</v>
      </c>
      <c r="AC73" s="45" t="str">
        <f t="shared" si="52"/>
        <v>Jul-22F</v>
      </c>
      <c r="AD73" s="45" t="str">
        <f t="shared" si="52"/>
        <v>Aug-22F</v>
      </c>
      <c r="AE73" s="45" t="str">
        <f t="shared" si="52"/>
        <v>Sep-22F</v>
      </c>
      <c r="AF73" s="45" t="str">
        <f t="shared" si="52"/>
        <v>Oct-22F</v>
      </c>
      <c r="AG73" s="45" t="str">
        <f t="shared" si="52"/>
        <v>Nov-22F</v>
      </c>
      <c r="AH73" s="45" t="str">
        <f t="shared" si="52"/>
        <v>Dec-22F</v>
      </c>
      <c r="AJ73" s="45" t="str">
        <f ca="1">AJ$10</f>
        <v>Q3'20A</v>
      </c>
      <c r="AK73" s="45" t="str">
        <f t="shared" ref="AK73:AW73" ca="1" si="53">AK$10</f>
        <v>Q4'20A</v>
      </c>
      <c r="AL73" s="45" t="str">
        <f t="shared" ca="1" si="53"/>
        <v>Q1'21A</v>
      </c>
      <c r="AM73" s="46" t="str">
        <f t="shared" ca="1" si="53"/>
        <v>Q2'21A</v>
      </c>
      <c r="AN73" s="45" t="str">
        <f t="shared" ca="1" si="53"/>
        <v>Q3'21F</v>
      </c>
      <c r="AO73" s="45" t="str">
        <f t="shared" ca="1" si="53"/>
        <v>Q4'21F</v>
      </c>
      <c r="AP73" s="45" t="str">
        <f t="shared" ca="1" si="53"/>
        <v>Q1'22F</v>
      </c>
      <c r="AQ73" s="45" t="str">
        <f t="shared" ca="1" si="53"/>
        <v>Q2'22F</v>
      </c>
      <c r="AR73" s="45" t="str">
        <f t="shared" ca="1" si="53"/>
        <v>Q3'22F</v>
      </c>
      <c r="AS73" s="45" t="str">
        <f t="shared" ca="1" si="53"/>
        <v>Q4'22F</v>
      </c>
      <c r="AU73" s="45" t="str">
        <f t="shared" ca="1" si="53"/>
        <v>FY20</v>
      </c>
      <c r="AV73" s="45" t="str">
        <f t="shared" ca="1" si="53"/>
        <v>FY21</v>
      </c>
      <c r="AW73" s="45" t="str">
        <f t="shared" ca="1" si="53"/>
        <v>FY22</v>
      </c>
    </row>
    <row r="74" spans="1:49" x14ac:dyDescent="0.25">
      <c r="C74" s="1" t="s">
        <v>332</v>
      </c>
      <c r="E74" s="185">
        <f>E71</f>
        <v>2500</v>
      </c>
      <c r="F74" s="185">
        <f t="shared" ref="F74:AH74" si="54">F71</f>
        <v>2500</v>
      </c>
      <c r="G74" s="185">
        <f t="shared" si="54"/>
        <v>2500</v>
      </c>
      <c r="H74" s="185">
        <f t="shared" si="54"/>
        <v>2500</v>
      </c>
      <c r="I74" s="185">
        <f t="shared" si="54"/>
        <v>2500</v>
      </c>
      <c r="J74" s="185">
        <f t="shared" si="54"/>
        <v>2500</v>
      </c>
      <c r="K74" s="185">
        <f t="shared" si="54"/>
        <v>2500</v>
      </c>
      <c r="L74" s="185">
        <f t="shared" si="54"/>
        <v>2500</v>
      </c>
      <c r="M74" s="185">
        <f t="shared" si="54"/>
        <v>2500</v>
      </c>
      <c r="N74" s="185">
        <f t="shared" si="54"/>
        <v>2500</v>
      </c>
      <c r="O74" s="185">
        <f t="shared" si="54"/>
        <v>2500</v>
      </c>
      <c r="P74" s="186">
        <f t="shared" si="54"/>
        <v>2500</v>
      </c>
      <c r="Q74" s="185">
        <f t="shared" si="54"/>
        <v>2625</v>
      </c>
      <c r="R74" s="185">
        <f t="shared" si="54"/>
        <v>2625</v>
      </c>
      <c r="S74" s="185">
        <f t="shared" si="54"/>
        <v>2750</v>
      </c>
      <c r="T74" s="185">
        <f t="shared" si="54"/>
        <v>2750</v>
      </c>
      <c r="U74" s="185">
        <f t="shared" si="54"/>
        <v>2750</v>
      </c>
      <c r="V74" s="185">
        <f t="shared" si="54"/>
        <v>2750</v>
      </c>
      <c r="W74" s="185">
        <f t="shared" si="54"/>
        <v>2750</v>
      </c>
      <c r="X74" s="185">
        <f t="shared" si="54"/>
        <v>2750</v>
      </c>
      <c r="Y74" s="185">
        <f t="shared" si="54"/>
        <v>2750</v>
      </c>
      <c r="Z74" s="185">
        <f t="shared" si="54"/>
        <v>2750</v>
      </c>
      <c r="AA74" s="185">
        <f t="shared" si="54"/>
        <v>2750</v>
      </c>
      <c r="AB74" s="185">
        <f t="shared" si="54"/>
        <v>2750</v>
      </c>
      <c r="AC74" s="185">
        <f t="shared" si="54"/>
        <v>2750</v>
      </c>
      <c r="AD74" s="185">
        <f t="shared" si="54"/>
        <v>2750</v>
      </c>
      <c r="AE74" s="185">
        <f t="shared" si="54"/>
        <v>2750</v>
      </c>
      <c r="AF74" s="185">
        <f t="shared" si="54"/>
        <v>2750</v>
      </c>
      <c r="AG74" s="185">
        <f t="shared" si="54"/>
        <v>2750</v>
      </c>
      <c r="AH74" s="185">
        <f t="shared" si="54"/>
        <v>2750</v>
      </c>
      <c r="AJ74" s="83" cm="1">
        <f t="array" aca="1" ref="AJ74" ca="1">INDEX($E74:$AH74,1,MATCH(AJ$3&amp;AJ$4&amp;AJ$5&amp;AJ$6,$E$3:$AH$3&amp;$E$4:$AH$4&amp;$E$5:$AH$5&amp;$E$6:$AH$6,1))</f>
        <v>2500</v>
      </c>
      <c r="AK74" s="83" cm="1">
        <f t="array" aca="1" ref="AK74" ca="1">INDEX($E74:$AH74,1,MATCH(AK$3&amp;AK$4&amp;AK$5&amp;AK$6,$E$3:$AH$3&amp;$E$4:$AH$4&amp;$E$5:$AH$5&amp;$E$6:$AH$6,1))</f>
        <v>2500</v>
      </c>
      <c r="AL74" s="83" cm="1">
        <f t="array" aca="1" ref="AL74" ca="1">INDEX($E74:$AH74,1,MATCH(AL$3&amp;AL$4&amp;AL$5&amp;AL$6,$E$3:$AH$3&amp;$E$4:$AH$4&amp;$E$5:$AH$5&amp;$E$6:$AH$6,1))</f>
        <v>2500</v>
      </c>
      <c r="AM74" s="158" cm="1">
        <f t="array" aca="1" ref="AM74" ca="1">INDEX($E74:$AH74,1,MATCH(AM$3&amp;AM$4&amp;AM$5&amp;AM$6,$E$3:$AH$3&amp;$E$4:$AH$4&amp;$E$5:$AH$5&amp;$E$6:$AH$6,1))</f>
        <v>2500</v>
      </c>
      <c r="AN74" s="83" cm="1">
        <f t="array" aca="1" ref="AN74" ca="1">INDEX($E74:$AH74,1,MATCH(AN$3&amp;AN$4&amp;AN$5&amp;AN$6,$E$3:$AH$3&amp;$E$4:$AH$4&amp;$E$5:$AH$5&amp;$E$6:$AH$6,1))</f>
        <v>2750</v>
      </c>
      <c r="AO74" s="83" cm="1">
        <f t="array" aca="1" ref="AO74" ca="1">INDEX($E74:$AH74,1,MATCH(AO$3&amp;AO$4&amp;AO$5&amp;AO$6,$E$3:$AH$3&amp;$E$4:$AH$4&amp;$E$5:$AH$5&amp;$E$6:$AH$6,1))</f>
        <v>2750</v>
      </c>
      <c r="AP74" s="83" cm="1">
        <f t="array" aca="1" ref="AP74" ca="1">INDEX($E74:$AH74,1,MATCH(AP$3&amp;AP$4&amp;AP$5&amp;AP$6,$E$3:$AH$3&amp;$E$4:$AH$4&amp;$E$5:$AH$5&amp;$E$6:$AH$6,1))</f>
        <v>2750</v>
      </c>
      <c r="AQ74" s="83" cm="1">
        <f t="array" aca="1" ref="AQ74" ca="1">INDEX($E74:$AH74,1,MATCH(AQ$3&amp;AQ$4&amp;AQ$5&amp;AQ$6,$E$3:$AH$3&amp;$E$4:$AH$4&amp;$E$5:$AH$5&amp;$E$6:$AH$6,1))</f>
        <v>2750</v>
      </c>
      <c r="AR74" s="83" cm="1">
        <f t="array" aca="1" ref="AR74" ca="1">INDEX($E74:$AH74,1,MATCH(AR$3&amp;AR$4&amp;AR$5&amp;AR$6,$E$3:$AH$3&amp;$E$4:$AH$4&amp;$E$5:$AH$5&amp;$E$6:$AH$6,1))</f>
        <v>2750</v>
      </c>
      <c r="AS74" s="83" cm="1">
        <f t="array" aca="1" ref="AS74" ca="1">INDEX($E74:$AH74,1,MATCH(AS$3&amp;AS$4&amp;AS$5&amp;AS$6,$E$3:$AH$3&amp;$E$4:$AH$4&amp;$E$5:$AH$5&amp;$E$6:$AH$6,1))</f>
        <v>2750</v>
      </c>
      <c r="AU74" s="83">
        <f t="shared" ref="AU74:AW74" ca="1" si="55">INDEX($E74:$AH74,MATCH(AU$5,$E$5:$AH$5,1))</f>
        <v>2500</v>
      </c>
      <c r="AV74" s="83">
        <f t="shared" ca="1" si="55"/>
        <v>2750</v>
      </c>
      <c r="AW74" s="83">
        <f t="shared" ca="1" si="55"/>
        <v>2750</v>
      </c>
    </row>
    <row r="75" spans="1:49" x14ac:dyDescent="0.25">
      <c r="C75" s="23" t="s">
        <v>333</v>
      </c>
      <c r="D75" s="27"/>
      <c r="E75" s="24">
        <f t="shared" ref="E75:P75" si="56">E76/E74</f>
        <v>1.8</v>
      </c>
      <c r="F75" s="24">
        <f t="shared" si="56"/>
        <v>1.8</v>
      </c>
      <c r="G75" s="24">
        <f t="shared" si="56"/>
        <v>1.8</v>
      </c>
      <c r="H75" s="24">
        <f t="shared" si="56"/>
        <v>1.8</v>
      </c>
      <c r="I75" s="24">
        <f t="shared" si="56"/>
        <v>1.8</v>
      </c>
      <c r="J75" s="24">
        <f t="shared" si="56"/>
        <v>1.8</v>
      </c>
      <c r="K75" s="24">
        <f t="shared" si="56"/>
        <v>1.8</v>
      </c>
      <c r="L75" s="24">
        <f t="shared" si="56"/>
        <v>1.8</v>
      </c>
      <c r="M75" s="24">
        <f t="shared" si="56"/>
        <v>1.8</v>
      </c>
      <c r="N75" s="24">
        <f t="shared" si="56"/>
        <v>1.8</v>
      </c>
      <c r="O75" s="24">
        <f t="shared" si="56"/>
        <v>1.8</v>
      </c>
      <c r="P75" s="64">
        <f t="shared" si="56"/>
        <v>1.8</v>
      </c>
      <c r="Q75" s="188">
        <f>P75</f>
        <v>1.8</v>
      </c>
      <c r="R75" s="188">
        <f t="shared" ref="R75:AH75" si="57">Q75</f>
        <v>1.8</v>
      </c>
      <c r="S75" s="188">
        <f t="shared" si="57"/>
        <v>1.8</v>
      </c>
      <c r="T75" s="188">
        <f t="shared" si="57"/>
        <v>1.8</v>
      </c>
      <c r="U75" s="188">
        <f t="shared" si="57"/>
        <v>1.8</v>
      </c>
      <c r="V75" s="188">
        <f t="shared" si="57"/>
        <v>1.8</v>
      </c>
      <c r="W75" s="188">
        <f t="shared" si="57"/>
        <v>1.8</v>
      </c>
      <c r="X75" s="188">
        <f t="shared" si="57"/>
        <v>1.8</v>
      </c>
      <c r="Y75" s="188">
        <f t="shared" si="57"/>
        <v>1.8</v>
      </c>
      <c r="Z75" s="188">
        <f t="shared" si="57"/>
        <v>1.8</v>
      </c>
      <c r="AA75" s="188">
        <f t="shared" si="57"/>
        <v>1.8</v>
      </c>
      <c r="AB75" s="188">
        <f t="shared" si="57"/>
        <v>1.8</v>
      </c>
      <c r="AC75" s="188">
        <f t="shared" si="57"/>
        <v>1.8</v>
      </c>
      <c r="AD75" s="188">
        <f t="shared" si="57"/>
        <v>1.8</v>
      </c>
      <c r="AE75" s="188">
        <f t="shared" si="57"/>
        <v>1.8</v>
      </c>
      <c r="AF75" s="188">
        <f t="shared" si="57"/>
        <v>1.8</v>
      </c>
      <c r="AG75" s="188">
        <f t="shared" si="57"/>
        <v>1.8</v>
      </c>
      <c r="AH75" s="188">
        <f t="shared" si="57"/>
        <v>1.8</v>
      </c>
      <c r="AM75" s="8"/>
    </row>
    <row r="76" spans="1:49" x14ac:dyDescent="0.25">
      <c r="B76" t="s">
        <v>231</v>
      </c>
      <c r="C76" s="30" t="str">
        <f>"Total "&amp;MID(C73,1,LEN(C73)-LEN(" Department"))&amp;" Headcount"</f>
        <v>Total Supplier Support Headcount</v>
      </c>
      <c r="D76" s="30"/>
      <c r="E76" s="198">
        <v>4500</v>
      </c>
      <c r="F76" s="198">
        <v>4500</v>
      </c>
      <c r="G76" s="198">
        <v>4500</v>
      </c>
      <c r="H76" s="198">
        <v>4500</v>
      </c>
      <c r="I76" s="198">
        <v>4500</v>
      </c>
      <c r="J76" s="198">
        <v>4500</v>
      </c>
      <c r="K76" s="198">
        <v>4500</v>
      </c>
      <c r="L76" s="198">
        <v>4500</v>
      </c>
      <c r="M76" s="198">
        <v>4500</v>
      </c>
      <c r="N76" s="198">
        <v>4500</v>
      </c>
      <c r="O76" s="198">
        <v>4500</v>
      </c>
      <c r="P76" s="199">
        <v>4500</v>
      </c>
      <c r="Q76" s="200">
        <f t="shared" ref="Q76:AH76" si="58">Q74*Q75</f>
        <v>4725</v>
      </c>
      <c r="R76" s="200">
        <f t="shared" si="58"/>
        <v>4725</v>
      </c>
      <c r="S76" s="200">
        <f t="shared" si="58"/>
        <v>4950</v>
      </c>
      <c r="T76" s="200">
        <f t="shared" si="58"/>
        <v>4950</v>
      </c>
      <c r="U76" s="200">
        <f t="shared" si="58"/>
        <v>4950</v>
      </c>
      <c r="V76" s="200">
        <f t="shared" si="58"/>
        <v>4950</v>
      </c>
      <c r="W76" s="200">
        <f t="shared" si="58"/>
        <v>4950</v>
      </c>
      <c r="X76" s="200">
        <f t="shared" si="58"/>
        <v>4950</v>
      </c>
      <c r="Y76" s="200">
        <f t="shared" si="58"/>
        <v>4950</v>
      </c>
      <c r="Z76" s="200">
        <f t="shared" si="58"/>
        <v>4950</v>
      </c>
      <c r="AA76" s="200">
        <f t="shared" si="58"/>
        <v>4950</v>
      </c>
      <c r="AB76" s="200">
        <f t="shared" si="58"/>
        <v>4950</v>
      </c>
      <c r="AC76" s="200">
        <f t="shared" si="58"/>
        <v>4950</v>
      </c>
      <c r="AD76" s="200">
        <f t="shared" si="58"/>
        <v>4950</v>
      </c>
      <c r="AE76" s="200">
        <f t="shared" si="58"/>
        <v>4950</v>
      </c>
      <c r="AF76" s="200">
        <f t="shared" si="58"/>
        <v>4950</v>
      </c>
      <c r="AG76" s="200">
        <f t="shared" si="58"/>
        <v>4950</v>
      </c>
      <c r="AH76" s="200">
        <f t="shared" si="58"/>
        <v>4950</v>
      </c>
      <c r="AJ76" s="200" cm="1">
        <f t="array" aca="1" ref="AJ76" ca="1">INDEX($E76:$AH76,1,MATCH(AJ$3&amp;AJ$4&amp;AJ$5&amp;AJ$6,$E$3:$AH$3&amp;$E$4:$AH$4&amp;$E$5:$AH$5&amp;$E$6:$AH$6,1))</f>
        <v>4500</v>
      </c>
      <c r="AK76" s="200" cm="1">
        <f t="array" aca="1" ref="AK76" ca="1">INDEX($E76:$AH76,1,MATCH(AK$3&amp;AK$4&amp;AK$5&amp;AK$6,$E$3:$AH$3&amp;$E$4:$AH$4&amp;$E$5:$AH$5&amp;$E$6:$AH$6,1))</f>
        <v>4500</v>
      </c>
      <c r="AL76" s="200" cm="1">
        <f t="array" aca="1" ref="AL76" ca="1">INDEX($E76:$AH76,1,MATCH(AL$3&amp;AL$4&amp;AL$5&amp;AL$6,$E$3:$AH$3&amp;$E$4:$AH$4&amp;$E$5:$AH$5&amp;$E$6:$AH$6,1))</f>
        <v>4500</v>
      </c>
      <c r="AM76" s="201" cm="1">
        <f t="array" aca="1" ref="AM76" ca="1">INDEX($E76:$AH76,1,MATCH(AM$3&amp;AM$4&amp;AM$5&amp;AM$6,$E$3:$AH$3&amp;$E$4:$AH$4&amp;$E$5:$AH$5&amp;$E$6:$AH$6,1))</f>
        <v>4500</v>
      </c>
      <c r="AN76" s="200" cm="1">
        <f t="array" aca="1" ref="AN76" ca="1">INDEX($E76:$AH76,1,MATCH(AN$3&amp;AN$4&amp;AN$5&amp;AN$6,$E$3:$AH$3&amp;$E$4:$AH$4&amp;$E$5:$AH$5&amp;$E$6:$AH$6,1))</f>
        <v>4950</v>
      </c>
      <c r="AO76" s="200" cm="1">
        <f t="array" aca="1" ref="AO76" ca="1">INDEX($E76:$AH76,1,MATCH(AO$3&amp;AO$4&amp;AO$5&amp;AO$6,$E$3:$AH$3&amp;$E$4:$AH$4&amp;$E$5:$AH$5&amp;$E$6:$AH$6,1))</f>
        <v>4950</v>
      </c>
      <c r="AP76" s="200" cm="1">
        <f t="array" aca="1" ref="AP76" ca="1">INDEX($E76:$AH76,1,MATCH(AP$3&amp;AP$4&amp;AP$5&amp;AP$6,$E$3:$AH$3&amp;$E$4:$AH$4&amp;$E$5:$AH$5&amp;$E$6:$AH$6,1))</f>
        <v>4950</v>
      </c>
      <c r="AQ76" s="200" cm="1">
        <f t="array" aca="1" ref="AQ76" ca="1">INDEX($E76:$AH76,1,MATCH(AQ$3&amp;AQ$4&amp;AQ$5&amp;AQ$6,$E$3:$AH$3&amp;$E$4:$AH$4&amp;$E$5:$AH$5&amp;$E$6:$AH$6,1))</f>
        <v>4950</v>
      </c>
      <c r="AR76" s="200" cm="1">
        <f t="array" aca="1" ref="AR76" ca="1">INDEX($E76:$AH76,1,MATCH(AR$3&amp;AR$4&amp;AR$5&amp;AR$6,$E$3:$AH$3&amp;$E$4:$AH$4&amp;$E$5:$AH$5&amp;$E$6:$AH$6,1))</f>
        <v>4950</v>
      </c>
      <c r="AS76" s="200" cm="1">
        <f t="array" aca="1" ref="AS76" ca="1">INDEX($E76:$AH76,1,MATCH(AS$3&amp;AS$4&amp;AS$5&amp;AS$6,$E$3:$AH$3&amp;$E$4:$AH$4&amp;$E$5:$AH$5&amp;$E$6:$AH$6,1))</f>
        <v>4950</v>
      </c>
      <c r="AU76" s="200">
        <f t="shared" ref="AU76:AW76" ca="1" si="59">INDEX($E76:$AH76,MATCH(AU$5,$E$5:$AH$5,1))</f>
        <v>4500</v>
      </c>
      <c r="AV76" s="200">
        <f t="shared" ca="1" si="59"/>
        <v>4950</v>
      </c>
      <c r="AW76" s="200">
        <f t="shared" ca="1" si="59"/>
        <v>4950</v>
      </c>
    </row>
    <row r="77" spans="1:49" x14ac:dyDescent="0.25">
      <c r="P77" s="8"/>
      <c r="AM77" s="8"/>
    </row>
    <row r="78" spans="1:49" x14ac:dyDescent="0.25">
      <c r="C78" s="30" t="s">
        <v>321</v>
      </c>
      <c r="D78" s="30"/>
      <c r="E78" s="45" t="str">
        <f t="shared" ref="E78:AH78" si="60">E$9</f>
        <v>Jul-20A</v>
      </c>
      <c r="F78" s="45" t="str">
        <f t="shared" si="60"/>
        <v>Aug-20A</v>
      </c>
      <c r="G78" s="45" t="str">
        <f t="shared" si="60"/>
        <v>Sep-20A</v>
      </c>
      <c r="H78" s="45" t="str">
        <f t="shared" si="60"/>
        <v>Oct-20A</v>
      </c>
      <c r="I78" s="45" t="str">
        <f t="shared" si="60"/>
        <v>Nov-20A</v>
      </c>
      <c r="J78" s="45" t="str">
        <f t="shared" si="60"/>
        <v>Dec-20A</v>
      </c>
      <c r="K78" s="45" t="str">
        <f t="shared" si="60"/>
        <v>Jan-21A</v>
      </c>
      <c r="L78" s="45" t="str">
        <f t="shared" si="60"/>
        <v>Feb-21A</v>
      </c>
      <c r="M78" s="45" t="str">
        <f t="shared" si="60"/>
        <v>Mar-21A</v>
      </c>
      <c r="N78" s="45" t="str">
        <f t="shared" si="60"/>
        <v>Apr-21A</v>
      </c>
      <c r="O78" s="45" t="str">
        <f t="shared" si="60"/>
        <v>May-21A</v>
      </c>
      <c r="P78" s="46" t="str">
        <f t="shared" si="60"/>
        <v>Jun-21A</v>
      </c>
      <c r="Q78" s="45" t="str">
        <f t="shared" si="60"/>
        <v>Jul-21F</v>
      </c>
      <c r="R78" s="45" t="str">
        <f t="shared" si="60"/>
        <v>Aug-21F</v>
      </c>
      <c r="S78" s="45" t="str">
        <f t="shared" si="60"/>
        <v>Sep-21F</v>
      </c>
      <c r="T78" s="45" t="str">
        <f t="shared" si="60"/>
        <v>Oct-21F</v>
      </c>
      <c r="U78" s="45" t="str">
        <f t="shared" si="60"/>
        <v>Nov-21F</v>
      </c>
      <c r="V78" s="45" t="str">
        <f t="shared" si="60"/>
        <v>Dec-21F</v>
      </c>
      <c r="W78" s="45" t="str">
        <f t="shared" si="60"/>
        <v>Jan-22F</v>
      </c>
      <c r="X78" s="45" t="str">
        <f t="shared" si="60"/>
        <v>Feb-22F</v>
      </c>
      <c r="Y78" s="45" t="str">
        <f t="shared" si="60"/>
        <v>Mar-22F</v>
      </c>
      <c r="Z78" s="45" t="str">
        <f t="shared" si="60"/>
        <v>Apr-22F</v>
      </c>
      <c r="AA78" s="45" t="str">
        <f t="shared" si="60"/>
        <v>May-22F</v>
      </c>
      <c r="AB78" s="45" t="str">
        <f t="shared" si="60"/>
        <v>Jun-22F</v>
      </c>
      <c r="AC78" s="45" t="str">
        <f t="shared" si="60"/>
        <v>Jul-22F</v>
      </c>
      <c r="AD78" s="45" t="str">
        <f t="shared" si="60"/>
        <v>Aug-22F</v>
      </c>
      <c r="AE78" s="45" t="str">
        <f t="shared" si="60"/>
        <v>Sep-22F</v>
      </c>
      <c r="AF78" s="45" t="str">
        <f t="shared" si="60"/>
        <v>Oct-22F</v>
      </c>
      <c r="AG78" s="45" t="str">
        <f t="shared" si="60"/>
        <v>Nov-22F</v>
      </c>
      <c r="AH78" s="45" t="str">
        <f t="shared" si="60"/>
        <v>Dec-22F</v>
      </c>
      <c r="AJ78" s="45" t="str">
        <f ca="1">AJ$10</f>
        <v>Q3'20A</v>
      </c>
      <c r="AK78" s="45" t="str">
        <f t="shared" ref="AK78:AW78" ca="1" si="61">AK$10</f>
        <v>Q4'20A</v>
      </c>
      <c r="AL78" s="45" t="str">
        <f t="shared" ca="1" si="61"/>
        <v>Q1'21A</v>
      </c>
      <c r="AM78" s="46" t="str">
        <f t="shared" ca="1" si="61"/>
        <v>Q2'21A</v>
      </c>
      <c r="AN78" s="45" t="str">
        <f t="shared" ca="1" si="61"/>
        <v>Q3'21F</v>
      </c>
      <c r="AO78" s="45" t="str">
        <f t="shared" ca="1" si="61"/>
        <v>Q4'21F</v>
      </c>
      <c r="AP78" s="45" t="str">
        <f t="shared" ca="1" si="61"/>
        <v>Q1'22F</v>
      </c>
      <c r="AQ78" s="45" t="str">
        <f t="shared" ca="1" si="61"/>
        <v>Q2'22F</v>
      </c>
      <c r="AR78" s="45" t="str">
        <f t="shared" ca="1" si="61"/>
        <v>Q3'22F</v>
      </c>
      <c r="AS78" s="45" t="str">
        <f t="shared" ca="1" si="61"/>
        <v>Q4'22F</v>
      </c>
      <c r="AU78" s="45" t="str">
        <f t="shared" ca="1" si="61"/>
        <v>FY20</v>
      </c>
      <c r="AV78" s="45" t="str">
        <f t="shared" ca="1" si="61"/>
        <v>FY21</v>
      </c>
      <c r="AW78" s="45" t="str">
        <f t="shared" ca="1" si="61"/>
        <v>FY22</v>
      </c>
    </row>
    <row r="79" spans="1:49" x14ac:dyDescent="0.25">
      <c r="C79" s="203" t="s">
        <v>115</v>
      </c>
      <c r="D79" s="11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4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M79" s="8"/>
    </row>
    <row r="80" spans="1:49" x14ac:dyDescent="0.25">
      <c r="C80" s="1" t="s">
        <v>336</v>
      </c>
      <c r="D80" s="11"/>
      <c r="E80" s="191">
        <v>150</v>
      </c>
      <c r="F80" s="191">
        <v>150</v>
      </c>
      <c r="G80" s="191">
        <v>150</v>
      </c>
      <c r="H80" s="191">
        <v>150</v>
      </c>
      <c r="I80" s="191">
        <v>150</v>
      </c>
      <c r="J80" s="191">
        <v>150</v>
      </c>
      <c r="K80" s="191">
        <v>150</v>
      </c>
      <c r="L80" s="191">
        <v>150</v>
      </c>
      <c r="M80" s="191">
        <v>150</v>
      </c>
      <c r="N80" s="191">
        <v>150</v>
      </c>
      <c r="O80" s="191">
        <v>150</v>
      </c>
      <c r="P80" s="192">
        <v>150</v>
      </c>
      <c r="Q80" s="191">
        <v>150</v>
      </c>
      <c r="R80" s="191">
        <v>150</v>
      </c>
      <c r="S80" s="222">
        <v>200</v>
      </c>
      <c r="T80" s="191">
        <f>S80</f>
        <v>200</v>
      </c>
      <c r="U80" s="191">
        <v>150</v>
      </c>
      <c r="V80" s="191">
        <v>150</v>
      </c>
      <c r="W80" s="191">
        <v>150</v>
      </c>
      <c r="X80" s="191">
        <v>150</v>
      </c>
      <c r="Y80" s="191">
        <v>150</v>
      </c>
      <c r="Z80" s="191">
        <v>150</v>
      </c>
      <c r="AA80" s="191">
        <v>150</v>
      </c>
      <c r="AB80" s="191">
        <v>150</v>
      </c>
      <c r="AC80" s="191">
        <v>150</v>
      </c>
      <c r="AD80" s="191">
        <v>150</v>
      </c>
      <c r="AE80" s="191">
        <v>150</v>
      </c>
      <c r="AF80" s="191">
        <v>150</v>
      </c>
      <c r="AG80" s="191">
        <v>150</v>
      </c>
      <c r="AH80" s="191">
        <v>150</v>
      </c>
      <c r="AJ80" s="341" cm="1">
        <f t="array" aca="1" ref="AJ80" ca="1">INDEX($E80:$AH80,1,MATCH(AJ$3&amp;AJ$4&amp;AJ$5&amp;AJ$6,$E$3:$AH$3&amp;$E$4:$AH$4&amp;$E$5:$AH$5&amp;$E$6:$AH$6,1))</f>
        <v>150</v>
      </c>
      <c r="AK80" s="341" cm="1">
        <f t="array" aca="1" ref="AK80" ca="1">INDEX($E80:$AH80,1,MATCH(AK$3&amp;AK$4&amp;AK$5&amp;AK$6,$E$3:$AH$3&amp;$E$4:$AH$4&amp;$E$5:$AH$5&amp;$E$6:$AH$6,1))</f>
        <v>150</v>
      </c>
      <c r="AL80" s="341" cm="1">
        <f t="array" aca="1" ref="AL80" ca="1">INDEX($E80:$AH80,1,MATCH(AL$3&amp;AL$4&amp;AL$5&amp;AL$6,$E$3:$AH$3&amp;$E$4:$AH$4&amp;$E$5:$AH$5&amp;$E$6:$AH$6,1))</f>
        <v>150</v>
      </c>
      <c r="AM80" s="343" cm="1">
        <f t="array" aca="1" ref="AM80" ca="1">INDEX($E80:$AH80,1,MATCH(AM$3&amp;AM$4&amp;AM$5&amp;AM$6,$E$3:$AH$3&amp;$E$4:$AH$4&amp;$E$5:$AH$5&amp;$E$6:$AH$6,1))</f>
        <v>150</v>
      </c>
      <c r="AN80" s="341" cm="1">
        <f t="array" aca="1" ref="AN80" ca="1">INDEX($E80:$AH80,1,MATCH(AN$3&amp;AN$4&amp;AN$5&amp;AN$6,$E$3:$AH$3&amp;$E$4:$AH$4&amp;$E$5:$AH$5&amp;$E$6:$AH$6,1))</f>
        <v>200</v>
      </c>
      <c r="AO80" s="341" cm="1">
        <f t="array" aca="1" ref="AO80" ca="1">INDEX($E80:$AH80,1,MATCH(AO$3&amp;AO$4&amp;AO$5&amp;AO$6,$E$3:$AH$3&amp;$E$4:$AH$4&amp;$E$5:$AH$5&amp;$E$6:$AH$6,1))</f>
        <v>150</v>
      </c>
      <c r="AP80" s="341" cm="1">
        <f t="array" aca="1" ref="AP80" ca="1">INDEX($E80:$AH80,1,MATCH(AP$3&amp;AP$4&amp;AP$5&amp;AP$6,$E$3:$AH$3&amp;$E$4:$AH$4&amp;$E$5:$AH$5&amp;$E$6:$AH$6,1))</f>
        <v>150</v>
      </c>
      <c r="AQ80" s="341" cm="1">
        <f t="array" aca="1" ref="AQ80" ca="1">INDEX($E80:$AH80,1,MATCH(AQ$3&amp;AQ$4&amp;AQ$5&amp;AQ$6,$E$3:$AH$3&amp;$E$4:$AH$4&amp;$E$5:$AH$5&amp;$E$6:$AH$6,1))</f>
        <v>150</v>
      </c>
      <c r="AR80" s="341" cm="1">
        <f t="array" aca="1" ref="AR80" ca="1">INDEX($E80:$AH80,1,MATCH(AR$3&amp;AR$4&amp;AR$5&amp;AR$6,$E$3:$AH$3&amp;$E$4:$AH$4&amp;$E$5:$AH$5&amp;$E$6:$AH$6,1))</f>
        <v>150</v>
      </c>
      <c r="AS80" s="341" cm="1">
        <f t="array" aca="1" ref="AS80" ca="1">INDEX($E80:$AH80,1,MATCH(AS$3&amp;AS$4&amp;AS$5&amp;AS$6,$E$3:$AH$3&amp;$E$4:$AH$4&amp;$E$5:$AH$5&amp;$E$6:$AH$6,1))</f>
        <v>150</v>
      </c>
      <c r="AU80" s="341">
        <f t="shared" ref="AU80:AW81" ca="1" si="62">INDEX($E80:$AH80,MATCH(AU$5,$E$5:$AH$5,1))</f>
        <v>150</v>
      </c>
      <c r="AV80" s="341">
        <f t="shared" ca="1" si="62"/>
        <v>150</v>
      </c>
      <c r="AW80" s="341">
        <f t="shared" ca="1" si="62"/>
        <v>150</v>
      </c>
    </row>
    <row r="81" spans="2:49" x14ac:dyDescent="0.25">
      <c r="C81" s="23" t="s">
        <v>337</v>
      </c>
      <c r="D81" s="139"/>
      <c r="E81" s="193">
        <v>150</v>
      </c>
      <c r="F81" s="193">
        <v>150</v>
      </c>
      <c r="G81" s="193">
        <v>150</v>
      </c>
      <c r="H81" s="193">
        <v>150</v>
      </c>
      <c r="I81" s="193">
        <v>150</v>
      </c>
      <c r="J81" s="193">
        <v>150</v>
      </c>
      <c r="K81" s="193">
        <v>150</v>
      </c>
      <c r="L81" s="193">
        <v>150</v>
      </c>
      <c r="M81" s="193">
        <v>150</v>
      </c>
      <c r="N81" s="193">
        <v>150</v>
      </c>
      <c r="O81" s="193">
        <v>150</v>
      </c>
      <c r="P81" s="194">
        <v>150</v>
      </c>
      <c r="Q81" s="223">
        <v>200</v>
      </c>
      <c r="R81" s="193">
        <v>200</v>
      </c>
      <c r="S81" s="223">
        <v>250</v>
      </c>
      <c r="T81" s="193">
        <f>S81</f>
        <v>250</v>
      </c>
      <c r="U81" s="193">
        <v>200</v>
      </c>
      <c r="V81" s="193">
        <v>200</v>
      </c>
      <c r="W81" s="193">
        <v>200</v>
      </c>
      <c r="X81" s="193">
        <v>200</v>
      </c>
      <c r="Y81" s="193">
        <v>200</v>
      </c>
      <c r="Z81" s="193">
        <v>200</v>
      </c>
      <c r="AA81" s="193">
        <v>200</v>
      </c>
      <c r="AB81" s="193">
        <v>200</v>
      </c>
      <c r="AC81" s="193">
        <v>200</v>
      </c>
      <c r="AD81" s="193">
        <v>200</v>
      </c>
      <c r="AE81" s="193">
        <v>200</v>
      </c>
      <c r="AF81" s="193">
        <v>200</v>
      </c>
      <c r="AG81" s="193">
        <v>200</v>
      </c>
      <c r="AH81" s="193">
        <v>200</v>
      </c>
      <c r="AJ81" s="342" cm="1">
        <f t="array" aca="1" ref="AJ81" ca="1">INDEX($E81:$AH81,1,MATCH(AJ$3&amp;AJ$4&amp;AJ$5&amp;AJ$6,$E$3:$AH$3&amp;$E$4:$AH$4&amp;$E$5:$AH$5&amp;$E$6:$AH$6,1))</f>
        <v>150</v>
      </c>
      <c r="AK81" s="342" cm="1">
        <f t="array" aca="1" ref="AK81" ca="1">INDEX($E81:$AH81,1,MATCH(AK$3&amp;AK$4&amp;AK$5&amp;AK$6,$E$3:$AH$3&amp;$E$4:$AH$4&amp;$E$5:$AH$5&amp;$E$6:$AH$6,1))</f>
        <v>150</v>
      </c>
      <c r="AL81" s="342" cm="1">
        <f t="array" aca="1" ref="AL81" ca="1">INDEX($E81:$AH81,1,MATCH(AL$3&amp;AL$4&amp;AL$5&amp;AL$6,$E$3:$AH$3&amp;$E$4:$AH$4&amp;$E$5:$AH$5&amp;$E$6:$AH$6,1))</f>
        <v>150</v>
      </c>
      <c r="AM81" s="344" cm="1">
        <f t="array" aca="1" ref="AM81" ca="1">INDEX($E81:$AH81,1,MATCH(AM$3&amp;AM$4&amp;AM$5&amp;AM$6,$E$3:$AH$3&amp;$E$4:$AH$4&amp;$E$5:$AH$5&amp;$E$6:$AH$6,1))</f>
        <v>150</v>
      </c>
      <c r="AN81" s="342" cm="1">
        <f t="array" aca="1" ref="AN81" ca="1">INDEX($E81:$AH81,1,MATCH(AN$3&amp;AN$4&amp;AN$5&amp;AN$6,$E$3:$AH$3&amp;$E$4:$AH$4&amp;$E$5:$AH$5&amp;$E$6:$AH$6,1))</f>
        <v>250</v>
      </c>
      <c r="AO81" s="342" cm="1">
        <f t="array" aca="1" ref="AO81" ca="1">INDEX($E81:$AH81,1,MATCH(AO$3&amp;AO$4&amp;AO$5&amp;AO$6,$E$3:$AH$3&amp;$E$4:$AH$4&amp;$E$5:$AH$5&amp;$E$6:$AH$6,1))</f>
        <v>200</v>
      </c>
      <c r="AP81" s="342" cm="1">
        <f t="array" aca="1" ref="AP81" ca="1">INDEX($E81:$AH81,1,MATCH(AP$3&amp;AP$4&amp;AP$5&amp;AP$6,$E$3:$AH$3&amp;$E$4:$AH$4&amp;$E$5:$AH$5&amp;$E$6:$AH$6,1))</f>
        <v>200</v>
      </c>
      <c r="AQ81" s="342" cm="1">
        <f t="array" aca="1" ref="AQ81" ca="1">INDEX($E81:$AH81,1,MATCH(AQ$3&amp;AQ$4&amp;AQ$5&amp;AQ$6,$E$3:$AH$3&amp;$E$4:$AH$4&amp;$E$5:$AH$5&amp;$E$6:$AH$6,1))</f>
        <v>200</v>
      </c>
      <c r="AR81" s="342" cm="1">
        <f t="array" aca="1" ref="AR81" ca="1">INDEX($E81:$AH81,1,MATCH(AR$3&amp;AR$4&amp;AR$5&amp;AR$6,$E$3:$AH$3&amp;$E$4:$AH$4&amp;$E$5:$AH$5&amp;$E$6:$AH$6,1))</f>
        <v>200</v>
      </c>
      <c r="AS81" s="342" cm="1">
        <f t="array" aca="1" ref="AS81" ca="1">INDEX($E81:$AH81,1,MATCH(AS$3&amp;AS$4&amp;AS$5&amp;AS$6,$E$3:$AH$3&amp;$E$4:$AH$4&amp;$E$5:$AH$5&amp;$E$6:$AH$6,1))</f>
        <v>200</v>
      </c>
      <c r="AU81" s="342">
        <f t="shared" ca="1" si="62"/>
        <v>150</v>
      </c>
      <c r="AV81" s="342">
        <f t="shared" ca="1" si="62"/>
        <v>200</v>
      </c>
      <c r="AW81" s="342">
        <f t="shared" ca="1" si="62"/>
        <v>200</v>
      </c>
    </row>
    <row r="82" spans="2:49" x14ac:dyDescent="0.25">
      <c r="B82" t="s">
        <v>231</v>
      </c>
      <c r="C82" s="11" t="str">
        <f>"Total "&amp;C79&amp;" Headcount"</f>
        <v>Total Brand Marketing Headcount</v>
      </c>
      <c r="D82" s="11"/>
      <c r="E82" s="43">
        <f>SUM(E80:E81)</f>
        <v>300</v>
      </c>
      <c r="F82" s="43">
        <f t="shared" ref="F82:AW82" si="63">SUM(F80:F81)</f>
        <v>300</v>
      </c>
      <c r="G82" s="43">
        <f t="shared" si="63"/>
        <v>300</v>
      </c>
      <c r="H82" s="43">
        <f t="shared" si="63"/>
        <v>300</v>
      </c>
      <c r="I82" s="43">
        <f t="shared" si="63"/>
        <v>300</v>
      </c>
      <c r="J82" s="43">
        <f t="shared" si="63"/>
        <v>300</v>
      </c>
      <c r="K82" s="43">
        <f t="shared" si="63"/>
        <v>300</v>
      </c>
      <c r="L82" s="43">
        <f t="shared" si="63"/>
        <v>300</v>
      </c>
      <c r="M82" s="43">
        <f t="shared" si="63"/>
        <v>300</v>
      </c>
      <c r="N82" s="43">
        <f t="shared" si="63"/>
        <v>300</v>
      </c>
      <c r="O82" s="43">
        <f t="shared" si="63"/>
        <v>300</v>
      </c>
      <c r="P82" s="44">
        <f t="shared" si="63"/>
        <v>300</v>
      </c>
      <c r="Q82" s="43">
        <f t="shared" si="63"/>
        <v>350</v>
      </c>
      <c r="R82" s="43">
        <f t="shared" si="63"/>
        <v>350</v>
      </c>
      <c r="S82" s="43">
        <f t="shared" si="63"/>
        <v>450</v>
      </c>
      <c r="T82" s="43">
        <f t="shared" si="63"/>
        <v>450</v>
      </c>
      <c r="U82" s="43">
        <f t="shared" si="63"/>
        <v>350</v>
      </c>
      <c r="V82" s="43">
        <f t="shared" si="63"/>
        <v>350</v>
      </c>
      <c r="W82" s="43">
        <f t="shared" si="63"/>
        <v>350</v>
      </c>
      <c r="X82" s="43">
        <f t="shared" si="63"/>
        <v>350</v>
      </c>
      <c r="Y82" s="43">
        <f t="shared" si="63"/>
        <v>350</v>
      </c>
      <c r="Z82" s="43">
        <f t="shared" si="63"/>
        <v>350</v>
      </c>
      <c r="AA82" s="43">
        <f t="shared" si="63"/>
        <v>350</v>
      </c>
      <c r="AB82" s="43">
        <f t="shared" si="63"/>
        <v>350</v>
      </c>
      <c r="AC82" s="43">
        <f t="shared" si="63"/>
        <v>350</v>
      </c>
      <c r="AD82" s="43">
        <f t="shared" si="63"/>
        <v>350</v>
      </c>
      <c r="AE82" s="43">
        <f t="shared" si="63"/>
        <v>350</v>
      </c>
      <c r="AF82" s="43">
        <f t="shared" si="63"/>
        <v>350</v>
      </c>
      <c r="AG82" s="43">
        <f t="shared" si="63"/>
        <v>350</v>
      </c>
      <c r="AH82" s="43">
        <f t="shared" si="63"/>
        <v>350</v>
      </c>
      <c r="AJ82" s="43">
        <f t="shared" ca="1" si="63"/>
        <v>300</v>
      </c>
      <c r="AK82" s="43">
        <f t="shared" ca="1" si="63"/>
        <v>300</v>
      </c>
      <c r="AL82" s="43">
        <f t="shared" ca="1" si="63"/>
        <v>300</v>
      </c>
      <c r="AM82" s="44">
        <f t="shared" ca="1" si="63"/>
        <v>300</v>
      </c>
      <c r="AN82" s="43">
        <f t="shared" ca="1" si="63"/>
        <v>450</v>
      </c>
      <c r="AO82" s="43">
        <f t="shared" ca="1" si="63"/>
        <v>350</v>
      </c>
      <c r="AP82" s="43">
        <f t="shared" ca="1" si="63"/>
        <v>350</v>
      </c>
      <c r="AQ82" s="43">
        <f t="shared" ca="1" si="63"/>
        <v>350</v>
      </c>
      <c r="AR82" s="43">
        <f t="shared" ca="1" si="63"/>
        <v>350</v>
      </c>
      <c r="AS82" s="43">
        <f t="shared" ca="1" si="63"/>
        <v>350</v>
      </c>
      <c r="AU82" s="43">
        <f t="shared" ca="1" si="63"/>
        <v>300</v>
      </c>
      <c r="AV82" s="43">
        <f t="shared" ca="1" si="63"/>
        <v>350</v>
      </c>
      <c r="AW82" s="43">
        <f t="shared" ca="1" si="63"/>
        <v>350</v>
      </c>
    </row>
    <row r="83" spans="2:49" x14ac:dyDescent="0.25">
      <c r="C83" s="11"/>
      <c r="D83" s="11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4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J83" s="43"/>
      <c r="AK83" s="43"/>
      <c r="AL83" s="43"/>
      <c r="AM83" s="44"/>
      <c r="AN83" s="43"/>
      <c r="AO83" s="43"/>
      <c r="AP83" s="43"/>
      <c r="AQ83" s="43"/>
      <c r="AR83" s="43"/>
      <c r="AS83" s="43"/>
      <c r="AU83" s="43"/>
      <c r="AV83" s="43"/>
      <c r="AW83" s="43"/>
    </row>
    <row r="84" spans="2:49" x14ac:dyDescent="0.25">
      <c r="C84" s="203" t="s">
        <v>334</v>
      </c>
      <c r="D84" s="11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4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J84" s="43"/>
      <c r="AK84" s="43"/>
      <c r="AL84" s="43"/>
      <c r="AM84" s="44"/>
      <c r="AN84" s="43"/>
      <c r="AO84" s="43"/>
      <c r="AP84" s="43"/>
      <c r="AQ84" s="43"/>
      <c r="AR84" s="43"/>
      <c r="AS84" s="43"/>
      <c r="AU84" s="43"/>
      <c r="AV84" s="43"/>
      <c r="AW84" s="43"/>
    </row>
    <row r="85" spans="2:49" x14ac:dyDescent="0.25">
      <c r="C85" s="1" t="s">
        <v>338</v>
      </c>
      <c r="D85" s="11"/>
      <c r="E85" s="191">
        <v>150</v>
      </c>
      <c r="F85" s="191">
        <v>150</v>
      </c>
      <c r="G85" s="191">
        <v>150</v>
      </c>
      <c r="H85" s="191">
        <v>150</v>
      </c>
      <c r="I85" s="191">
        <v>150</v>
      </c>
      <c r="J85" s="191">
        <v>150</v>
      </c>
      <c r="K85" s="191">
        <v>150</v>
      </c>
      <c r="L85" s="191">
        <v>150</v>
      </c>
      <c r="M85" s="191">
        <v>150</v>
      </c>
      <c r="N85" s="191">
        <v>150</v>
      </c>
      <c r="O85" s="191">
        <v>150</v>
      </c>
      <c r="P85" s="192">
        <v>150</v>
      </c>
      <c r="Q85" s="191">
        <f t="shared" ref="Q85:AH85" si="64">P85</f>
        <v>150</v>
      </c>
      <c r="R85" s="191">
        <f t="shared" si="64"/>
        <v>150</v>
      </c>
      <c r="S85" s="191">
        <f t="shared" si="64"/>
        <v>150</v>
      </c>
      <c r="T85" s="191">
        <f t="shared" si="64"/>
        <v>150</v>
      </c>
      <c r="U85" s="191">
        <f t="shared" si="64"/>
        <v>150</v>
      </c>
      <c r="V85" s="191">
        <f t="shared" si="64"/>
        <v>150</v>
      </c>
      <c r="W85" s="191">
        <f t="shared" si="64"/>
        <v>150</v>
      </c>
      <c r="X85" s="191">
        <f t="shared" si="64"/>
        <v>150</v>
      </c>
      <c r="Y85" s="191">
        <f t="shared" si="64"/>
        <v>150</v>
      </c>
      <c r="Z85" s="191">
        <f t="shared" si="64"/>
        <v>150</v>
      </c>
      <c r="AA85" s="191">
        <f t="shared" si="64"/>
        <v>150</v>
      </c>
      <c r="AB85" s="191">
        <f t="shared" si="64"/>
        <v>150</v>
      </c>
      <c r="AC85" s="191">
        <f t="shared" si="64"/>
        <v>150</v>
      </c>
      <c r="AD85" s="191">
        <f t="shared" si="64"/>
        <v>150</v>
      </c>
      <c r="AE85" s="191">
        <f t="shared" si="64"/>
        <v>150</v>
      </c>
      <c r="AF85" s="191">
        <f t="shared" si="64"/>
        <v>150</v>
      </c>
      <c r="AG85" s="191">
        <f t="shared" si="64"/>
        <v>150</v>
      </c>
      <c r="AH85" s="191">
        <f t="shared" si="64"/>
        <v>150</v>
      </c>
      <c r="AJ85" s="341" cm="1">
        <f t="array" aca="1" ref="AJ85" ca="1">INDEX($E85:$AH85,1,MATCH(AJ$3&amp;AJ$4&amp;AJ$5&amp;AJ$6,$E$3:$AH$3&amp;$E$4:$AH$4&amp;$E$5:$AH$5&amp;$E$6:$AH$6,1))</f>
        <v>150</v>
      </c>
      <c r="AK85" s="341" cm="1">
        <f t="array" aca="1" ref="AK85" ca="1">INDEX($E85:$AH85,1,MATCH(AK$3&amp;AK$4&amp;AK$5&amp;AK$6,$E$3:$AH$3&amp;$E$4:$AH$4&amp;$E$5:$AH$5&amp;$E$6:$AH$6,1))</f>
        <v>150</v>
      </c>
      <c r="AL85" s="341" cm="1">
        <f t="array" aca="1" ref="AL85" ca="1">INDEX($E85:$AH85,1,MATCH(AL$3&amp;AL$4&amp;AL$5&amp;AL$6,$E$3:$AH$3&amp;$E$4:$AH$4&amp;$E$5:$AH$5&amp;$E$6:$AH$6,1))</f>
        <v>150</v>
      </c>
      <c r="AM85" s="343" cm="1">
        <f t="array" aca="1" ref="AM85" ca="1">INDEX($E85:$AH85,1,MATCH(AM$3&amp;AM$4&amp;AM$5&amp;AM$6,$E$3:$AH$3&amp;$E$4:$AH$4&amp;$E$5:$AH$5&amp;$E$6:$AH$6,1))</f>
        <v>150</v>
      </c>
      <c r="AN85" s="341" cm="1">
        <f t="array" aca="1" ref="AN85" ca="1">INDEX($E85:$AH85,1,MATCH(AN$3&amp;AN$4&amp;AN$5&amp;AN$6,$E$3:$AH$3&amp;$E$4:$AH$4&amp;$E$5:$AH$5&amp;$E$6:$AH$6,1))</f>
        <v>150</v>
      </c>
      <c r="AO85" s="341" cm="1">
        <f t="array" aca="1" ref="AO85" ca="1">INDEX($E85:$AH85,1,MATCH(AO$3&amp;AO$4&amp;AO$5&amp;AO$6,$E$3:$AH$3&amp;$E$4:$AH$4&amp;$E$5:$AH$5&amp;$E$6:$AH$6,1))</f>
        <v>150</v>
      </c>
      <c r="AP85" s="341" cm="1">
        <f t="array" aca="1" ref="AP85" ca="1">INDEX($E85:$AH85,1,MATCH(AP$3&amp;AP$4&amp;AP$5&amp;AP$6,$E$3:$AH$3&amp;$E$4:$AH$4&amp;$E$5:$AH$5&amp;$E$6:$AH$6,1))</f>
        <v>150</v>
      </c>
      <c r="AQ85" s="341" cm="1">
        <f t="array" aca="1" ref="AQ85" ca="1">INDEX($E85:$AH85,1,MATCH(AQ$3&amp;AQ$4&amp;AQ$5&amp;AQ$6,$E$3:$AH$3&amp;$E$4:$AH$4&amp;$E$5:$AH$5&amp;$E$6:$AH$6,1))</f>
        <v>150</v>
      </c>
      <c r="AR85" s="341" cm="1">
        <f t="array" aca="1" ref="AR85" ca="1">INDEX($E85:$AH85,1,MATCH(AR$3&amp;AR$4&amp;AR$5&amp;AR$6,$E$3:$AH$3&amp;$E$4:$AH$4&amp;$E$5:$AH$5&amp;$E$6:$AH$6,1))</f>
        <v>150</v>
      </c>
      <c r="AS85" s="341" cm="1">
        <f t="array" aca="1" ref="AS85" ca="1">INDEX($E85:$AH85,1,MATCH(AS$3&amp;AS$4&amp;AS$5&amp;AS$6,$E$3:$AH$3&amp;$E$4:$AH$4&amp;$E$5:$AH$5&amp;$E$6:$AH$6,1))</f>
        <v>150</v>
      </c>
      <c r="AU85" s="341">
        <f t="shared" ref="AU85:AW86" ca="1" si="65">INDEX($E85:$AH85,MATCH(AU$5,$E$5:$AH$5,1))</f>
        <v>150</v>
      </c>
      <c r="AV85" s="341">
        <f t="shared" ca="1" si="65"/>
        <v>150</v>
      </c>
      <c r="AW85" s="341">
        <f t="shared" ca="1" si="65"/>
        <v>150</v>
      </c>
    </row>
    <row r="86" spans="2:49" x14ac:dyDescent="0.25">
      <c r="C86" s="1" t="s">
        <v>339</v>
      </c>
      <c r="D86" s="11"/>
      <c r="E86" s="191">
        <v>300</v>
      </c>
      <c r="F86" s="191">
        <v>300</v>
      </c>
      <c r="G86" s="191">
        <v>300</v>
      </c>
      <c r="H86" s="191">
        <v>300</v>
      </c>
      <c r="I86" s="191">
        <v>300</v>
      </c>
      <c r="J86" s="191">
        <v>300</v>
      </c>
      <c r="K86" s="191">
        <v>300</v>
      </c>
      <c r="L86" s="191">
        <v>300</v>
      </c>
      <c r="M86" s="191">
        <v>300</v>
      </c>
      <c r="N86" s="191">
        <v>300</v>
      </c>
      <c r="O86" s="191">
        <v>300</v>
      </c>
      <c r="P86" s="192">
        <v>300</v>
      </c>
      <c r="Q86" s="191">
        <f>P86</f>
        <v>300</v>
      </c>
      <c r="R86" s="191">
        <f t="shared" ref="R86:AH86" si="66">Q86</f>
        <v>300</v>
      </c>
      <c r="S86" s="191">
        <f t="shared" si="66"/>
        <v>300</v>
      </c>
      <c r="T86" s="191">
        <f t="shared" si="66"/>
        <v>300</v>
      </c>
      <c r="U86" s="191">
        <f t="shared" si="66"/>
        <v>300</v>
      </c>
      <c r="V86" s="191">
        <f t="shared" si="66"/>
        <v>300</v>
      </c>
      <c r="W86" s="191">
        <f t="shared" si="66"/>
        <v>300</v>
      </c>
      <c r="X86" s="191">
        <f t="shared" si="66"/>
        <v>300</v>
      </c>
      <c r="Y86" s="191">
        <f t="shared" si="66"/>
        <v>300</v>
      </c>
      <c r="Z86" s="191">
        <f t="shared" si="66"/>
        <v>300</v>
      </c>
      <c r="AA86" s="191">
        <f t="shared" si="66"/>
        <v>300</v>
      </c>
      <c r="AB86" s="191">
        <f t="shared" si="66"/>
        <v>300</v>
      </c>
      <c r="AC86" s="191">
        <f t="shared" si="66"/>
        <v>300</v>
      </c>
      <c r="AD86" s="191">
        <f t="shared" si="66"/>
        <v>300</v>
      </c>
      <c r="AE86" s="191">
        <f t="shared" si="66"/>
        <v>300</v>
      </c>
      <c r="AF86" s="191">
        <f t="shared" si="66"/>
        <v>300</v>
      </c>
      <c r="AG86" s="191">
        <f t="shared" si="66"/>
        <v>300</v>
      </c>
      <c r="AH86" s="191">
        <f t="shared" si="66"/>
        <v>300</v>
      </c>
      <c r="AJ86" s="341" cm="1">
        <f t="array" aca="1" ref="AJ86" ca="1">INDEX($E86:$AH86,1,MATCH(AJ$3&amp;AJ$4&amp;AJ$5&amp;AJ$6,$E$3:$AH$3&amp;$E$4:$AH$4&amp;$E$5:$AH$5&amp;$E$6:$AH$6,1))</f>
        <v>300</v>
      </c>
      <c r="AK86" s="341" cm="1">
        <f t="array" aca="1" ref="AK86" ca="1">INDEX($E86:$AH86,1,MATCH(AK$3&amp;AK$4&amp;AK$5&amp;AK$6,$E$3:$AH$3&amp;$E$4:$AH$4&amp;$E$5:$AH$5&amp;$E$6:$AH$6,1))</f>
        <v>300</v>
      </c>
      <c r="AL86" s="341" cm="1">
        <f t="array" aca="1" ref="AL86" ca="1">INDEX($E86:$AH86,1,MATCH(AL$3&amp;AL$4&amp;AL$5&amp;AL$6,$E$3:$AH$3&amp;$E$4:$AH$4&amp;$E$5:$AH$5&amp;$E$6:$AH$6,1))</f>
        <v>300</v>
      </c>
      <c r="AM86" s="343" cm="1">
        <f t="array" aca="1" ref="AM86" ca="1">INDEX($E86:$AH86,1,MATCH(AM$3&amp;AM$4&amp;AM$5&amp;AM$6,$E$3:$AH$3&amp;$E$4:$AH$4&amp;$E$5:$AH$5&amp;$E$6:$AH$6,1))</f>
        <v>300</v>
      </c>
      <c r="AN86" s="341" cm="1">
        <f t="array" aca="1" ref="AN86" ca="1">INDEX($E86:$AH86,1,MATCH(AN$3&amp;AN$4&amp;AN$5&amp;AN$6,$E$3:$AH$3&amp;$E$4:$AH$4&amp;$E$5:$AH$5&amp;$E$6:$AH$6,1))</f>
        <v>300</v>
      </c>
      <c r="AO86" s="341" cm="1">
        <f t="array" aca="1" ref="AO86" ca="1">INDEX($E86:$AH86,1,MATCH(AO$3&amp;AO$4&amp;AO$5&amp;AO$6,$E$3:$AH$3&amp;$E$4:$AH$4&amp;$E$5:$AH$5&amp;$E$6:$AH$6,1))</f>
        <v>300</v>
      </c>
      <c r="AP86" s="341" cm="1">
        <f t="array" aca="1" ref="AP86" ca="1">INDEX($E86:$AH86,1,MATCH(AP$3&amp;AP$4&amp;AP$5&amp;AP$6,$E$3:$AH$3&amp;$E$4:$AH$4&amp;$E$5:$AH$5&amp;$E$6:$AH$6,1))</f>
        <v>300</v>
      </c>
      <c r="AQ86" s="341" cm="1">
        <f t="array" aca="1" ref="AQ86" ca="1">INDEX($E86:$AH86,1,MATCH(AQ$3&amp;AQ$4&amp;AQ$5&amp;AQ$6,$E$3:$AH$3&amp;$E$4:$AH$4&amp;$E$5:$AH$5&amp;$E$6:$AH$6,1))</f>
        <v>300</v>
      </c>
      <c r="AR86" s="341" cm="1">
        <f t="array" aca="1" ref="AR86" ca="1">INDEX($E86:$AH86,1,MATCH(AR$3&amp;AR$4&amp;AR$5&amp;AR$6,$E$3:$AH$3&amp;$E$4:$AH$4&amp;$E$5:$AH$5&amp;$E$6:$AH$6,1))</f>
        <v>300</v>
      </c>
      <c r="AS86" s="341" cm="1">
        <f t="array" aca="1" ref="AS86" ca="1">INDEX($E86:$AH86,1,MATCH(AS$3&amp;AS$4&amp;AS$5&amp;AS$6,$E$3:$AH$3&amp;$E$4:$AH$4&amp;$E$5:$AH$5&amp;$E$6:$AH$6,1))</f>
        <v>300</v>
      </c>
      <c r="AU86" s="341">
        <f t="shared" ca="1" si="65"/>
        <v>300</v>
      </c>
      <c r="AV86" s="341">
        <f t="shared" ca="1" si="65"/>
        <v>300</v>
      </c>
      <c r="AW86" s="341">
        <f t="shared" ca="1" si="65"/>
        <v>300</v>
      </c>
    </row>
    <row r="87" spans="2:49" x14ac:dyDescent="0.25">
      <c r="C87" s="1"/>
      <c r="D87" s="11"/>
      <c r="E87" s="5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4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J87" s="43"/>
      <c r="AK87" s="43"/>
      <c r="AL87" s="43"/>
      <c r="AM87" s="44"/>
      <c r="AN87" s="43"/>
      <c r="AO87" s="43"/>
      <c r="AP87" s="43"/>
      <c r="AQ87" s="43"/>
      <c r="AR87" s="43"/>
      <c r="AS87" s="43"/>
      <c r="AU87" s="43"/>
      <c r="AV87" s="43"/>
      <c r="AW87" s="43"/>
    </row>
    <row r="88" spans="2:49" x14ac:dyDescent="0.25">
      <c r="C88" s="42" t="s">
        <v>341</v>
      </c>
      <c r="D88" s="11"/>
      <c r="E88" s="195">
        <f t="shared" ref="E88:P88" si="67">E89/E86</f>
        <v>2</v>
      </c>
      <c r="F88" s="195">
        <f t="shared" si="67"/>
        <v>2</v>
      </c>
      <c r="G88" s="195">
        <f t="shared" si="67"/>
        <v>2</v>
      </c>
      <c r="H88" s="195">
        <f t="shared" si="67"/>
        <v>2</v>
      </c>
      <c r="I88" s="195">
        <f t="shared" si="67"/>
        <v>2</v>
      </c>
      <c r="J88" s="195">
        <f t="shared" si="67"/>
        <v>2</v>
      </c>
      <c r="K88" s="195">
        <f t="shared" si="67"/>
        <v>2</v>
      </c>
      <c r="L88" s="195">
        <f t="shared" si="67"/>
        <v>2</v>
      </c>
      <c r="M88" s="195">
        <f t="shared" si="67"/>
        <v>2</v>
      </c>
      <c r="N88" s="195">
        <f t="shared" si="67"/>
        <v>2</v>
      </c>
      <c r="O88" s="195">
        <f t="shared" si="67"/>
        <v>2</v>
      </c>
      <c r="P88" s="196">
        <f t="shared" si="67"/>
        <v>2</v>
      </c>
      <c r="Q88" s="190">
        <f>P88</f>
        <v>2</v>
      </c>
      <c r="R88" s="190">
        <f>Q88</f>
        <v>2</v>
      </c>
      <c r="S88" s="190">
        <f t="shared" ref="S88:AH88" si="68">R88</f>
        <v>2</v>
      </c>
      <c r="T88" s="190">
        <f t="shared" si="68"/>
        <v>2</v>
      </c>
      <c r="U88" s="190">
        <f t="shared" si="68"/>
        <v>2</v>
      </c>
      <c r="V88" s="190">
        <f t="shared" si="68"/>
        <v>2</v>
      </c>
      <c r="W88" s="190">
        <f t="shared" si="68"/>
        <v>2</v>
      </c>
      <c r="X88" s="190">
        <f t="shared" si="68"/>
        <v>2</v>
      </c>
      <c r="Y88" s="190">
        <f t="shared" si="68"/>
        <v>2</v>
      </c>
      <c r="Z88" s="190">
        <f t="shared" si="68"/>
        <v>2</v>
      </c>
      <c r="AA88" s="190">
        <f t="shared" si="68"/>
        <v>2</v>
      </c>
      <c r="AB88" s="190">
        <f t="shared" si="68"/>
        <v>2</v>
      </c>
      <c r="AC88" s="190">
        <f t="shared" si="68"/>
        <v>2</v>
      </c>
      <c r="AD88" s="190">
        <f t="shared" si="68"/>
        <v>2</v>
      </c>
      <c r="AE88" s="190">
        <f t="shared" si="68"/>
        <v>2</v>
      </c>
      <c r="AF88" s="190">
        <f t="shared" si="68"/>
        <v>2</v>
      </c>
      <c r="AG88" s="190">
        <f t="shared" si="68"/>
        <v>2</v>
      </c>
      <c r="AH88" s="190">
        <f t="shared" si="68"/>
        <v>2</v>
      </c>
      <c r="AJ88" s="195">
        <f t="shared" ref="AJ88:AW88" ca="1" si="69">AJ89/AJ86</f>
        <v>2</v>
      </c>
      <c r="AK88" s="195">
        <f t="shared" ca="1" si="69"/>
        <v>2</v>
      </c>
      <c r="AL88" s="195">
        <f t="shared" ca="1" si="69"/>
        <v>2</v>
      </c>
      <c r="AM88" s="196">
        <f t="shared" ca="1" si="69"/>
        <v>2</v>
      </c>
      <c r="AN88" s="195">
        <f t="shared" ca="1" si="69"/>
        <v>2</v>
      </c>
      <c r="AO88" s="195">
        <f t="shared" ca="1" si="69"/>
        <v>2</v>
      </c>
      <c r="AP88" s="195">
        <f t="shared" ca="1" si="69"/>
        <v>2</v>
      </c>
      <c r="AQ88" s="195">
        <f t="shared" ca="1" si="69"/>
        <v>2</v>
      </c>
      <c r="AR88" s="195">
        <f t="shared" ca="1" si="69"/>
        <v>2</v>
      </c>
      <c r="AS88" s="195">
        <f t="shared" ca="1" si="69"/>
        <v>2</v>
      </c>
      <c r="AU88" s="195">
        <f t="shared" ca="1" si="69"/>
        <v>2</v>
      </c>
      <c r="AV88" s="195">
        <f t="shared" ca="1" si="69"/>
        <v>2</v>
      </c>
      <c r="AW88" s="195">
        <f t="shared" ca="1" si="69"/>
        <v>2</v>
      </c>
    </row>
    <row r="89" spans="2:49" x14ac:dyDescent="0.25">
      <c r="C89" s="23" t="s">
        <v>340</v>
      </c>
      <c r="D89" s="139"/>
      <c r="E89" s="193">
        <v>600</v>
      </c>
      <c r="F89" s="193">
        <v>600</v>
      </c>
      <c r="G89" s="193">
        <v>600</v>
      </c>
      <c r="H89" s="193">
        <v>600</v>
      </c>
      <c r="I89" s="193">
        <v>600</v>
      </c>
      <c r="J89" s="193">
        <v>600</v>
      </c>
      <c r="K89" s="193">
        <v>600</v>
      </c>
      <c r="L89" s="193">
        <v>600</v>
      </c>
      <c r="M89" s="193">
        <v>600</v>
      </c>
      <c r="N89" s="193">
        <v>600</v>
      </c>
      <c r="O89" s="193">
        <v>600</v>
      </c>
      <c r="P89" s="194">
        <v>600</v>
      </c>
      <c r="Q89" s="197">
        <f>Q86*Q88</f>
        <v>600</v>
      </c>
      <c r="R89" s="197">
        <f t="shared" ref="R89:AH89" si="70">R86*R88</f>
        <v>600</v>
      </c>
      <c r="S89" s="197">
        <f t="shared" si="70"/>
        <v>600</v>
      </c>
      <c r="T89" s="197">
        <f t="shared" si="70"/>
        <v>600</v>
      </c>
      <c r="U89" s="197">
        <f t="shared" si="70"/>
        <v>600</v>
      </c>
      <c r="V89" s="197">
        <f t="shared" si="70"/>
        <v>600</v>
      </c>
      <c r="W89" s="197">
        <f t="shared" si="70"/>
        <v>600</v>
      </c>
      <c r="X89" s="197">
        <f t="shared" si="70"/>
        <v>600</v>
      </c>
      <c r="Y89" s="197">
        <f t="shared" si="70"/>
        <v>600</v>
      </c>
      <c r="Z89" s="197">
        <f t="shared" si="70"/>
        <v>600</v>
      </c>
      <c r="AA89" s="197">
        <f t="shared" si="70"/>
        <v>600</v>
      </c>
      <c r="AB89" s="197">
        <f t="shared" si="70"/>
        <v>600</v>
      </c>
      <c r="AC89" s="197">
        <f t="shared" si="70"/>
        <v>600</v>
      </c>
      <c r="AD89" s="197">
        <f t="shared" si="70"/>
        <v>600</v>
      </c>
      <c r="AE89" s="197">
        <f t="shared" si="70"/>
        <v>600</v>
      </c>
      <c r="AF89" s="197">
        <f t="shared" si="70"/>
        <v>600</v>
      </c>
      <c r="AG89" s="197">
        <f t="shared" si="70"/>
        <v>600</v>
      </c>
      <c r="AH89" s="197">
        <f t="shared" si="70"/>
        <v>600</v>
      </c>
      <c r="AJ89" s="197" cm="1">
        <f t="array" aca="1" ref="AJ89" ca="1">INDEX($E89:$AH89,1,MATCH(AJ$3&amp;AJ$4&amp;AJ$5&amp;AJ$6,$E$3:$AH$3&amp;$E$4:$AH$4&amp;$E$5:$AH$5&amp;$E$6:$AH$6,1))</f>
        <v>600</v>
      </c>
      <c r="AK89" s="197" cm="1">
        <f t="array" aca="1" ref="AK89" ca="1">INDEX($E89:$AH89,1,MATCH(AK$3&amp;AK$4&amp;AK$5&amp;AK$6,$E$3:$AH$3&amp;$E$4:$AH$4&amp;$E$5:$AH$5&amp;$E$6:$AH$6,1))</f>
        <v>600</v>
      </c>
      <c r="AL89" s="197" cm="1">
        <f t="array" aca="1" ref="AL89" ca="1">INDEX($E89:$AH89,1,MATCH(AL$3&amp;AL$4&amp;AL$5&amp;AL$6,$E$3:$AH$3&amp;$E$4:$AH$4&amp;$E$5:$AH$5&amp;$E$6:$AH$6,1))</f>
        <v>600</v>
      </c>
      <c r="AM89" s="345" cm="1">
        <f t="array" aca="1" ref="AM89" ca="1">INDEX($E89:$AH89,1,MATCH(AM$3&amp;AM$4&amp;AM$5&amp;AM$6,$E$3:$AH$3&amp;$E$4:$AH$4&amp;$E$5:$AH$5&amp;$E$6:$AH$6,1))</f>
        <v>600</v>
      </c>
      <c r="AN89" s="197" cm="1">
        <f t="array" aca="1" ref="AN89" ca="1">INDEX($E89:$AH89,1,MATCH(AN$3&amp;AN$4&amp;AN$5&amp;AN$6,$E$3:$AH$3&amp;$E$4:$AH$4&amp;$E$5:$AH$5&amp;$E$6:$AH$6,1))</f>
        <v>600</v>
      </c>
      <c r="AO89" s="197" cm="1">
        <f t="array" aca="1" ref="AO89" ca="1">INDEX($E89:$AH89,1,MATCH(AO$3&amp;AO$4&amp;AO$5&amp;AO$6,$E$3:$AH$3&amp;$E$4:$AH$4&amp;$E$5:$AH$5&amp;$E$6:$AH$6,1))</f>
        <v>600</v>
      </c>
      <c r="AP89" s="197" cm="1">
        <f t="array" aca="1" ref="AP89" ca="1">INDEX($E89:$AH89,1,MATCH(AP$3&amp;AP$4&amp;AP$5&amp;AP$6,$E$3:$AH$3&amp;$E$4:$AH$4&amp;$E$5:$AH$5&amp;$E$6:$AH$6,1))</f>
        <v>600</v>
      </c>
      <c r="AQ89" s="197" cm="1">
        <f t="array" aca="1" ref="AQ89" ca="1">INDEX($E89:$AH89,1,MATCH(AQ$3&amp;AQ$4&amp;AQ$5&amp;AQ$6,$E$3:$AH$3&amp;$E$4:$AH$4&amp;$E$5:$AH$5&amp;$E$6:$AH$6,1))</f>
        <v>600</v>
      </c>
      <c r="AR89" s="197" cm="1">
        <f t="array" aca="1" ref="AR89" ca="1">INDEX($E89:$AH89,1,MATCH(AR$3&amp;AR$4&amp;AR$5&amp;AR$6,$E$3:$AH$3&amp;$E$4:$AH$4&amp;$E$5:$AH$5&amp;$E$6:$AH$6,1))</f>
        <v>600</v>
      </c>
      <c r="AS89" s="197" cm="1">
        <f t="array" aca="1" ref="AS89" ca="1">INDEX($E89:$AH89,1,MATCH(AS$3&amp;AS$4&amp;AS$5&amp;AS$6,$E$3:$AH$3&amp;$E$4:$AH$4&amp;$E$5:$AH$5&amp;$E$6:$AH$6,1))</f>
        <v>600</v>
      </c>
      <c r="AU89" s="197">
        <f t="shared" ref="AU89:AW89" ca="1" si="71">INDEX($E89:$AH89,MATCH(AU$5,$E$5:$AH$5,1))</f>
        <v>600</v>
      </c>
      <c r="AV89" s="197">
        <f t="shared" ca="1" si="71"/>
        <v>600</v>
      </c>
      <c r="AW89" s="197">
        <f t="shared" ca="1" si="71"/>
        <v>600</v>
      </c>
    </row>
    <row r="90" spans="2:49" x14ac:dyDescent="0.25">
      <c r="B90" t="s">
        <v>231</v>
      </c>
      <c r="C90" s="11" t="str">
        <f>"Total "&amp;C84&amp;" Headcount"</f>
        <v>Total Search Engine Marketing Headcount</v>
      </c>
      <c r="D90" s="11"/>
      <c r="E90" s="43">
        <f t="shared" ref="E90:AW90" si="72">SUM(E85:E86,E89)</f>
        <v>1050</v>
      </c>
      <c r="F90" s="43">
        <f t="shared" si="72"/>
        <v>1050</v>
      </c>
      <c r="G90" s="43">
        <f t="shared" si="72"/>
        <v>1050</v>
      </c>
      <c r="H90" s="43">
        <f t="shared" si="72"/>
        <v>1050</v>
      </c>
      <c r="I90" s="43">
        <f t="shared" si="72"/>
        <v>1050</v>
      </c>
      <c r="J90" s="43">
        <f t="shared" si="72"/>
        <v>1050</v>
      </c>
      <c r="K90" s="43">
        <f t="shared" si="72"/>
        <v>1050</v>
      </c>
      <c r="L90" s="43">
        <f t="shared" si="72"/>
        <v>1050</v>
      </c>
      <c r="M90" s="43">
        <f t="shared" si="72"/>
        <v>1050</v>
      </c>
      <c r="N90" s="43">
        <f t="shared" si="72"/>
        <v>1050</v>
      </c>
      <c r="O90" s="43">
        <f t="shared" si="72"/>
        <v>1050</v>
      </c>
      <c r="P90" s="44">
        <f t="shared" si="72"/>
        <v>1050</v>
      </c>
      <c r="Q90" s="43">
        <f t="shared" si="72"/>
        <v>1050</v>
      </c>
      <c r="R90" s="43">
        <f t="shared" si="72"/>
        <v>1050</v>
      </c>
      <c r="S90" s="43">
        <f t="shared" si="72"/>
        <v>1050</v>
      </c>
      <c r="T90" s="43">
        <f t="shared" si="72"/>
        <v>1050</v>
      </c>
      <c r="U90" s="43">
        <f t="shared" si="72"/>
        <v>1050</v>
      </c>
      <c r="V90" s="43">
        <f t="shared" si="72"/>
        <v>1050</v>
      </c>
      <c r="W90" s="43">
        <f t="shared" si="72"/>
        <v>1050</v>
      </c>
      <c r="X90" s="43">
        <f t="shared" si="72"/>
        <v>1050</v>
      </c>
      <c r="Y90" s="43">
        <f t="shared" si="72"/>
        <v>1050</v>
      </c>
      <c r="Z90" s="43">
        <f t="shared" si="72"/>
        <v>1050</v>
      </c>
      <c r="AA90" s="43">
        <f t="shared" si="72"/>
        <v>1050</v>
      </c>
      <c r="AB90" s="43">
        <f t="shared" si="72"/>
        <v>1050</v>
      </c>
      <c r="AC90" s="43">
        <f t="shared" si="72"/>
        <v>1050</v>
      </c>
      <c r="AD90" s="43">
        <f t="shared" si="72"/>
        <v>1050</v>
      </c>
      <c r="AE90" s="43">
        <f t="shared" si="72"/>
        <v>1050</v>
      </c>
      <c r="AF90" s="43">
        <f t="shared" si="72"/>
        <v>1050</v>
      </c>
      <c r="AG90" s="43">
        <f t="shared" si="72"/>
        <v>1050</v>
      </c>
      <c r="AH90" s="43">
        <f t="shared" si="72"/>
        <v>1050</v>
      </c>
      <c r="AJ90" s="43">
        <f t="shared" ca="1" si="72"/>
        <v>1050</v>
      </c>
      <c r="AK90" s="43">
        <f t="shared" ca="1" si="72"/>
        <v>1050</v>
      </c>
      <c r="AL90" s="43">
        <f t="shared" ca="1" si="72"/>
        <v>1050</v>
      </c>
      <c r="AM90" s="44">
        <f t="shared" ca="1" si="72"/>
        <v>1050</v>
      </c>
      <c r="AN90" s="43">
        <f t="shared" ca="1" si="72"/>
        <v>1050</v>
      </c>
      <c r="AO90" s="43">
        <f t="shared" ca="1" si="72"/>
        <v>1050</v>
      </c>
      <c r="AP90" s="43">
        <f t="shared" ca="1" si="72"/>
        <v>1050</v>
      </c>
      <c r="AQ90" s="43">
        <f t="shared" ca="1" si="72"/>
        <v>1050</v>
      </c>
      <c r="AR90" s="43">
        <f t="shared" ca="1" si="72"/>
        <v>1050</v>
      </c>
      <c r="AS90" s="43">
        <f t="shared" ca="1" si="72"/>
        <v>1050</v>
      </c>
      <c r="AU90" s="43">
        <f t="shared" ca="1" si="72"/>
        <v>1050</v>
      </c>
      <c r="AV90" s="43">
        <f t="shared" ca="1" si="72"/>
        <v>1050</v>
      </c>
      <c r="AW90" s="43">
        <f t="shared" ca="1" si="72"/>
        <v>1050</v>
      </c>
    </row>
    <row r="91" spans="2:49" x14ac:dyDescent="0.25">
      <c r="C91" s="11"/>
      <c r="D91" s="11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4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J91" s="43"/>
      <c r="AK91" s="43"/>
      <c r="AL91" s="43"/>
      <c r="AM91" s="44"/>
      <c r="AN91" s="43"/>
      <c r="AO91" s="43"/>
      <c r="AP91" s="43"/>
      <c r="AQ91" s="43"/>
      <c r="AR91" s="43"/>
      <c r="AS91" s="43"/>
      <c r="AU91" s="43"/>
      <c r="AV91" s="43"/>
      <c r="AW91" s="43"/>
    </row>
    <row r="92" spans="2:49" x14ac:dyDescent="0.25">
      <c r="C92" s="203" t="s">
        <v>335</v>
      </c>
      <c r="D92" s="11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4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J92" s="43"/>
      <c r="AK92" s="43"/>
      <c r="AL92" s="43"/>
      <c r="AM92" s="44"/>
      <c r="AN92" s="43"/>
      <c r="AO92" s="43"/>
      <c r="AP92" s="43"/>
      <c r="AQ92" s="43"/>
      <c r="AR92" s="43"/>
      <c r="AS92" s="43"/>
      <c r="AU92" s="43"/>
      <c r="AV92" s="43"/>
      <c r="AW92" s="43"/>
    </row>
    <row r="93" spans="2:49" x14ac:dyDescent="0.25">
      <c r="C93" s="1" t="s">
        <v>342</v>
      </c>
      <c r="D93" s="11"/>
      <c r="E93" s="191">
        <v>1000</v>
      </c>
      <c r="F93" s="191">
        <v>1000</v>
      </c>
      <c r="G93" s="191">
        <v>1000</v>
      </c>
      <c r="H93" s="191">
        <v>1000</v>
      </c>
      <c r="I93" s="191">
        <v>1000</v>
      </c>
      <c r="J93" s="191">
        <v>1000</v>
      </c>
      <c r="K93" s="191">
        <v>1000</v>
      </c>
      <c r="L93" s="191">
        <v>1000</v>
      </c>
      <c r="M93" s="191">
        <v>1000</v>
      </c>
      <c r="N93" s="191">
        <v>1000</v>
      </c>
      <c r="O93" s="191">
        <v>1000</v>
      </c>
      <c r="P93" s="192">
        <v>1000</v>
      </c>
      <c r="Q93" s="191">
        <v>1200</v>
      </c>
      <c r="R93" s="191">
        <f>Q93</f>
        <v>1200</v>
      </c>
      <c r="S93" s="191">
        <f t="shared" ref="S93:AH93" si="73">R93</f>
        <v>1200</v>
      </c>
      <c r="T93" s="222">
        <v>1300</v>
      </c>
      <c r="U93" s="191">
        <f t="shared" si="73"/>
        <v>1300</v>
      </c>
      <c r="V93" s="191">
        <f t="shared" si="73"/>
        <v>1300</v>
      </c>
      <c r="W93" s="191">
        <f t="shared" si="73"/>
        <v>1300</v>
      </c>
      <c r="X93" s="191">
        <f t="shared" si="73"/>
        <v>1300</v>
      </c>
      <c r="Y93" s="191">
        <f t="shared" si="73"/>
        <v>1300</v>
      </c>
      <c r="Z93" s="191">
        <f t="shared" si="73"/>
        <v>1300</v>
      </c>
      <c r="AA93" s="191">
        <f t="shared" si="73"/>
        <v>1300</v>
      </c>
      <c r="AB93" s="191">
        <f t="shared" si="73"/>
        <v>1300</v>
      </c>
      <c r="AC93" s="191">
        <f t="shared" si="73"/>
        <v>1300</v>
      </c>
      <c r="AD93" s="191">
        <f t="shared" si="73"/>
        <v>1300</v>
      </c>
      <c r="AE93" s="191">
        <f t="shared" si="73"/>
        <v>1300</v>
      </c>
      <c r="AF93" s="191">
        <f t="shared" si="73"/>
        <v>1300</v>
      </c>
      <c r="AG93" s="191">
        <f t="shared" si="73"/>
        <v>1300</v>
      </c>
      <c r="AH93" s="191">
        <f t="shared" si="73"/>
        <v>1300</v>
      </c>
      <c r="AJ93" s="341" cm="1">
        <f t="array" aca="1" ref="AJ93" ca="1">INDEX($E93:$AH93,1,MATCH(AJ$3&amp;AJ$4&amp;AJ$5&amp;AJ$6,$E$3:$AH$3&amp;$E$4:$AH$4&amp;$E$5:$AH$5&amp;$E$6:$AH$6,1))</f>
        <v>1000</v>
      </c>
      <c r="AK93" s="341" cm="1">
        <f t="array" aca="1" ref="AK93" ca="1">INDEX($E93:$AH93,1,MATCH(AK$3&amp;AK$4&amp;AK$5&amp;AK$6,$E$3:$AH$3&amp;$E$4:$AH$4&amp;$E$5:$AH$5&amp;$E$6:$AH$6,1))</f>
        <v>1000</v>
      </c>
      <c r="AL93" s="341" cm="1">
        <f t="array" aca="1" ref="AL93" ca="1">INDEX($E93:$AH93,1,MATCH(AL$3&amp;AL$4&amp;AL$5&amp;AL$6,$E$3:$AH$3&amp;$E$4:$AH$4&amp;$E$5:$AH$5&amp;$E$6:$AH$6,1))</f>
        <v>1000</v>
      </c>
      <c r="AM93" s="343" cm="1">
        <f t="array" aca="1" ref="AM93" ca="1">INDEX($E93:$AH93,1,MATCH(AM$3&amp;AM$4&amp;AM$5&amp;AM$6,$E$3:$AH$3&amp;$E$4:$AH$4&amp;$E$5:$AH$5&amp;$E$6:$AH$6,1))</f>
        <v>1000</v>
      </c>
      <c r="AN93" s="341" cm="1">
        <f t="array" aca="1" ref="AN93" ca="1">INDEX($E93:$AH93,1,MATCH(AN$3&amp;AN$4&amp;AN$5&amp;AN$6,$E$3:$AH$3&amp;$E$4:$AH$4&amp;$E$5:$AH$5&amp;$E$6:$AH$6,1))</f>
        <v>1200</v>
      </c>
      <c r="AO93" s="341" cm="1">
        <f t="array" aca="1" ref="AO93" ca="1">INDEX($E93:$AH93,1,MATCH(AO$3&amp;AO$4&amp;AO$5&amp;AO$6,$E$3:$AH$3&amp;$E$4:$AH$4&amp;$E$5:$AH$5&amp;$E$6:$AH$6,1))</f>
        <v>1300</v>
      </c>
      <c r="AP93" s="341" cm="1">
        <f t="array" aca="1" ref="AP93" ca="1">INDEX($E93:$AH93,1,MATCH(AP$3&amp;AP$4&amp;AP$5&amp;AP$6,$E$3:$AH$3&amp;$E$4:$AH$4&amp;$E$5:$AH$5&amp;$E$6:$AH$6,1))</f>
        <v>1300</v>
      </c>
      <c r="AQ93" s="341" cm="1">
        <f t="array" aca="1" ref="AQ93" ca="1">INDEX($E93:$AH93,1,MATCH(AQ$3&amp;AQ$4&amp;AQ$5&amp;AQ$6,$E$3:$AH$3&amp;$E$4:$AH$4&amp;$E$5:$AH$5&amp;$E$6:$AH$6,1))</f>
        <v>1300</v>
      </c>
      <c r="AR93" s="341" cm="1">
        <f t="array" aca="1" ref="AR93" ca="1">INDEX($E93:$AH93,1,MATCH(AR$3&amp;AR$4&amp;AR$5&amp;AR$6,$E$3:$AH$3&amp;$E$4:$AH$4&amp;$E$5:$AH$5&amp;$E$6:$AH$6,1))</f>
        <v>1300</v>
      </c>
      <c r="AS93" s="341" cm="1">
        <f t="array" aca="1" ref="AS93" ca="1">INDEX($E93:$AH93,1,MATCH(AS$3&amp;AS$4&amp;AS$5&amp;AS$6,$E$3:$AH$3&amp;$E$4:$AH$4&amp;$E$5:$AH$5&amp;$E$6:$AH$6,1))</f>
        <v>1300</v>
      </c>
      <c r="AU93" s="341">
        <f t="shared" ref="AU93:AW93" ca="1" si="74">INDEX($E93:$AH93,MATCH(AU$5,$E$5:$AH$5,1))</f>
        <v>1000</v>
      </c>
      <c r="AV93" s="341">
        <f t="shared" ca="1" si="74"/>
        <v>1300</v>
      </c>
      <c r="AW93" s="341">
        <f t="shared" ca="1" si="74"/>
        <v>1300</v>
      </c>
    </row>
    <row r="94" spans="2:49" x14ac:dyDescent="0.25">
      <c r="C94" s="23" t="s">
        <v>343</v>
      </c>
      <c r="D94" s="139"/>
      <c r="E94" s="216">
        <f t="shared" ref="E94:O94" si="75">E93/E95</f>
        <v>2</v>
      </c>
      <c r="F94" s="216">
        <f t="shared" si="75"/>
        <v>2</v>
      </c>
      <c r="G94" s="216">
        <f t="shared" si="75"/>
        <v>2</v>
      </c>
      <c r="H94" s="216">
        <f t="shared" si="75"/>
        <v>2</v>
      </c>
      <c r="I94" s="216">
        <f t="shared" si="75"/>
        <v>2</v>
      </c>
      <c r="J94" s="216">
        <f t="shared" si="75"/>
        <v>2</v>
      </c>
      <c r="K94" s="216">
        <f t="shared" si="75"/>
        <v>2</v>
      </c>
      <c r="L94" s="216">
        <f t="shared" si="75"/>
        <v>2</v>
      </c>
      <c r="M94" s="216">
        <f t="shared" si="75"/>
        <v>2</v>
      </c>
      <c r="N94" s="216">
        <f t="shared" si="75"/>
        <v>2</v>
      </c>
      <c r="O94" s="216">
        <f t="shared" si="75"/>
        <v>2</v>
      </c>
      <c r="P94" s="217">
        <f t="shared" ref="P94" si="76">P93/P95</f>
        <v>2</v>
      </c>
      <c r="Q94" s="215">
        <f>P94</f>
        <v>2</v>
      </c>
      <c r="R94" s="215">
        <f t="shared" ref="R94:AH94" si="77">Q94</f>
        <v>2</v>
      </c>
      <c r="S94" s="215">
        <f t="shared" si="77"/>
        <v>2</v>
      </c>
      <c r="T94" s="215">
        <f t="shared" si="77"/>
        <v>2</v>
      </c>
      <c r="U94" s="215">
        <f t="shared" si="77"/>
        <v>2</v>
      </c>
      <c r="V94" s="215">
        <f t="shared" si="77"/>
        <v>2</v>
      </c>
      <c r="W94" s="215">
        <f t="shared" si="77"/>
        <v>2</v>
      </c>
      <c r="X94" s="215">
        <f t="shared" si="77"/>
        <v>2</v>
      </c>
      <c r="Y94" s="215">
        <f t="shared" si="77"/>
        <v>2</v>
      </c>
      <c r="Z94" s="215">
        <f t="shared" si="77"/>
        <v>2</v>
      </c>
      <c r="AA94" s="215">
        <f t="shared" si="77"/>
        <v>2</v>
      </c>
      <c r="AB94" s="215">
        <f t="shared" si="77"/>
        <v>2</v>
      </c>
      <c r="AC94" s="215">
        <f t="shared" si="77"/>
        <v>2</v>
      </c>
      <c r="AD94" s="215">
        <f t="shared" si="77"/>
        <v>2</v>
      </c>
      <c r="AE94" s="215">
        <f t="shared" si="77"/>
        <v>2</v>
      </c>
      <c r="AF94" s="215">
        <f t="shared" si="77"/>
        <v>2</v>
      </c>
      <c r="AG94" s="215">
        <f t="shared" si="77"/>
        <v>2</v>
      </c>
      <c r="AH94" s="215">
        <f t="shared" si="77"/>
        <v>2</v>
      </c>
      <c r="AJ94" s="347">
        <f t="shared" ref="AJ94:AW94" ca="1" si="78">AJ93/AJ95</f>
        <v>2</v>
      </c>
      <c r="AK94" s="347">
        <f t="shared" ca="1" si="78"/>
        <v>2</v>
      </c>
      <c r="AL94" s="347">
        <f t="shared" ca="1" si="78"/>
        <v>2</v>
      </c>
      <c r="AM94" s="348">
        <f t="shared" ca="1" si="78"/>
        <v>2</v>
      </c>
      <c r="AN94" s="347">
        <f t="shared" ca="1" si="78"/>
        <v>2</v>
      </c>
      <c r="AO94" s="347">
        <f t="shared" ca="1" si="78"/>
        <v>2</v>
      </c>
      <c r="AP94" s="347">
        <f t="shared" ca="1" si="78"/>
        <v>2</v>
      </c>
      <c r="AQ94" s="347">
        <f t="shared" ca="1" si="78"/>
        <v>2</v>
      </c>
      <c r="AR94" s="347">
        <f t="shared" ca="1" si="78"/>
        <v>2</v>
      </c>
      <c r="AS94" s="347">
        <f t="shared" ca="1" si="78"/>
        <v>2</v>
      </c>
      <c r="AU94" s="347">
        <f t="shared" ca="1" si="78"/>
        <v>2</v>
      </c>
      <c r="AV94" s="347">
        <f t="shared" ca="1" si="78"/>
        <v>2</v>
      </c>
      <c r="AW94" s="347">
        <f t="shared" ca="1" si="78"/>
        <v>2</v>
      </c>
    </row>
    <row r="95" spans="2:49" x14ac:dyDescent="0.25">
      <c r="B95" t="s">
        <v>231</v>
      </c>
      <c r="C95" s="11" t="str">
        <f>"Total "&amp;C92&amp;" Headcount"</f>
        <v>Total Partner Marketing Headcount</v>
      </c>
      <c r="E95" s="65">
        <v>500</v>
      </c>
      <c r="F95" s="65">
        <v>500</v>
      </c>
      <c r="G95" s="65">
        <v>500</v>
      </c>
      <c r="H95" s="65">
        <v>500</v>
      </c>
      <c r="I95" s="65">
        <v>500</v>
      </c>
      <c r="J95" s="65">
        <v>500</v>
      </c>
      <c r="K95" s="65">
        <v>500</v>
      </c>
      <c r="L95" s="65">
        <v>500</v>
      </c>
      <c r="M95" s="65">
        <v>500</v>
      </c>
      <c r="N95" s="65">
        <v>500</v>
      </c>
      <c r="O95" s="65">
        <v>500</v>
      </c>
      <c r="P95" s="67">
        <v>500</v>
      </c>
      <c r="Q95" s="83">
        <f>Q93/Q94</f>
        <v>600</v>
      </c>
      <c r="R95" s="83">
        <f t="shared" ref="R95:AH95" si="79">R93/R94</f>
        <v>600</v>
      </c>
      <c r="S95" s="83">
        <f t="shared" si="79"/>
        <v>600</v>
      </c>
      <c r="T95" s="83">
        <f t="shared" si="79"/>
        <v>650</v>
      </c>
      <c r="U95" s="83">
        <f t="shared" si="79"/>
        <v>650</v>
      </c>
      <c r="V95" s="83">
        <f t="shared" si="79"/>
        <v>650</v>
      </c>
      <c r="W95" s="83">
        <f t="shared" si="79"/>
        <v>650</v>
      </c>
      <c r="X95" s="83">
        <f t="shared" si="79"/>
        <v>650</v>
      </c>
      <c r="Y95" s="83">
        <f t="shared" si="79"/>
        <v>650</v>
      </c>
      <c r="Z95" s="83">
        <f t="shared" si="79"/>
        <v>650</v>
      </c>
      <c r="AA95" s="83">
        <f t="shared" si="79"/>
        <v>650</v>
      </c>
      <c r="AB95" s="83">
        <f t="shared" si="79"/>
        <v>650</v>
      </c>
      <c r="AC95" s="83">
        <f t="shared" si="79"/>
        <v>650</v>
      </c>
      <c r="AD95" s="83">
        <f t="shared" si="79"/>
        <v>650</v>
      </c>
      <c r="AE95" s="83">
        <f t="shared" si="79"/>
        <v>650</v>
      </c>
      <c r="AF95" s="83">
        <f t="shared" si="79"/>
        <v>650</v>
      </c>
      <c r="AG95" s="83">
        <f t="shared" si="79"/>
        <v>650</v>
      </c>
      <c r="AH95" s="83">
        <f t="shared" si="79"/>
        <v>650</v>
      </c>
      <c r="AJ95" s="83" cm="1">
        <f t="array" aca="1" ref="AJ95" ca="1">INDEX($E95:$AH95,1,MATCH(AJ$3&amp;AJ$4&amp;AJ$5&amp;AJ$6,$E$3:$AH$3&amp;$E$4:$AH$4&amp;$E$5:$AH$5&amp;$E$6:$AH$6,1))</f>
        <v>500</v>
      </c>
      <c r="AK95" s="83" cm="1">
        <f t="array" aca="1" ref="AK95" ca="1">INDEX($E95:$AH95,1,MATCH(AK$3&amp;AK$4&amp;AK$5&amp;AK$6,$E$3:$AH$3&amp;$E$4:$AH$4&amp;$E$5:$AH$5&amp;$E$6:$AH$6,1))</f>
        <v>500</v>
      </c>
      <c r="AL95" s="83" cm="1">
        <f t="array" aca="1" ref="AL95" ca="1">INDEX($E95:$AH95,1,MATCH(AL$3&amp;AL$4&amp;AL$5&amp;AL$6,$E$3:$AH$3&amp;$E$4:$AH$4&amp;$E$5:$AH$5&amp;$E$6:$AH$6,1))</f>
        <v>500</v>
      </c>
      <c r="AM95" s="158" cm="1">
        <f t="array" aca="1" ref="AM95" ca="1">INDEX($E95:$AH95,1,MATCH(AM$3&amp;AM$4&amp;AM$5&amp;AM$6,$E$3:$AH$3&amp;$E$4:$AH$4&amp;$E$5:$AH$5&amp;$E$6:$AH$6,1))</f>
        <v>500</v>
      </c>
      <c r="AN95" s="83" cm="1">
        <f t="array" aca="1" ref="AN95" ca="1">INDEX($E95:$AH95,1,MATCH(AN$3&amp;AN$4&amp;AN$5&amp;AN$6,$E$3:$AH$3&amp;$E$4:$AH$4&amp;$E$5:$AH$5&amp;$E$6:$AH$6,1))</f>
        <v>600</v>
      </c>
      <c r="AO95" s="83" cm="1">
        <f t="array" aca="1" ref="AO95" ca="1">INDEX($E95:$AH95,1,MATCH(AO$3&amp;AO$4&amp;AO$5&amp;AO$6,$E$3:$AH$3&amp;$E$4:$AH$4&amp;$E$5:$AH$5&amp;$E$6:$AH$6,1))</f>
        <v>650</v>
      </c>
      <c r="AP95" s="83" cm="1">
        <f t="array" aca="1" ref="AP95" ca="1">INDEX($E95:$AH95,1,MATCH(AP$3&amp;AP$4&amp;AP$5&amp;AP$6,$E$3:$AH$3&amp;$E$4:$AH$4&amp;$E$5:$AH$5&amp;$E$6:$AH$6,1))</f>
        <v>650</v>
      </c>
      <c r="AQ95" s="83" cm="1">
        <f t="array" aca="1" ref="AQ95" ca="1">INDEX($E95:$AH95,1,MATCH(AQ$3&amp;AQ$4&amp;AQ$5&amp;AQ$6,$E$3:$AH$3&amp;$E$4:$AH$4&amp;$E$5:$AH$5&amp;$E$6:$AH$6,1))</f>
        <v>650</v>
      </c>
      <c r="AR95" s="83" cm="1">
        <f t="array" aca="1" ref="AR95" ca="1">INDEX($E95:$AH95,1,MATCH(AR$3&amp;AR$4&amp;AR$5&amp;AR$6,$E$3:$AH$3&amp;$E$4:$AH$4&amp;$E$5:$AH$5&amp;$E$6:$AH$6,1))</f>
        <v>650</v>
      </c>
      <c r="AS95" s="83" cm="1">
        <f t="array" aca="1" ref="AS95" ca="1">INDEX($E95:$AH95,1,MATCH(AS$3&amp;AS$4&amp;AS$5&amp;AS$6,$E$3:$AH$3&amp;$E$4:$AH$4&amp;$E$5:$AH$5&amp;$E$6:$AH$6,1))</f>
        <v>650</v>
      </c>
      <c r="AU95" s="83">
        <f t="shared" ref="AU95:AW95" ca="1" si="80">INDEX($E95:$AH95,MATCH(AU$5,$E$5:$AH$5,1))</f>
        <v>500</v>
      </c>
      <c r="AV95" s="83">
        <f t="shared" ca="1" si="80"/>
        <v>650</v>
      </c>
      <c r="AW95" s="83">
        <f t="shared" ca="1" si="80"/>
        <v>650</v>
      </c>
    </row>
    <row r="96" spans="2:49" x14ac:dyDescent="0.25"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8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J96" s="27"/>
      <c r="AK96" s="27"/>
      <c r="AL96" s="27"/>
      <c r="AM96" s="28"/>
      <c r="AN96" s="27"/>
      <c r="AO96" s="27"/>
      <c r="AP96" s="27"/>
      <c r="AQ96" s="27"/>
      <c r="AR96" s="27"/>
      <c r="AS96" s="27"/>
      <c r="AU96" s="27"/>
      <c r="AV96" s="27"/>
      <c r="AW96" s="27"/>
    </row>
    <row r="97" spans="1:49" x14ac:dyDescent="0.25">
      <c r="B97" t="s">
        <v>231</v>
      </c>
      <c r="C97" s="30" t="str">
        <f>"Total "&amp;MID(C78,1,LEN(C78)-LEN(" Department"))&amp;" Headcount"</f>
        <v>Total Marketing Headcount</v>
      </c>
      <c r="D97" s="30"/>
      <c r="E97" s="200">
        <f t="shared" ref="E97:AH97" si="81">E82+E90+E95</f>
        <v>1850</v>
      </c>
      <c r="F97" s="200">
        <f t="shared" si="81"/>
        <v>1850</v>
      </c>
      <c r="G97" s="200">
        <f t="shared" si="81"/>
        <v>1850</v>
      </c>
      <c r="H97" s="200">
        <f t="shared" si="81"/>
        <v>1850</v>
      </c>
      <c r="I97" s="200">
        <f t="shared" si="81"/>
        <v>1850</v>
      </c>
      <c r="J97" s="200">
        <f t="shared" si="81"/>
        <v>1850</v>
      </c>
      <c r="K97" s="200">
        <f t="shared" si="81"/>
        <v>1850</v>
      </c>
      <c r="L97" s="200">
        <f t="shared" si="81"/>
        <v>1850</v>
      </c>
      <c r="M97" s="200">
        <f t="shared" si="81"/>
        <v>1850</v>
      </c>
      <c r="N97" s="200">
        <f t="shared" si="81"/>
        <v>1850</v>
      </c>
      <c r="O97" s="200">
        <f t="shared" si="81"/>
        <v>1850</v>
      </c>
      <c r="P97" s="201">
        <f t="shared" si="81"/>
        <v>1850</v>
      </c>
      <c r="Q97" s="202">
        <f t="shared" si="81"/>
        <v>2000</v>
      </c>
      <c r="R97" s="202">
        <f t="shared" si="81"/>
        <v>2000</v>
      </c>
      <c r="S97" s="202">
        <f t="shared" si="81"/>
        <v>2100</v>
      </c>
      <c r="T97" s="202">
        <f t="shared" si="81"/>
        <v>2150</v>
      </c>
      <c r="U97" s="202">
        <f t="shared" si="81"/>
        <v>2050</v>
      </c>
      <c r="V97" s="202">
        <f t="shared" si="81"/>
        <v>2050</v>
      </c>
      <c r="W97" s="202">
        <f t="shared" si="81"/>
        <v>2050</v>
      </c>
      <c r="X97" s="202">
        <f t="shared" si="81"/>
        <v>2050</v>
      </c>
      <c r="Y97" s="202">
        <f t="shared" si="81"/>
        <v>2050</v>
      </c>
      <c r="Z97" s="202">
        <f t="shared" si="81"/>
        <v>2050</v>
      </c>
      <c r="AA97" s="202">
        <f t="shared" si="81"/>
        <v>2050</v>
      </c>
      <c r="AB97" s="202">
        <f t="shared" si="81"/>
        <v>2050</v>
      </c>
      <c r="AC97" s="202">
        <f t="shared" si="81"/>
        <v>2050</v>
      </c>
      <c r="AD97" s="202">
        <f t="shared" si="81"/>
        <v>2050</v>
      </c>
      <c r="AE97" s="202">
        <f t="shared" si="81"/>
        <v>2050</v>
      </c>
      <c r="AF97" s="202">
        <f t="shared" si="81"/>
        <v>2050</v>
      </c>
      <c r="AG97" s="202">
        <f t="shared" si="81"/>
        <v>2050</v>
      </c>
      <c r="AH97" s="202">
        <f t="shared" si="81"/>
        <v>2050</v>
      </c>
      <c r="AJ97" s="202">
        <f t="shared" ref="AJ97:AW97" ca="1" si="82">AJ82+AJ90+AJ95</f>
        <v>1850</v>
      </c>
      <c r="AK97" s="202">
        <f t="shared" ca="1" si="82"/>
        <v>1850</v>
      </c>
      <c r="AL97" s="202">
        <f t="shared" ca="1" si="82"/>
        <v>1850</v>
      </c>
      <c r="AM97" s="346">
        <f t="shared" ca="1" si="82"/>
        <v>1850</v>
      </c>
      <c r="AN97" s="202">
        <f t="shared" ca="1" si="82"/>
        <v>2100</v>
      </c>
      <c r="AO97" s="202">
        <f t="shared" ca="1" si="82"/>
        <v>2050</v>
      </c>
      <c r="AP97" s="202">
        <f t="shared" ca="1" si="82"/>
        <v>2050</v>
      </c>
      <c r="AQ97" s="202">
        <f t="shared" ca="1" si="82"/>
        <v>2050</v>
      </c>
      <c r="AR97" s="202">
        <f t="shared" ca="1" si="82"/>
        <v>2050</v>
      </c>
      <c r="AS97" s="202">
        <f t="shared" ca="1" si="82"/>
        <v>2050</v>
      </c>
      <c r="AU97" s="202">
        <f t="shared" ca="1" si="82"/>
        <v>1850</v>
      </c>
      <c r="AV97" s="202">
        <f t="shared" ca="1" si="82"/>
        <v>2050</v>
      </c>
      <c r="AW97" s="202">
        <f t="shared" ca="1" si="82"/>
        <v>2050</v>
      </c>
    </row>
    <row r="98" spans="1:49" x14ac:dyDescent="0.25">
      <c r="P98" s="8"/>
      <c r="AM98" s="8"/>
    </row>
    <row r="99" spans="1:49" ht="15.75" thickBot="1" x14ac:dyDescent="0.3">
      <c r="B99" t="s">
        <v>231</v>
      </c>
      <c r="C99" s="53" t="str">
        <f>"Total "&amp;C66</f>
        <v>Total Sales &amp; Marketing Headcount</v>
      </c>
      <c r="D99" s="105"/>
      <c r="E99" s="204">
        <f>E71+E76+E97</f>
        <v>8850</v>
      </c>
      <c r="F99" s="204">
        <f t="shared" ref="F99:AH99" si="83">F71+F76+F97</f>
        <v>8850</v>
      </c>
      <c r="G99" s="204">
        <f t="shared" si="83"/>
        <v>8850</v>
      </c>
      <c r="H99" s="204">
        <f t="shared" si="83"/>
        <v>8850</v>
      </c>
      <c r="I99" s="204">
        <f t="shared" si="83"/>
        <v>8850</v>
      </c>
      <c r="J99" s="204">
        <f t="shared" si="83"/>
        <v>8850</v>
      </c>
      <c r="K99" s="204">
        <f t="shared" si="83"/>
        <v>8850</v>
      </c>
      <c r="L99" s="204">
        <f t="shared" si="83"/>
        <v>8850</v>
      </c>
      <c r="M99" s="204">
        <f t="shared" si="83"/>
        <v>8850</v>
      </c>
      <c r="N99" s="204">
        <f t="shared" si="83"/>
        <v>8850</v>
      </c>
      <c r="O99" s="204">
        <f t="shared" si="83"/>
        <v>8850</v>
      </c>
      <c r="P99" s="205">
        <f t="shared" si="83"/>
        <v>8850</v>
      </c>
      <c r="Q99" s="204">
        <f t="shared" si="83"/>
        <v>9350</v>
      </c>
      <c r="R99" s="204">
        <f t="shared" si="83"/>
        <v>9350</v>
      </c>
      <c r="S99" s="204">
        <f t="shared" si="83"/>
        <v>9800</v>
      </c>
      <c r="T99" s="204">
        <f t="shared" si="83"/>
        <v>9850</v>
      </c>
      <c r="U99" s="204">
        <f t="shared" si="83"/>
        <v>9750</v>
      </c>
      <c r="V99" s="204">
        <f t="shared" si="83"/>
        <v>9750</v>
      </c>
      <c r="W99" s="204">
        <f t="shared" si="83"/>
        <v>9750</v>
      </c>
      <c r="X99" s="204">
        <f t="shared" si="83"/>
        <v>9750</v>
      </c>
      <c r="Y99" s="204">
        <f t="shared" si="83"/>
        <v>9750</v>
      </c>
      <c r="Z99" s="204">
        <f t="shared" si="83"/>
        <v>9750</v>
      </c>
      <c r="AA99" s="204">
        <f t="shared" si="83"/>
        <v>9750</v>
      </c>
      <c r="AB99" s="204">
        <f t="shared" si="83"/>
        <v>9750</v>
      </c>
      <c r="AC99" s="204">
        <f t="shared" si="83"/>
        <v>9750</v>
      </c>
      <c r="AD99" s="204">
        <f t="shared" si="83"/>
        <v>9750</v>
      </c>
      <c r="AE99" s="204">
        <f t="shared" si="83"/>
        <v>9750</v>
      </c>
      <c r="AF99" s="204">
        <f t="shared" si="83"/>
        <v>9750</v>
      </c>
      <c r="AG99" s="204">
        <f t="shared" si="83"/>
        <v>9750</v>
      </c>
      <c r="AH99" s="204">
        <f t="shared" si="83"/>
        <v>9750</v>
      </c>
      <c r="AJ99" s="204">
        <f t="shared" ref="AJ99:AW99" ca="1" si="84">AJ71+AJ76+AJ97</f>
        <v>8850</v>
      </c>
      <c r="AK99" s="204">
        <f t="shared" ca="1" si="84"/>
        <v>8850</v>
      </c>
      <c r="AL99" s="204">
        <f t="shared" ca="1" si="84"/>
        <v>8850</v>
      </c>
      <c r="AM99" s="205">
        <f t="shared" ca="1" si="84"/>
        <v>8850</v>
      </c>
      <c r="AN99" s="204">
        <f t="shared" ca="1" si="84"/>
        <v>9800</v>
      </c>
      <c r="AO99" s="204">
        <f t="shared" ca="1" si="84"/>
        <v>9750</v>
      </c>
      <c r="AP99" s="204">
        <f t="shared" ca="1" si="84"/>
        <v>9750</v>
      </c>
      <c r="AQ99" s="204">
        <f t="shared" ca="1" si="84"/>
        <v>9750</v>
      </c>
      <c r="AR99" s="204">
        <f t="shared" ca="1" si="84"/>
        <v>9750</v>
      </c>
      <c r="AS99" s="204">
        <f t="shared" ca="1" si="84"/>
        <v>9750</v>
      </c>
      <c r="AU99" s="204">
        <f t="shared" ca="1" si="84"/>
        <v>8850</v>
      </c>
      <c r="AV99" s="204">
        <f t="shared" ca="1" si="84"/>
        <v>9750</v>
      </c>
      <c r="AW99" s="204">
        <f t="shared" ca="1" si="84"/>
        <v>9750</v>
      </c>
    </row>
    <row r="100" spans="1:49" ht="15.75" thickTop="1" x14ac:dyDescent="0.25"/>
    <row r="101" spans="1:49" ht="18.75" x14ac:dyDescent="0.3">
      <c r="A101" t="s">
        <v>231</v>
      </c>
      <c r="B101" t="s">
        <v>231</v>
      </c>
      <c r="C101" s="182" t="s">
        <v>304</v>
      </c>
      <c r="D101" s="179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  <c r="AQ101" s="180"/>
      <c r="AR101" s="180"/>
      <c r="AS101" s="180"/>
      <c r="AT101" s="180"/>
      <c r="AU101" s="180"/>
      <c r="AV101" s="180"/>
      <c r="AW101" s="180"/>
    </row>
    <row r="102" spans="1:49" x14ac:dyDescent="0.25">
      <c r="C102" s="11"/>
      <c r="D102" s="11"/>
      <c r="E102">
        <v>2</v>
      </c>
    </row>
    <row r="103" spans="1:49" x14ac:dyDescent="0.25">
      <c r="C103" s="30" t="s">
        <v>322</v>
      </c>
      <c r="D103" s="30"/>
      <c r="E103" s="45" t="str">
        <f t="shared" ref="E103:AH103" si="85">E$9</f>
        <v>Jul-20A</v>
      </c>
      <c r="F103" s="45" t="str">
        <f t="shared" si="85"/>
        <v>Aug-20A</v>
      </c>
      <c r="G103" s="45" t="str">
        <f t="shared" si="85"/>
        <v>Sep-20A</v>
      </c>
      <c r="H103" s="45" t="str">
        <f t="shared" si="85"/>
        <v>Oct-20A</v>
      </c>
      <c r="I103" s="45" t="str">
        <f t="shared" si="85"/>
        <v>Nov-20A</v>
      </c>
      <c r="J103" s="45" t="str">
        <f t="shared" si="85"/>
        <v>Dec-20A</v>
      </c>
      <c r="K103" s="45" t="str">
        <f t="shared" si="85"/>
        <v>Jan-21A</v>
      </c>
      <c r="L103" s="45" t="str">
        <f t="shared" si="85"/>
        <v>Feb-21A</v>
      </c>
      <c r="M103" s="45" t="str">
        <f t="shared" si="85"/>
        <v>Mar-21A</v>
      </c>
      <c r="N103" s="45" t="str">
        <f t="shared" si="85"/>
        <v>Apr-21A</v>
      </c>
      <c r="O103" s="45" t="str">
        <f t="shared" si="85"/>
        <v>May-21A</v>
      </c>
      <c r="P103" s="46" t="str">
        <f t="shared" si="85"/>
        <v>Jun-21A</v>
      </c>
      <c r="Q103" s="45" t="str">
        <f t="shared" si="85"/>
        <v>Jul-21F</v>
      </c>
      <c r="R103" s="45" t="str">
        <f t="shared" si="85"/>
        <v>Aug-21F</v>
      </c>
      <c r="S103" s="45" t="str">
        <f t="shared" si="85"/>
        <v>Sep-21F</v>
      </c>
      <c r="T103" s="45" t="str">
        <f t="shared" si="85"/>
        <v>Oct-21F</v>
      </c>
      <c r="U103" s="45" t="str">
        <f t="shared" si="85"/>
        <v>Nov-21F</v>
      </c>
      <c r="V103" s="45" t="str">
        <f t="shared" si="85"/>
        <v>Dec-21F</v>
      </c>
      <c r="W103" s="45" t="str">
        <f t="shared" si="85"/>
        <v>Jan-22F</v>
      </c>
      <c r="X103" s="45" t="str">
        <f t="shared" si="85"/>
        <v>Feb-22F</v>
      </c>
      <c r="Y103" s="45" t="str">
        <f t="shared" si="85"/>
        <v>Mar-22F</v>
      </c>
      <c r="Z103" s="45" t="str">
        <f t="shared" si="85"/>
        <v>Apr-22F</v>
      </c>
      <c r="AA103" s="45" t="str">
        <f t="shared" si="85"/>
        <v>May-22F</v>
      </c>
      <c r="AB103" s="45" t="str">
        <f t="shared" si="85"/>
        <v>Jun-22F</v>
      </c>
      <c r="AC103" s="45" t="str">
        <f t="shared" si="85"/>
        <v>Jul-22F</v>
      </c>
      <c r="AD103" s="45" t="str">
        <f t="shared" si="85"/>
        <v>Aug-22F</v>
      </c>
      <c r="AE103" s="45" t="str">
        <f t="shared" si="85"/>
        <v>Sep-22F</v>
      </c>
      <c r="AF103" s="45" t="str">
        <f t="shared" si="85"/>
        <v>Oct-22F</v>
      </c>
      <c r="AG103" s="45" t="str">
        <f t="shared" si="85"/>
        <v>Nov-22F</v>
      </c>
      <c r="AH103" s="45" t="str">
        <f t="shared" si="85"/>
        <v>Dec-22F</v>
      </c>
      <c r="AJ103" s="45" t="str">
        <f ca="1">AJ$10</f>
        <v>Q3'20A</v>
      </c>
      <c r="AK103" s="45" t="str">
        <f t="shared" ref="AK103:AW103" ca="1" si="86">AK$10</f>
        <v>Q4'20A</v>
      </c>
      <c r="AL103" s="45" t="str">
        <f t="shared" ca="1" si="86"/>
        <v>Q1'21A</v>
      </c>
      <c r="AM103" s="46" t="str">
        <f t="shared" ca="1" si="86"/>
        <v>Q2'21A</v>
      </c>
      <c r="AN103" s="45" t="str">
        <f t="shared" ca="1" si="86"/>
        <v>Q3'21F</v>
      </c>
      <c r="AO103" s="45" t="str">
        <f t="shared" ca="1" si="86"/>
        <v>Q4'21F</v>
      </c>
      <c r="AP103" s="45" t="str">
        <f t="shared" ca="1" si="86"/>
        <v>Q1'22F</v>
      </c>
      <c r="AQ103" s="45" t="str">
        <f t="shared" ca="1" si="86"/>
        <v>Q2'22F</v>
      </c>
      <c r="AR103" s="45" t="str">
        <f t="shared" ca="1" si="86"/>
        <v>Q3'22F</v>
      </c>
      <c r="AS103" s="45" t="str">
        <f t="shared" ca="1" si="86"/>
        <v>Q4'22F</v>
      </c>
      <c r="AU103" s="45" t="str">
        <f t="shared" ca="1" si="86"/>
        <v>FY20</v>
      </c>
      <c r="AV103" s="45" t="str">
        <f t="shared" ca="1" si="86"/>
        <v>FY21</v>
      </c>
      <c r="AW103" s="45" t="str">
        <f t="shared" ca="1" si="86"/>
        <v>FY22</v>
      </c>
    </row>
    <row r="104" spans="1:49" x14ac:dyDescent="0.25">
      <c r="C104" t="s">
        <v>344</v>
      </c>
      <c r="E104" s="65">
        <v>600</v>
      </c>
      <c r="F104" s="65">
        <v>600</v>
      </c>
      <c r="G104" s="65">
        <v>600</v>
      </c>
      <c r="H104" s="65">
        <v>600</v>
      </c>
      <c r="I104" s="65">
        <v>600</v>
      </c>
      <c r="J104" s="65">
        <v>600</v>
      </c>
      <c r="K104" s="65">
        <v>600</v>
      </c>
      <c r="L104" s="65">
        <v>600</v>
      </c>
      <c r="M104" s="65">
        <v>600</v>
      </c>
      <c r="N104" s="65">
        <v>600</v>
      </c>
      <c r="O104" s="65">
        <v>600</v>
      </c>
      <c r="P104" s="67">
        <v>600</v>
      </c>
      <c r="Q104" s="65">
        <v>600</v>
      </c>
      <c r="R104" s="65">
        <v>600</v>
      </c>
      <c r="S104" s="66">
        <v>650</v>
      </c>
      <c r="T104" s="65">
        <f>S104</f>
        <v>650</v>
      </c>
      <c r="U104" s="65">
        <f t="shared" ref="U104:AH104" si="87">T104</f>
        <v>650</v>
      </c>
      <c r="V104" s="65">
        <f t="shared" si="87"/>
        <v>650</v>
      </c>
      <c r="W104" s="65">
        <f t="shared" si="87"/>
        <v>650</v>
      </c>
      <c r="X104" s="65">
        <f t="shared" si="87"/>
        <v>650</v>
      </c>
      <c r="Y104" s="65">
        <f t="shared" si="87"/>
        <v>650</v>
      </c>
      <c r="Z104" s="65">
        <f t="shared" si="87"/>
        <v>650</v>
      </c>
      <c r="AA104" s="65">
        <f t="shared" si="87"/>
        <v>650</v>
      </c>
      <c r="AB104" s="65">
        <f t="shared" si="87"/>
        <v>650</v>
      </c>
      <c r="AC104" s="65">
        <f t="shared" si="87"/>
        <v>650</v>
      </c>
      <c r="AD104" s="65">
        <f t="shared" si="87"/>
        <v>650</v>
      </c>
      <c r="AE104" s="65">
        <f t="shared" si="87"/>
        <v>650</v>
      </c>
      <c r="AF104" s="65">
        <f t="shared" si="87"/>
        <v>650</v>
      </c>
      <c r="AG104" s="65">
        <f t="shared" si="87"/>
        <v>650</v>
      </c>
      <c r="AH104" s="65">
        <f t="shared" si="87"/>
        <v>650</v>
      </c>
      <c r="AJ104" s="341" cm="1">
        <f t="array" aca="1" ref="AJ104" ca="1">INDEX($E104:$AH104,1,MATCH(AJ$3&amp;AJ$4&amp;AJ$5&amp;AJ$6,$E$3:$AH$3&amp;$E$4:$AH$4&amp;$E$5:$AH$5&amp;$E$6:$AH$6,1))</f>
        <v>600</v>
      </c>
      <c r="AK104" s="341" cm="1">
        <f t="array" aca="1" ref="AK104" ca="1">INDEX($E104:$AH104,1,MATCH(AK$3&amp;AK$4&amp;AK$5&amp;AK$6,$E$3:$AH$3&amp;$E$4:$AH$4&amp;$E$5:$AH$5&amp;$E$6:$AH$6,1))</f>
        <v>600</v>
      </c>
      <c r="AL104" s="341" cm="1">
        <f t="array" aca="1" ref="AL104" ca="1">INDEX($E104:$AH104,1,MATCH(AL$3&amp;AL$4&amp;AL$5&amp;AL$6,$E$3:$AH$3&amp;$E$4:$AH$4&amp;$E$5:$AH$5&amp;$E$6:$AH$6,1))</f>
        <v>600</v>
      </c>
      <c r="AM104" s="343" cm="1">
        <f t="array" aca="1" ref="AM104" ca="1">INDEX($E104:$AH104,1,MATCH(AM$3&amp;AM$4&amp;AM$5&amp;AM$6,$E$3:$AH$3&amp;$E$4:$AH$4&amp;$E$5:$AH$5&amp;$E$6:$AH$6,1))</f>
        <v>600</v>
      </c>
      <c r="AN104" s="341" cm="1">
        <f t="array" aca="1" ref="AN104" ca="1">INDEX($E104:$AH104,1,MATCH(AN$3&amp;AN$4&amp;AN$5&amp;AN$6,$E$3:$AH$3&amp;$E$4:$AH$4&amp;$E$5:$AH$5&amp;$E$6:$AH$6,1))</f>
        <v>650</v>
      </c>
      <c r="AO104" s="341" cm="1">
        <f t="array" aca="1" ref="AO104" ca="1">INDEX($E104:$AH104,1,MATCH(AO$3&amp;AO$4&amp;AO$5&amp;AO$6,$E$3:$AH$3&amp;$E$4:$AH$4&amp;$E$5:$AH$5&amp;$E$6:$AH$6,1))</f>
        <v>650</v>
      </c>
      <c r="AP104" s="341" cm="1">
        <f t="array" aca="1" ref="AP104" ca="1">INDEX($E104:$AH104,1,MATCH(AP$3&amp;AP$4&amp;AP$5&amp;AP$6,$E$3:$AH$3&amp;$E$4:$AH$4&amp;$E$5:$AH$5&amp;$E$6:$AH$6,1))</f>
        <v>650</v>
      </c>
      <c r="AQ104" s="341" cm="1">
        <f t="array" aca="1" ref="AQ104" ca="1">INDEX($E104:$AH104,1,MATCH(AQ$3&amp;AQ$4&amp;AQ$5&amp;AQ$6,$E$3:$AH$3&amp;$E$4:$AH$4&amp;$E$5:$AH$5&amp;$E$6:$AH$6,1))</f>
        <v>650</v>
      </c>
      <c r="AR104" s="341" cm="1">
        <f t="array" aca="1" ref="AR104" ca="1">INDEX($E104:$AH104,1,MATCH(AR$3&amp;AR$4&amp;AR$5&amp;AR$6,$E$3:$AH$3&amp;$E$4:$AH$4&amp;$E$5:$AH$5&amp;$E$6:$AH$6,1))</f>
        <v>650</v>
      </c>
      <c r="AS104" s="341" cm="1">
        <f t="array" aca="1" ref="AS104" ca="1">INDEX($E104:$AH104,1,MATCH(AS$3&amp;AS$4&amp;AS$5&amp;AS$6,$E$3:$AH$3&amp;$E$4:$AH$4&amp;$E$5:$AH$5&amp;$E$6:$AH$6,1))</f>
        <v>650</v>
      </c>
      <c r="AU104" s="341">
        <f t="shared" ref="AU104:AW114" ca="1" si="88">INDEX($E104:$AH104,MATCH(AU$5,$E$5:$AH$5,1))</f>
        <v>600</v>
      </c>
      <c r="AV104" s="341">
        <f t="shared" ca="1" si="88"/>
        <v>650</v>
      </c>
      <c r="AW104" s="341">
        <f t="shared" ca="1" si="88"/>
        <v>650</v>
      </c>
    </row>
    <row r="105" spans="1:49" x14ac:dyDescent="0.25">
      <c r="C105" t="s">
        <v>345</v>
      </c>
      <c r="E105" s="65">
        <v>1000</v>
      </c>
      <c r="F105" s="65">
        <v>1000</v>
      </c>
      <c r="G105" s="65">
        <v>1000</v>
      </c>
      <c r="H105" s="65">
        <v>1000</v>
      </c>
      <c r="I105" s="65">
        <v>1000</v>
      </c>
      <c r="J105" s="65">
        <v>1000</v>
      </c>
      <c r="K105" s="65">
        <v>1000</v>
      </c>
      <c r="L105" s="65">
        <v>1000</v>
      </c>
      <c r="M105" s="65">
        <v>1000</v>
      </c>
      <c r="N105" s="65">
        <v>1000</v>
      </c>
      <c r="O105" s="65">
        <v>1000</v>
      </c>
      <c r="P105" s="67">
        <v>1000</v>
      </c>
      <c r="Q105" s="65">
        <v>1000</v>
      </c>
      <c r="R105" s="65">
        <v>1000</v>
      </c>
      <c r="S105" s="66">
        <v>1050</v>
      </c>
      <c r="T105" s="65">
        <f t="shared" ref="T105:AH114" si="89">S105</f>
        <v>1050</v>
      </c>
      <c r="U105" s="65">
        <f t="shared" si="89"/>
        <v>1050</v>
      </c>
      <c r="V105" s="65">
        <f t="shared" si="89"/>
        <v>1050</v>
      </c>
      <c r="W105" s="65">
        <f t="shared" si="89"/>
        <v>1050</v>
      </c>
      <c r="X105" s="65">
        <f t="shared" si="89"/>
        <v>1050</v>
      </c>
      <c r="Y105" s="65">
        <f t="shared" si="89"/>
        <v>1050</v>
      </c>
      <c r="Z105" s="65">
        <f t="shared" si="89"/>
        <v>1050</v>
      </c>
      <c r="AA105" s="65">
        <f t="shared" si="89"/>
        <v>1050</v>
      </c>
      <c r="AB105" s="65">
        <f t="shared" si="89"/>
        <v>1050</v>
      </c>
      <c r="AC105" s="65">
        <f t="shared" si="89"/>
        <v>1050</v>
      </c>
      <c r="AD105" s="65">
        <f t="shared" si="89"/>
        <v>1050</v>
      </c>
      <c r="AE105" s="65">
        <f t="shared" si="89"/>
        <v>1050</v>
      </c>
      <c r="AF105" s="65">
        <f t="shared" si="89"/>
        <v>1050</v>
      </c>
      <c r="AG105" s="65">
        <f t="shared" si="89"/>
        <v>1050</v>
      </c>
      <c r="AH105" s="65">
        <f t="shared" si="89"/>
        <v>1050</v>
      </c>
      <c r="AJ105" s="341" cm="1">
        <f t="array" aca="1" ref="AJ105" ca="1">INDEX($E105:$AH105,1,MATCH(AJ$3&amp;AJ$4&amp;AJ$5&amp;AJ$6,$E$3:$AH$3&amp;$E$4:$AH$4&amp;$E$5:$AH$5&amp;$E$6:$AH$6,1))</f>
        <v>1000</v>
      </c>
      <c r="AK105" s="341" cm="1">
        <f t="array" aca="1" ref="AK105" ca="1">INDEX($E105:$AH105,1,MATCH(AK$3&amp;AK$4&amp;AK$5&amp;AK$6,$E$3:$AH$3&amp;$E$4:$AH$4&amp;$E$5:$AH$5&amp;$E$6:$AH$6,1))</f>
        <v>1000</v>
      </c>
      <c r="AL105" s="341" cm="1">
        <f t="array" aca="1" ref="AL105" ca="1">INDEX($E105:$AH105,1,MATCH(AL$3&amp;AL$4&amp;AL$5&amp;AL$6,$E$3:$AH$3&amp;$E$4:$AH$4&amp;$E$5:$AH$5&amp;$E$6:$AH$6,1))</f>
        <v>1000</v>
      </c>
      <c r="AM105" s="343" cm="1">
        <f t="array" aca="1" ref="AM105" ca="1">INDEX($E105:$AH105,1,MATCH(AM$3&amp;AM$4&amp;AM$5&amp;AM$6,$E$3:$AH$3&amp;$E$4:$AH$4&amp;$E$5:$AH$5&amp;$E$6:$AH$6,1))</f>
        <v>1000</v>
      </c>
      <c r="AN105" s="341" cm="1">
        <f t="array" aca="1" ref="AN105" ca="1">INDEX($E105:$AH105,1,MATCH(AN$3&amp;AN$4&amp;AN$5&amp;AN$6,$E$3:$AH$3&amp;$E$4:$AH$4&amp;$E$5:$AH$5&amp;$E$6:$AH$6,1))</f>
        <v>1050</v>
      </c>
      <c r="AO105" s="341" cm="1">
        <f t="array" aca="1" ref="AO105" ca="1">INDEX($E105:$AH105,1,MATCH(AO$3&amp;AO$4&amp;AO$5&amp;AO$6,$E$3:$AH$3&amp;$E$4:$AH$4&amp;$E$5:$AH$5&amp;$E$6:$AH$6,1))</f>
        <v>1050</v>
      </c>
      <c r="AP105" s="341" cm="1">
        <f t="array" aca="1" ref="AP105" ca="1">INDEX($E105:$AH105,1,MATCH(AP$3&amp;AP$4&amp;AP$5&amp;AP$6,$E$3:$AH$3&amp;$E$4:$AH$4&amp;$E$5:$AH$5&amp;$E$6:$AH$6,1))</f>
        <v>1050</v>
      </c>
      <c r="AQ105" s="341" cm="1">
        <f t="array" aca="1" ref="AQ105" ca="1">INDEX($E105:$AH105,1,MATCH(AQ$3&amp;AQ$4&amp;AQ$5&amp;AQ$6,$E$3:$AH$3&amp;$E$4:$AH$4&amp;$E$5:$AH$5&amp;$E$6:$AH$6,1))</f>
        <v>1050</v>
      </c>
      <c r="AR105" s="341" cm="1">
        <f t="array" aca="1" ref="AR105" ca="1">INDEX($E105:$AH105,1,MATCH(AR$3&amp;AR$4&amp;AR$5&amp;AR$6,$E$3:$AH$3&amp;$E$4:$AH$4&amp;$E$5:$AH$5&amp;$E$6:$AH$6,1))</f>
        <v>1050</v>
      </c>
      <c r="AS105" s="341" cm="1">
        <f t="array" aca="1" ref="AS105" ca="1">INDEX($E105:$AH105,1,MATCH(AS$3&amp;AS$4&amp;AS$5&amp;AS$6,$E$3:$AH$3&amp;$E$4:$AH$4&amp;$E$5:$AH$5&amp;$E$6:$AH$6,1))</f>
        <v>1050</v>
      </c>
      <c r="AU105" s="341">
        <f t="shared" ca="1" si="88"/>
        <v>1000</v>
      </c>
      <c r="AV105" s="341">
        <f t="shared" ca="1" si="88"/>
        <v>1050</v>
      </c>
      <c r="AW105" s="341">
        <f t="shared" ca="1" si="88"/>
        <v>1050</v>
      </c>
    </row>
    <row r="106" spans="1:49" x14ac:dyDescent="0.25">
      <c r="C106" t="s">
        <v>346</v>
      </c>
      <c r="E106" s="65">
        <v>400</v>
      </c>
      <c r="F106" s="65">
        <v>400</v>
      </c>
      <c r="G106" s="65">
        <v>400</v>
      </c>
      <c r="H106" s="65">
        <v>400</v>
      </c>
      <c r="I106" s="65">
        <v>400</v>
      </c>
      <c r="J106" s="65">
        <v>400</v>
      </c>
      <c r="K106" s="65">
        <v>400</v>
      </c>
      <c r="L106" s="65">
        <v>400</v>
      </c>
      <c r="M106" s="65">
        <v>400</v>
      </c>
      <c r="N106" s="65">
        <v>400</v>
      </c>
      <c r="O106" s="65">
        <v>400</v>
      </c>
      <c r="P106" s="67">
        <v>400</v>
      </c>
      <c r="Q106" s="65">
        <v>400</v>
      </c>
      <c r="R106" s="65">
        <v>400</v>
      </c>
      <c r="S106" s="66">
        <v>450</v>
      </c>
      <c r="T106" s="65">
        <f t="shared" si="89"/>
        <v>450</v>
      </c>
      <c r="U106" s="65">
        <f t="shared" si="89"/>
        <v>450</v>
      </c>
      <c r="V106" s="65">
        <f t="shared" si="89"/>
        <v>450</v>
      </c>
      <c r="W106" s="65">
        <f t="shared" si="89"/>
        <v>450</v>
      </c>
      <c r="X106" s="65">
        <f t="shared" si="89"/>
        <v>450</v>
      </c>
      <c r="Y106" s="65">
        <f t="shared" si="89"/>
        <v>450</v>
      </c>
      <c r="Z106" s="65">
        <f t="shared" si="89"/>
        <v>450</v>
      </c>
      <c r="AA106" s="65">
        <f t="shared" si="89"/>
        <v>450</v>
      </c>
      <c r="AB106" s="65">
        <f t="shared" si="89"/>
        <v>450</v>
      </c>
      <c r="AC106" s="65">
        <f t="shared" si="89"/>
        <v>450</v>
      </c>
      <c r="AD106" s="65">
        <f t="shared" si="89"/>
        <v>450</v>
      </c>
      <c r="AE106" s="65">
        <f t="shared" si="89"/>
        <v>450</v>
      </c>
      <c r="AF106" s="65">
        <f t="shared" si="89"/>
        <v>450</v>
      </c>
      <c r="AG106" s="65">
        <f t="shared" si="89"/>
        <v>450</v>
      </c>
      <c r="AH106" s="65">
        <f t="shared" si="89"/>
        <v>450</v>
      </c>
      <c r="AJ106" s="341" cm="1">
        <f t="array" aca="1" ref="AJ106" ca="1">INDEX($E106:$AH106,1,MATCH(AJ$3&amp;AJ$4&amp;AJ$5&amp;AJ$6,$E$3:$AH$3&amp;$E$4:$AH$4&amp;$E$5:$AH$5&amp;$E$6:$AH$6,1))</f>
        <v>400</v>
      </c>
      <c r="AK106" s="341" cm="1">
        <f t="array" aca="1" ref="AK106" ca="1">INDEX($E106:$AH106,1,MATCH(AK$3&amp;AK$4&amp;AK$5&amp;AK$6,$E$3:$AH$3&amp;$E$4:$AH$4&amp;$E$5:$AH$5&amp;$E$6:$AH$6,1))</f>
        <v>400</v>
      </c>
      <c r="AL106" s="341" cm="1">
        <f t="array" aca="1" ref="AL106" ca="1">INDEX($E106:$AH106,1,MATCH(AL$3&amp;AL$4&amp;AL$5&amp;AL$6,$E$3:$AH$3&amp;$E$4:$AH$4&amp;$E$5:$AH$5&amp;$E$6:$AH$6,1))</f>
        <v>400</v>
      </c>
      <c r="AM106" s="343" cm="1">
        <f t="array" aca="1" ref="AM106" ca="1">INDEX($E106:$AH106,1,MATCH(AM$3&amp;AM$4&amp;AM$5&amp;AM$6,$E$3:$AH$3&amp;$E$4:$AH$4&amp;$E$5:$AH$5&amp;$E$6:$AH$6,1))</f>
        <v>400</v>
      </c>
      <c r="AN106" s="341" cm="1">
        <f t="array" aca="1" ref="AN106" ca="1">INDEX($E106:$AH106,1,MATCH(AN$3&amp;AN$4&amp;AN$5&amp;AN$6,$E$3:$AH$3&amp;$E$4:$AH$4&amp;$E$5:$AH$5&amp;$E$6:$AH$6,1))</f>
        <v>450</v>
      </c>
      <c r="AO106" s="341" cm="1">
        <f t="array" aca="1" ref="AO106" ca="1">INDEX($E106:$AH106,1,MATCH(AO$3&amp;AO$4&amp;AO$5&amp;AO$6,$E$3:$AH$3&amp;$E$4:$AH$4&amp;$E$5:$AH$5&amp;$E$6:$AH$6,1))</f>
        <v>450</v>
      </c>
      <c r="AP106" s="341" cm="1">
        <f t="array" aca="1" ref="AP106" ca="1">INDEX($E106:$AH106,1,MATCH(AP$3&amp;AP$4&amp;AP$5&amp;AP$6,$E$3:$AH$3&amp;$E$4:$AH$4&amp;$E$5:$AH$5&amp;$E$6:$AH$6,1))</f>
        <v>450</v>
      </c>
      <c r="AQ106" s="341" cm="1">
        <f t="array" aca="1" ref="AQ106" ca="1">INDEX($E106:$AH106,1,MATCH(AQ$3&amp;AQ$4&amp;AQ$5&amp;AQ$6,$E$3:$AH$3&amp;$E$4:$AH$4&amp;$E$5:$AH$5&amp;$E$6:$AH$6,1))</f>
        <v>450</v>
      </c>
      <c r="AR106" s="341" cm="1">
        <f t="array" aca="1" ref="AR106" ca="1">INDEX($E106:$AH106,1,MATCH(AR$3&amp;AR$4&amp;AR$5&amp;AR$6,$E$3:$AH$3&amp;$E$4:$AH$4&amp;$E$5:$AH$5&amp;$E$6:$AH$6,1))</f>
        <v>450</v>
      </c>
      <c r="AS106" s="341" cm="1">
        <f t="array" aca="1" ref="AS106" ca="1">INDEX($E106:$AH106,1,MATCH(AS$3&amp;AS$4&amp;AS$5&amp;AS$6,$E$3:$AH$3&amp;$E$4:$AH$4&amp;$E$5:$AH$5&amp;$E$6:$AH$6,1))</f>
        <v>450</v>
      </c>
      <c r="AU106" s="341">
        <f t="shared" ca="1" si="88"/>
        <v>400</v>
      </c>
      <c r="AV106" s="341">
        <f t="shared" ca="1" si="88"/>
        <v>450</v>
      </c>
      <c r="AW106" s="341">
        <f t="shared" ca="1" si="88"/>
        <v>450</v>
      </c>
    </row>
    <row r="107" spans="1:49" x14ac:dyDescent="0.25">
      <c r="C107" t="s">
        <v>348</v>
      </c>
      <c r="E107" s="65">
        <v>400</v>
      </c>
      <c r="F107" s="65">
        <v>400</v>
      </c>
      <c r="G107" s="65">
        <v>400</v>
      </c>
      <c r="H107" s="65">
        <v>400</v>
      </c>
      <c r="I107" s="65">
        <v>400</v>
      </c>
      <c r="J107" s="65">
        <v>400</v>
      </c>
      <c r="K107" s="65">
        <v>400</v>
      </c>
      <c r="L107" s="65">
        <v>400</v>
      </c>
      <c r="M107" s="65">
        <v>400</v>
      </c>
      <c r="N107" s="65">
        <v>400</v>
      </c>
      <c r="O107" s="65">
        <v>400</v>
      </c>
      <c r="P107" s="67">
        <v>400</v>
      </c>
      <c r="Q107" s="65">
        <v>400</v>
      </c>
      <c r="R107" s="65">
        <v>400</v>
      </c>
      <c r="S107" s="66">
        <v>450</v>
      </c>
      <c r="T107" s="65">
        <f t="shared" si="89"/>
        <v>450</v>
      </c>
      <c r="U107" s="65">
        <f t="shared" si="89"/>
        <v>450</v>
      </c>
      <c r="V107" s="65">
        <f t="shared" si="89"/>
        <v>450</v>
      </c>
      <c r="W107" s="65">
        <f t="shared" si="89"/>
        <v>450</v>
      </c>
      <c r="X107" s="65">
        <f t="shared" si="89"/>
        <v>450</v>
      </c>
      <c r="Y107" s="65">
        <f t="shared" si="89"/>
        <v>450</v>
      </c>
      <c r="Z107" s="65">
        <f t="shared" si="89"/>
        <v>450</v>
      </c>
      <c r="AA107" s="65">
        <f t="shared" si="89"/>
        <v>450</v>
      </c>
      <c r="AB107" s="65">
        <f t="shared" si="89"/>
        <v>450</v>
      </c>
      <c r="AC107" s="65">
        <f t="shared" si="89"/>
        <v>450</v>
      </c>
      <c r="AD107" s="65">
        <f t="shared" si="89"/>
        <v>450</v>
      </c>
      <c r="AE107" s="65">
        <f t="shared" si="89"/>
        <v>450</v>
      </c>
      <c r="AF107" s="65">
        <f t="shared" si="89"/>
        <v>450</v>
      </c>
      <c r="AG107" s="65">
        <f t="shared" si="89"/>
        <v>450</v>
      </c>
      <c r="AH107" s="65">
        <f t="shared" si="89"/>
        <v>450</v>
      </c>
      <c r="AJ107" s="341" cm="1">
        <f t="array" aca="1" ref="AJ107" ca="1">INDEX($E107:$AH107,1,MATCH(AJ$3&amp;AJ$4&amp;AJ$5&amp;AJ$6,$E$3:$AH$3&amp;$E$4:$AH$4&amp;$E$5:$AH$5&amp;$E$6:$AH$6,1))</f>
        <v>400</v>
      </c>
      <c r="AK107" s="341" cm="1">
        <f t="array" aca="1" ref="AK107" ca="1">INDEX($E107:$AH107,1,MATCH(AK$3&amp;AK$4&amp;AK$5&amp;AK$6,$E$3:$AH$3&amp;$E$4:$AH$4&amp;$E$5:$AH$5&amp;$E$6:$AH$6,1))</f>
        <v>400</v>
      </c>
      <c r="AL107" s="341" cm="1">
        <f t="array" aca="1" ref="AL107" ca="1">INDEX($E107:$AH107,1,MATCH(AL$3&amp;AL$4&amp;AL$5&amp;AL$6,$E$3:$AH$3&amp;$E$4:$AH$4&amp;$E$5:$AH$5&amp;$E$6:$AH$6,1))</f>
        <v>400</v>
      </c>
      <c r="AM107" s="343" cm="1">
        <f t="array" aca="1" ref="AM107" ca="1">INDEX($E107:$AH107,1,MATCH(AM$3&amp;AM$4&amp;AM$5&amp;AM$6,$E$3:$AH$3&amp;$E$4:$AH$4&amp;$E$5:$AH$5&amp;$E$6:$AH$6,1))</f>
        <v>400</v>
      </c>
      <c r="AN107" s="341" cm="1">
        <f t="array" aca="1" ref="AN107" ca="1">INDEX($E107:$AH107,1,MATCH(AN$3&amp;AN$4&amp;AN$5&amp;AN$6,$E$3:$AH$3&amp;$E$4:$AH$4&amp;$E$5:$AH$5&amp;$E$6:$AH$6,1))</f>
        <v>450</v>
      </c>
      <c r="AO107" s="341" cm="1">
        <f t="array" aca="1" ref="AO107" ca="1">INDEX($E107:$AH107,1,MATCH(AO$3&amp;AO$4&amp;AO$5&amp;AO$6,$E$3:$AH$3&amp;$E$4:$AH$4&amp;$E$5:$AH$5&amp;$E$6:$AH$6,1))</f>
        <v>450</v>
      </c>
      <c r="AP107" s="341" cm="1">
        <f t="array" aca="1" ref="AP107" ca="1">INDEX($E107:$AH107,1,MATCH(AP$3&amp;AP$4&amp;AP$5&amp;AP$6,$E$3:$AH$3&amp;$E$4:$AH$4&amp;$E$5:$AH$5&amp;$E$6:$AH$6,1))</f>
        <v>450</v>
      </c>
      <c r="AQ107" s="341" cm="1">
        <f t="array" aca="1" ref="AQ107" ca="1">INDEX($E107:$AH107,1,MATCH(AQ$3&amp;AQ$4&amp;AQ$5&amp;AQ$6,$E$3:$AH$3&amp;$E$4:$AH$4&amp;$E$5:$AH$5&amp;$E$6:$AH$6,1))</f>
        <v>450</v>
      </c>
      <c r="AR107" s="341" cm="1">
        <f t="array" aca="1" ref="AR107" ca="1">INDEX($E107:$AH107,1,MATCH(AR$3&amp;AR$4&amp;AR$5&amp;AR$6,$E$3:$AH$3&amp;$E$4:$AH$4&amp;$E$5:$AH$5&amp;$E$6:$AH$6,1))</f>
        <v>450</v>
      </c>
      <c r="AS107" s="341" cm="1">
        <f t="array" aca="1" ref="AS107" ca="1">INDEX($E107:$AH107,1,MATCH(AS$3&amp;AS$4&amp;AS$5&amp;AS$6,$E$3:$AH$3&amp;$E$4:$AH$4&amp;$E$5:$AH$5&amp;$E$6:$AH$6,1))</f>
        <v>450</v>
      </c>
      <c r="AU107" s="341">
        <f t="shared" ca="1" si="88"/>
        <v>400</v>
      </c>
      <c r="AV107" s="341">
        <f t="shared" ca="1" si="88"/>
        <v>450</v>
      </c>
      <c r="AW107" s="341">
        <f t="shared" ca="1" si="88"/>
        <v>450</v>
      </c>
    </row>
    <row r="108" spans="1:49" x14ac:dyDescent="0.25">
      <c r="C108" t="s">
        <v>349</v>
      </c>
      <c r="P108" s="8"/>
      <c r="AJ108" s="341" cm="1">
        <f t="array" aca="1" ref="AJ108" ca="1">INDEX($E108:$AH108,1,MATCH(AJ$3&amp;AJ$4&amp;AJ$5&amp;AJ$6,$E$3:$AH$3&amp;$E$4:$AH$4&amp;$E$5:$AH$5&amp;$E$6:$AH$6,1))</f>
        <v>0</v>
      </c>
      <c r="AK108" s="341" cm="1">
        <f t="array" aca="1" ref="AK108" ca="1">INDEX($E108:$AH108,1,MATCH(AK$3&amp;AK$4&amp;AK$5&amp;AK$6,$E$3:$AH$3&amp;$E$4:$AH$4&amp;$E$5:$AH$5&amp;$E$6:$AH$6,1))</f>
        <v>0</v>
      </c>
      <c r="AL108" s="341" cm="1">
        <f t="array" aca="1" ref="AL108" ca="1">INDEX($E108:$AH108,1,MATCH(AL$3&amp;AL$4&amp;AL$5&amp;AL$6,$E$3:$AH$3&amp;$E$4:$AH$4&amp;$E$5:$AH$5&amp;$E$6:$AH$6,1))</f>
        <v>0</v>
      </c>
      <c r="AM108" s="343" cm="1">
        <f t="array" aca="1" ref="AM108" ca="1">INDEX($E108:$AH108,1,MATCH(AM$3&amp;AM$4&amp;AM$5&amp;AM$6,$E$3:$AH$3&amp;$E$4:$AH$4&amp;$E$5:$AH$5&amp;$E$6:$AH$6,1))</f>
        <v>0</v>
      </c>
      <c r="AN108" s="341" cm="1">
        <f t="array" aca="1" ref="AN108" ca="1">INDEX($E108:$AH108,1,MATCH(AN$3&amp;AN$4&amp;AN$5&amp;AN$6,$E$3:$AH$3&amp;$E$4:$AH$4&amp;$E$5:$AH$5&amp;$E$6:$AH$6,1))</f>
        <v>0</v>
      </c>
      <c r="AO108" s="341" cm="1">
        <f t="array" aca="1" ref="AO108" ca="1">INDEX($E108:$AH108,1,MATCH(AO$3&amp;AO$4&amp;AO$5&amp;AO$6,$E$3:$AH$3&amp;$E$4:$AH$4&amp;$E$5:$AH$5&amp;$E$6:$AH$6,1))</f>
        <v>0</v>
      </c>
      <c r="AP108" s="341" cm="1">
        <f t="array" aca="1" ref="AP108" ca="1">INDEX($E108:$AH108,1,MATCH(AP$3&amp;AP$4&amp;AP$5&amp;AP$6,$E$3:$AH$3&amp;$E$4:$AH$4&amp;$E$5:$AH$5&amp;$E$6:$AH$6,1))</f>
        <v>0</v>
      </c>
      <c r="AQ108" s="341" cm="1">
        <f t="array" aca="1" ref="AQ108" ca="1">INDEX($E108:$AH108,1,MATCH(AQ$3&amp;AQ$4&amp;AQ$5&amp;AQ$6,$E$3:$AH$3&amp;$E$4:$AH$4&amp;$E$5:$AH$5&amp;$E$6:$AH$6,1))</f>
        <v>0</v>
      </c>
      <c r="AR108" s="341" cm="1">
        <f t="array" aca="1" ref="AR108" ca="1">INDEX($E108:$AH108,1,MATCH(AR$3&amp;AR$4&amp;AR$5&amp;AR$6,$E$3:$AH$3&amp;$E$4:$AH$4&amp;$E$5:$AH$5&amp;$E$6:$AH$6,1))</f>
        <v>0</v>
      </c>
      <c r="AS108" s="341" cm="1">
        <f t="array" aca="1" ref="AS108" ca="1">INDEX($E108:$AH108,1,MATCH(AS$3&amp;AS$4&amp;AS$5&amp;AS$6,$E$3:$AH$3&amp;$E$4:$AH$4&amp;$E$5:$AH$5&amp;$E$6:$AH$6,1))</f>
        <v>0</v>
      </c>
      <c r="AU108" s="341">
        <f t="shared" ca="1" si="88"/>
        <v>0</v>
      </c>
      <c r="AV108" s="341">
        <f t="shared" ca="1" si="88"/>
        <v>0</v>
      </c>
      <c r="AW108" s="341">
        <f t="shared" ca="1" si="88"/>
        <v>0</v>
      </c>
    </row>
    <row r="109" spans="1:49" x14ac:dyDescent="0.25">
      <c r="C109" s="1" t="s">
        <v>1</v>
      </c>
      <c r="E109" s="65">
        <v>400</v>
      </c>
      <c r="F109" s="65">
        <v>400</v>
      </c>
      <c r="G109" s="65">
        <v>400</v>
      </c>
      <c r="H109" s="65">
        <v>400</v>
      </c>
      <c r="I109" s="65">
        <v>400</v>
      </c>
      <c r="J109" s="65">
        <v>400</v>
      </c>
      <c r="K109" s="65">
        <v>400</v>
      </c>
      <c r="L109" s="65">
        <v>400</v>
      </c>
      <c r="M109" s="65">
        <v>400</v>
      </c>
      <c r="N109" s="65">
        <v>400</v>
      </c>
      <c r="O109" s="65">
        <v>400</v>
      </c>
      <c r="P109" s="67">
        <v>400</v>
      </c>
      <c r="Q109" s="65">
        <v>400</v>
      </c>
      <c r="R109" s="65">
        <v>400</v>
      </c>
      <c r="S109" s="66">
        <v>450</v>
      </c>
      <c r="T109" s="65">
        <f t="shared" si="89"/>
        <v>450</v>
      </c>
      <c r="U109" s="65">
        <f t="shared" si="89"/>
        <v>450</v>
      </c>
      <c r="V109" s="65">
        <f t="shared" si="89"/>
        <v>450</v>
      </c>
      <c r="W109" s="65">
        <f t="shared" si="89"/>
        <v>450</v>
      </c>
      <c r="X109" s="65">
        <f t="shared" si="89"/>
        <v>450</v>
      </c>
      <c r="Y109" s="65">
        <f t="shared" si="89"/>
        <v>450</v>
      </c>
      <c r="Z109" s="65">
        <f t="shared" si="89"/>
        <v>450</v>
      </c>
      <c r="AA109" s="65">
        <f t="shared" si="89"/>
        <v>450</v>
      </c>
      <c r="AB109" s="65">
        <f t="shared" si="89"/>
        <v>450</v>
      </c>
      <c r="AC109" s="65">
        <f t="shared" si="89"/>
        <v>450</v>
      </c>
      <c r="AD109" s="65">
        <f t="shared" si="89"/>
        <v>450</v>
      </c>
      <c r="AE109" s="65">
        <f t="shared" si="89"/>
        <v>450</v>
      </c>
      <c r="AF109" s="65">
        <f t="shared" si="89"/>
        <v>450</v>
      </c>
      <c r="AG109" s="65">
        <f t="shared" si="89"/>
        <v>450</v>
      </c>
      <c r="AH109" s="65">
        <f t="shared" si="89"/>
        <v>450</v>
      </c>
      <c r="AJ109" s="341" cm="1">
        <f t="array" aca="1" ref="AJ109" ca="1">INDEX($E109:$AH109,1,MATCH(AJ$3&amp;AJ$4&amp;AJ$5&amp;AJ$6,$E$3:$AH$3&amp;$E$4:$AH$4&amp;$E$5:$AH$5&amp;$E$6:$AH$6,1))</f>
        <v>400</v>
      </c>
      <c r="AK109" s="341" cm="1">
        <f t="array" aca="1" ref="AK109" ca="1">INDEX($E109:$AH109,1,MATCH(AK$3&amp;AK$4&amp;AK$5&amp;AK$6,$E$3:$AH$3&amp;$E$4:$AH$4&amp;$E$5:$AH$5&amp;$E$6:$AH$6,1))</f>
        <v>400</v>
      </c>
      <c r="AL109" s="341" cm="1">
        <f t="array" aca="1" ref="AL109" ca="1">INDEX($E109:$AH109,1,MATCH(AL$3&amp;AL$4&amp;AL$5&amp;AL$6,$E$3:$AH$3&amp;$E$4:$AH$4&amp;$E$5:$AH$5&amp;$E$6:$AH$6,1))</f>
        <v>400</v>
      </c>
      <c r="AM109" s="343" cm="1">
        <f t="array" aca="1" ref="AM109" ca="1">INDEX($E109:$AH109,1,MATCH(AM$3&amp;AM$4&amp;AM$5&amp;AM$6,$E$3:$AH$3&amp;$E$4:$AH$4&amp;$E$5:$AH$5&amp;$E$6:$AH$6,1))</f>
        <v>400</v>
      </c>
      <c r="AN109" s="341" cm="1">
        <f t="array" aca="1" ref="AN109" ca="1">INDEX($E109:$AH109,1,MATCH(AN$3&amp;AN$4&amp;AN$5&amp;AN$6,$E$3:$AH$3&amp;$E$4:$AH$4&amp;$E$5:$AH$5&amp;$E$6:$AH$6,1))</f>
        <v>450</v>
      </c>
      <c r="AO109" s="341" cm="1">
        <f t="array" aca="1" ref="AO109" ca="1">INDEX($E109:$AH109,1,MATCH(AO$3&amp;AO$4&amp;AO$5&amp;AO$6,$E$3:$AH$3&amp;$E$4:$AH$4&amp;$E$5:$AH$5&amp;$E$6:$AH$6,1))</f>
        <v>450</v>
      </c>
      <c r="AP109" s="341" cm="1">
        <f t="array" aca="1" ref="AP109" ca="1">INDEX($E109:$AH109,1,MATCH(AP$3&amp;AP$4&amp;AP$5&amp;AP$6,$E$3:$AH$3&amp;$E$4:$AH$4&amp;$E$5:$AH$5&amp;$E$6:$AH$6,1))</f>
        <v>450</v>
      </c>
      <c r="AQ109" s="341" cm="1">
        <f t="array" aca="1" ref="AQ109" ca="1">INDEX($E109:$AH109,1,MATCH(AQ$3&amp;AQ$4&amp;AQ$5&amp;AQ$6,$E$3:$AH$3&amp;$E$4:$AH$4&amp;$E$5:$AH$5&amp;$E$6:$AH$6,1))</f>
        <v>450</v>
      </c>
      <c r="AR109" s="341" cm="1">
        <f t="array" aca="1" ref="AR109" ca="1">INDEX($E109:$AH109,1,MATCH(AR$3&amp;AR$4&amp;AR$5&amp;AR$6,$E$3:$AH$3&amp;$E$4:$AH$4&amp;$E$5:$AH$5&amp;$E$6:$AH$6,1))</f>
        <v>450</v>
      </c>
      <c r="AS109" s="341" cm="1">
        <f t="array" aca="1" ref="AS109" ca="1">INDEX($E109:$AH109,1,MATCH(AS$3&amp;AS$4&amp;AS$5&amp;AS$6,$E$3:$AH$3&amp;$E$4:$AH$4&amp;$E$5:$AH$5&amp;$E$6:$AH$6,1))</f>
        <v>450</v>
      </c>
      <c r="AU109" s="341">
        <f t="shared" ca="1" si="88"/>
        <v>400</v>
      </c>
      <c r="AV109" s="341">
        <f t="shared" ca="1" si="88"/>
        <v>450</v>
      </c>
      <c r="AW109" s="341">
        <f t="shared" ca="1" si="88"/>
        <v>450</v>
      </c>
    </row>
    <row r="110" spans="1:49" x14ac:dyDescent="0.25">
      <c r="C110" s="1" t="s">
        <v>3</v>
      </c>
      <c r="E110" s="65">
        <v>1000</v>
      </c>
      <c r="F110" s="65">
        <v>1000</v>
      </c>
      <c r="G110" s="65">
        <v>1000</v>
      </c>
      <c r="H110" s="65">
        <v>1000</v>
      </c>
      <c r="I110" s="65">
        <v>1000</v>
      </c>
      <c r="J110" s="65">
        <v>1000</v>
      </c>
      <c r="K110" s="65">
        <v>1000</v>
      </c>
      <c r="L110" s="65">
        <v>1000</v>
      </c>
      <c r="M110" s="65">
        <v>1000</v>
      </c>
      <c r="N110" s="65">
        <v>1000</v>
      </c>
      <c r="O110" s="65">
        <v>1000</v>
      </c>
      <c r="P110" s="67">
        <v>1000</v>
      </c>
      <c r="Q110" s="65">
        <v>1000</v>
      </c>
      <c r="R110" s="65">
        <v>1000</v>
      </c>
      <c r="S110" s="66">
        <v>1100</v>
      </c>
      <c r="T110" s="65">
        <f t="shared" si="89"/>
        <v>1100</v>
      </c>
      <c r="U110" s="65">
        <f t="shared" si="89"/>
        <v>1100</v>
      </c>
      <c r="V110" s="65">
        <f t="shared" si="89"/>
        <v>1100</v>
      </c>
      <c r="W110" s="65">
        <f t="shared" si="89"/>
        <v>1100</v>
      </c>
      <c r="X110" s="65">
        <f t="shared" si="89"/>
        <v>1100</v>
      </c>
      <c r="Y110" s="65">
        <f t="shared" si="89"/>
        <v>1100</v>
      </c>
      <c r="Z110" s="65">
        <f t="shared" si="89"/>
        <v>1100</v>
      </c>
      <c r="AA110" s="65">
        <f t="shared" si="89"/>
        <v>1100</v>
      </c>
      <c r="AB110" s="65">
        <f t="shared" si="89"/>
        <v>1100</v>
      </c>
      <c r="AC110" s="65">
        <f t="shared" si="89"/>
        <v>1100</v>
      </c>
      <c r="AD110" s="65">
        <f t="shared" si="89"/>
        <v>1100</v>
      </c>
      <c r="AE110" s="65">
        <f t="shared" si="89"/>
        <v>1100</v>
      </c>
      <c r="AF110" s="65">
        <f t="shared" si="89"/>
        <v>1100</v>
      </c>
      <c r="AG110" s="65">
        <f t="shared" si="89"/>
        <v>1100</v>
      </c>
      <c r="AH110" s="65">
        <f t="shared" si="89"/>
        <v>1100</v>
      </c>
      <c r="AJ110" s="341" cm="1">
        <f t="array" aca="1" ref="AJ110" ca="1">INDEX($E110:$AH110,1,MATCH(AJ$3&amp;AJ$4&amp;AJ$5&amp;AJ$6,$E$3:$AH$3&amp;$E$4:$AH$4&amp;$E$5:$AH$5&amp;$E$6:$AH$6,1))</f>
        <v>1000</v>
      </c>
      <c r="AK110" s="341" cm="1">
        <f t="array" aca="1" ref="AK110" ca="1">INDEX($E110:$AH110,1,MATCH(AK$3&amp;AK$4&amp;AK$5&amp;AK$6,$E$3:$AH$3&amp;$E$4:$AH$4&amp;$E$5:$AH$5&amp;$E$6:$AH$6,1))</f>
        <v>1000</v>
      </c>
      <c r="AL110" s="341" cm="1">
        <f t="array" aca="1" ref="AL110" ca="1">INDEX($E110:$AH110,1,MATCH(AL$3&amp;AL$4&amp;AL$5&amp;AL$6,$E$3:$AH$3&amp;$E$4:$AH$4&amp;$E$5:$AH$5&amp;$E$6:$AH$6,1))</f>
        <v>1000</v>
      </c>
      <c r="AM110" s="343" cm="1">
        <f t="array" aca="1" ref="AM110" ca="1">INDEX($E110:$AH110,1,MATCH(AM$3&amp;AM$4&amp;AM$5&amp;AM$6,$E$3:$AH$3&amp;$E$4:$AH$4&amp;$E$5:$AH$5&amp;$E$6:$AH$6,1))</f>
        <v>1000</v>
      </c>
      <c r="AN110" s="341" cm="1">
        <f t="array" aca="1" ref="AN110" ca="1">INDEX($E110:$AH110,1,MATCH(AN$3&amp;AN$4&amp;AN$5&amp;AN$6,$E$3:$AH$3&amp;$E$4:$AH$4&amp;$E$5:$AH$5&amp;$E$6:$AH$6,1))</f>
        <v>1100</v>
      </c>
      <c r="AO110" s="341" cm="1">
        <f t="array" aca="1" ref="AO110" ca="1">INDEX($E110:$AH110,1,MATCH(AO$3&amp;AO$4&amp;AO$5&amp;AO$6,$E$3:$AH$3&amp;$E$4:$AH$4&amp;$E$5:$AH$5&amp;$E$6:$AH$6,1))</f>
        <v>1100</v>
      </c>
      <c r="AP110" s="341" cm="1">
        <f t="array" aca="1" ref="AP110" ca="1">INDEX($E110:$AH110,1,MATCH(AP$3&amp;AP$4&amp;AP$5&amp;AP$6,$E$3:$AH$3&amp;$E$4:$AH$4&amp;$E$5:$AH$5&amp;$E$6:$AH$6,1))</f>
        <v>1100</v>
      </c>
      <c r="AQ110" s="341" cm="1">
        <f t="array" aca="1" ref="AQ110" ca="1">INDEX($E110:$AH110,1,MATCH(AQ$3&amp;AQ$4&amp;AQ$5&amp;AQ$6,$E$3:$AH$3&amp;$E$4:$AH$4&amp;$E$5:$AH$5&amp;$E$6:$AH$6,1))</f>
        <v>1100</v>
      </c>
      <c r="AR110" s="341" cm="1">
        <f t="array" aca="1" ref="AR110" ca="1">INDEX($E110:$AH110,1,MATCH(AR$3&amp;AR$4&amp;AR$5&amp;AR$6,$E$3:$AH$3&amp;$E$4:$AH$4&amp;$E$5:$AH$5&amp;$E$6:$AH$6,1))</f>
        <v>1100</v>
      </c>
      <c r="AS110" s="341" cm="1">
        <f t="array" aca="1" ref="AS110" ca="1">INDEX($E110:$AH110,1,MATCH(AS$3&amp;AS$4&amp;AS$5&amp;AS$6,$E$3:$AH$3&amp;$E$4:$AH$4&amp;$E$5:$AH$5&amp;$E$6:$AH$6,1))</f>
        <v>1100</v>
      </c>
      <c r="AU110" s="341">
        <f t="shared" ca="1" si="88"/>
        <v>1000</v>
      </c>
      <c r="AV110" s="341">
        <f t="shared" ca="1" si="88"/>
        <v>1100</v>
      </c>
      <c r="AW110" s="341">
        <f t="shared" ca="1" si="88"/>
        <v>1100</v>
      </c>
    </row>
    <row r="111" spans="1:49" x14ac:dyDescent="0.25">
      <c r="C111" s="1" t="s">
        <v>2</v>
      </c>
      <c r="E111" s="65">
        <v>1400</v>
      </c>
      <c r="F111" s="65">
        <v>1400</v>
      </c>
      <c r="G111" s="65">
        <v>1400</v>
      </c>
      <c r="H111" s="65">
        <v>1400</v>
      </c>
      <c r="I111" s="65">
        <v>1400</v>
      </c>
      <c r="J111" s="65">
        <v>1400</v>
      </c>
      <c r="K111" s="65">
        <v>1400</v>
      </c>
      <c r="L111" s="65">
        <v>1400</v>
      </c>
      <c r="M111" s="65">
        <v>1400</v>
      </c>
      <c r="N111" s="65">
        <v>1400</v>
      </c>
      <c r="O111" s="65">
        <v>1400</v>
      </c>
      <c r="P111" s="67">
        <v>1400</v>
      </c>
      <c r="Q111" s="65">
        <v>1400</v>
      </c>
      <c r="R111" s="65">
        <v>1400</v>
      </c>
      <c r="S111" s="66">
        <v>1500</v>
      </c>
      <c r="T111" s="65">
        <f t="shared" si="89"/>
        <v>1500</v>
      </c>
      <c r="U111" s="65">
        <f t="shared" si="89"/>
        <v>1500</v>
      </c>
      <c r="V111" s="65">
        <f t="shared" si="89"/>
        <v>1500</v>
      </c>
      <c r="W111" s="65">
        <f t="shared" si="89"/>
        <v>1500</v>
      </c>
      <c r="X111" s="65">
        <f t="shared" si="89"/>
        <v>1500</v>
      </c>
      <c r="Y111" s="65">
        <f t="shared" si="89"/>
        <v>1500</v>
      </c>
      <c r="Z111" s="65">
        <f t="shared" si="89"/>
        <v>1500</v>
      </c>
      <c r="AA111" s="65">
        <f t="shared" si="89"/>
        <v>1500</v>
      </c>
      <c r="AB111" s="65">
        <f t="shared" si="89"/>
        <v>1500</v>
      </c>
      <c r="AC111" s="65">
        <f t="shared" si="89"/>
        <v>1500</v>
      </c>
      <c r="AD111" s="65">
        <f t="shared" si="89"/>
        <v>1500</v>
      </c>
      <c r="AE111" s="65">
        <f t="shared" si="89"/>
        <v>1500</v>
      </c>
      <c r="AF111" s="65">
        <f t="shared" si="89"/>
        <v>1500</v>
      </c>
      <c r="AG111" s="65">
        <f t="shared" si="89"/>
        <v>1500</v>
      </c>
      <c r="AH111" s="65">
        <f t="shared" si="89"/>
        <v>1500</v>
      </c>
      <c r="AJ111" s="341" cm="1">
        <f t="array" aca="1" ref="AJ111" ca="1">INDEX($E111:$AH111,1,MATCH(AJ$3&amp;AJ$4&amp;AJ$5&amp;AJ$6,$E$3:$AH$3&amp;$E$4:$AH$4&amp;$E$5:$AH$5&amp;$E$6:$AH$6,1))</f>
        <v>1400</v>
      </c>
      <c r="AK111" s="341" cm="1">
        <f t="array" aca="1" ref="AK111" ca="1">INDEX($E111:$AH111,1,MATCH(AK$3&amp;AK$4&amp;AK$5&amp;AK$6,$E$3:$AH$3&amp;$E$4:$AH$4&amp;$E$5:$AH$5&amp;$E$6:$AH$6,1))</f>
        <v>1400</v>
      </c>
      <c r="AL111" s="341" cm="1">
        <f t="array" aca="1" ref="AL111" ca="1">INDEX($E111:$AH111,1,MATCH(AL$3&amp;AL$4&amp;AL$5&amp;AL$6,$E$3:$AH$3&amp;$E$4:$AH$4&amp;$E$5:$AH$5&amp;$E$6:$AH$6,1))</f>
        <v>1400</v>
      </c>
      <c r="AM111" s="343" cm="1">
        <f t="array" aca="1" ref="AM111" ca="1">INDEX($E111:$AH111,1,MATCH(AM$3&amp;AM$4&amp;AM$5&amp;AM$6,$E$3:$AH$3&amp;$E$4:$AH$4&amp;$E$5:$AH$5&amp;$E$6:$AH$6,1))</f>
        <v>1400</v>
      </c>
      <c r="AN111" s="341" cm="1">
        <f t="array" aca="1" ref="AN111" ca="1">INDEX($E111:$AH111,1,MATCH(AN$3&amp;AN$4&amp;AN$5&amp;AN$6,$E$3:$AH$3&amp;$E$4:$AH$4&amp;$E$5:$AH$5&amp;$E$6:$AH$6,1))</f>
        <v>1500</v>
      </c>
      <c r="AO111" s="341" cm="1">
        <f t="array" aca="1" ref="AO111" ca="1">INDEX($E111:$AH111,1,MATCH(AO$3&amp;AO$4&amp;AO$5&amp;AO$6,$E$3:$AH$3&amp;$E$4:$AH$4&amp;$E$5:$AH$5&amp;$E$6:$AH$6,1))</f>
        <v>1500</v>
      </c>
      <c r="AP111" s="341" cm="1">
        <f t="array" aca="1" ref="AP111" ca="1">INDEX($E111:$AH111,1,MATCH(AP$3&amp;AP$4&amp;AP$5&amp;AP$6,$E$3:$AH$3&amp;$E$4:$AH$4&amp;$E$5:$AH$5&amp;$E$6:$AH$6,1))</f>
        <v>1500</v>
      </c>
      <c r="AQ111" s="341" cm="1">
        <f t="array" aca="1" ref="AQ111" ca="1">INDEX($E111:$AH111,1,MATCH(AQ$3&amp;AQ$4&amp;AQ$5&amp;AQ$6,$E$3:$AH$3&amp;$E$4:$AH$4&amp;$E$5:$AH$5&amp;$E$6:$AH$6,1))</f>
        <v>1500</v>
      </c>
      <c r="AR111" s="341" cm="1">
        <f t="array" aca="1" ref="AR111" ca="1">INDEX($E111:$AH111,1,MATCH(AR$3&amp;AR$4&amp;AR$5&amp;AR$6,$E$3:$AH$3&amp;$E$4:$AH$4&amp;$E$5:$AH$5&amp;$E$6:$AH$6,1))</f>
        <v>1500</v>
      </c>
      <c r="AS111" s="341" cm="1">
        <f t="array" aca="1" ref="AS111" ca="1">INDEX($E111:$AH111,1,MATCH(AS$3&amp;AS$4&amp;AS$5&amp;AS$6,$E$3:$AH$3&amp;$E$4:$AH$4&amp;$E$5:$AH$5&amp;$E$6:$AH$6,1))</f>
        <v>1500</v>
      </c>
      <c r="AU111" s="341">
        <f t="shared" ca="1" si="88"/>
        <v>1400</v>
      </c>
      <c r="AV111" s="341">
        <f t="shared" ca="1" si="88"/>
        <v>1500</v>
      </c>
      <c r="AW111" s="341">
        <f t="shared" ca="1" si="88"/>
        <v>1500</v>
      </c>
    </row>
    <row r="112" spans="1:49" x14ac:dyDescent="0.25">
      <c r="C112" s="1" t="s">
        <v>4</v>
      </c>
      <c r="E112" s="65">
        <v>300</v>
      </c>
      <c r="F112" s="65">
        <v>300</v>
      </c>
      <c r="G112" s="65">
        <v>300</v>
      </c>
      <c r="H112" s="65">
        <v>300</v>
      </c>
      <c r="I112" s="65">
        <v>300</v>
      </c>
      <c r="J112" s="65">
        <v>300</v>
      </c>
      <c r="K112" s="65">
        <v>300</v>
      </c>
      <c r="L112" s="65">
        <v>300</v>
      </c>
      <c r="M112" s="65">
        <v>300</v>
      </c>
      <c r="N112" s="65">
        <v>300</v>
      </c>
      <c r="O112" s="65">
        <v>300</v>
      </c>
      <c r="P112" s="67">
        <v>300</v>
      </c>
      <c r="Q112" s="65">
        <v>300</v>
      </c>
      <c r="R112" s="65">
        <v>300</v>
      </c>
      <c r="S112" s="66">
        <v>350</v>
      </c>
      <c r="T112" s="65">
        <f t="shared" si="89"/>
        <v>350</v>
      </c>
      <c r="U112" s="65">
        <f t="shared" si="89"/>
        <v>350</v>
      </c>
      <c r="V112" s="65">
        <f t="shared" si="89"/>
        <v>350</v>
      </c>
      <c r="W112" s="65">
        <f t="shared" si="89"/>
        <v>350</v>
      </c>
      <c r="X112" s="65">
        <f t="shared" si="89"/>
        <v>350</v>
      </c>
      <c r="Y112" s="65">
        <f t="shared" si="89"/>
        <v>350</v>
      </c>
      <c r="Z112" s="65">
        <f t="shared" si="89"/>
        <v>350</v>
      </c>
      <c r="AA112" s="65">
        <f t="shared" si="89"/>
        <v>350</v>
      </c>
      <c r="AB112" s="65">
        <f t="shared" si="89"/>
        <v>350</v>
      </c>
      <c r="AC112" s="65">
        <f t="shared" si="89"/>
        <v>350</v>
      </c>
      <c r="AD112" s="65">
        <f t="shared" si="89"/>
        <v>350</v>
      </c>
      <c r="AE112" s="65">
        <f t="shared" si="89"/>
        <v>350</v>
      </c>
      <c r="AF112" s="65">
        <f t="shared" si="89"/>
        <v>350</v>
      </c>
      <c r="AG112" s="65">
        <f t="shared" si="89"/>
        <v>350</v>
      </c>
      <c r="AH112" s="65">
        <f t="shared" si="89"/>
        <v>350</v>
      </c>
      <c r="AJ112" s="341" cm="1">
        <f t="array" aca="1" ref="AJ112" ca="1">INDEX($E112:$AH112,1,MATCH(AJ$3&amp;AJ$4&amp;AJ$5&amp;AJ$6,$E$3:$AH$3&amp;$E$4:$AH$4&amp;$E$5:$AH$5&amp;$E$6:$AH$6,1))</f>
        <v>300</v>
      </c>
      <c r="AK112" s="341" cm="1">
        <f t="array" aca="1" ref="AK112" ca="1">INDEX($E112:$AH112,1,MATCH(AK$3&amp;AK$4&amp;AK$5&amp;AK$6,$E$3:$AH$3&amp;$E$4:$AH$4&amp;$E$5:$AH$5&amp;$E$6:$AH$6,1))</f>
        <v>300</v>
      </c>
      <c r="AL112" s="341" cm="1">
        <f t="array" aca="1" ref="AL112" ca="1">INDEX($E112:$AH112,1,MATCH(AL$3&amp;AL$4&amp;AL$5&amp;AL$6,$E$3:$AH$3&amp;$E$4:$AH$4&amp;$E$5:$AH$5&amp;$E$6:$AH$6,1))</f>
        <v>300</v>
      </c>
      <c r="AM112" s="343" cm="1">
        <f t="array" aca="1" ref="AM112" ca="1">INDEX($E112:$AH112,1,MATCH(AM$3&amp;AM$4&amp;AM$5&amp;AM$6,$E$3:$AH$3&amp;$E$4:$AH$4&amp;$E$5:$AH$5&amp;$E$6:$AH$6,1))</f>
        <v>300</v>
      </c>
      <c r="AN112" s="341" cm="1">
        <f t="array" aca="1" ref="AN112" ca="1">INDEX($E112:$AH112,1,MATCH(AN$3&amp;AN$4&amp;AN$5&amp;AN$6,$E$3:$AH$3&amp;$E$4:$AH$4&amp;$E$5:$AH$5&amp;$E$6:$AH$6,1))</f>
        <v>350</v>
      </c>
      <c r="AO112" s="341" cm="1">
        <f t="array" aca="1" ref="AO112" ca="1">INDEX($E112:$AH112,1,MATCH(AO$3&amp;AO$4&amp;AO$5&amp;AO$6,$E$3:$AH$3&amp;$E$4:$AH$4&amp;$E$5:$AH$5&amp;$E$6:$AH$6,1))</f>
        <v>350</v>
      </c>
      <c r="AP112" s="341" cm="1">
        <f t="array" aca="1" ref="AP112" ca="1">INDEX($E112:$AH112,1,MATCH(AP$3&amp;AP$4&amp;AP$5&amp;AP$6,$E$3:$AH$3&amp;$E$4:$AH$4&amp;$E$5:$AH$5&amp;$E$6:$AH$6,1))</f>
        <v>350</v>
      </c>
      <c r="AQ112" s="341" cm="1">
        <f t="array" aca="1" ref="AQ112" ca="1">INDEX($E112:$AH112,1,MATCH(AQ$3&amp;AQ$4&amp;AQ$5&amp;AQ$6,$E$3:$AH$3&amp;$E$4:$AH$4&amp;$E$5:$AH$5&amp;$E$6:$AH$6,1))</f>
        <v>350</v>
      </c>
      <c r="AR112" s="341" cm="1">
        <f t="array" aca="1" ref="AR112" ca="1">INDEX($E112:$AH112,1,MATCH(AR$3&amp;AR$4&amp;AR$5&amp;AR$6,$E$3:$AH$3&amp;$E$4:$AH$4&amp;$E$5:$AH$5&amp;$E$6:$AH$6,1))</f>
        <v>350</v>
      </c>
      <c r="AS112" s="341" cm="1">
        <f t="array" aca="1" ref="AS112" ca="1">INDEX($E112:$AH112,1,MATCH(AS$3&amp;AS$4&amp;AS$5&amp;AS$6,$E$3:$AH$3&amp;$E$4:$AH$4&amp;$E$5:$AH$5&amp;$E$6:$AH$6,1))</f>
        <v>350</v>
      </c>
      <c r="AU112" s="341">
        <f t="shared" ca="1" si="88"/>
        <v>300</v>
      </c>
      <c r="AV112" s="341">
        <f t="shared" ca="1" si="88"/>
        <v>350</v>
      </c>
      <c r="AW112" s="341">
        <f t="shared" ca="1" si="88"/>
        <v>350</v>
      </c>
    </row>
    <row r="113" spans="2:49" x14ac:dyDescent="0.25">
      <c r="C113" s="1" t="s">
        <v>5</v>
      </c>
      <c r="E113" s="65">
        <v>500</v>
      </c>
      <c r="F113" s="65">
        <v>500</v>
      </c>
      <c r="G113" s="65">
        <v>500</v>
      </c>
      <c r="H113" s="65">
        <v>500</v>
      </c>
      <c r="I113" s="65">
        <v>500</v>
      </c>
      <c r="J113" s="65">
        <v>500</v>
      </c>
      <c r="K113" s="65">
        <v>500</v>
      </c>
      <c r="L113" s="65">
        <v>500</v>
      </c>
      <c r="M113" s="65">
        <v>500</v>
      </c>
      <c r="N113" s="65">
        <v>500</v>
      </c>
      <c r="O113" s="65">
        <v>500</v>
      </c>
      <c r="P113" s="67">
        <v>500</v>
      </c>
      <c r="Q113" s="65">
        <v>500</v>
      </c>
      <c r="R113" s="65">
        <v>500</v>
      </c>
      <c r="S113" s="66">
        <v>550</v>
      </c>
      <c r="T113" s="65">
        <f t="shared" si="89"/>
        <v>550</v>
      </c>
      <c r="U113" s="65">
        <f t="shared" si="89"/>
        <v>550</v>
      </c>
      <c r="V113" s="65">
        <f t="shared" si="89"/>
        <v>550</v>
      </c>
      <c r="W113" s="65">
        <f t="shared" si="89"/>
        <v>550</v>
      </c>
      <c r="X113" s="65">
        <f t="shared" si="89"/>
        <v>550</v>
      </c>
      <c r="Y113" s="65">
        <f t="shared" si="89"/>
        <v>550</v>
      </c>
      <c r="Z113" s="65">
        <f t="shared" si="89"/>
        <v>550</v>
      </c>
      <c r="AA113" s="65">
        <f t="shared" si="89"/>
        <v>550</v>
      </c>
      <c r="AB113" s="65">
        <f t="shared" si="89"/>
        <v>550</v>
      </c>
      <c r="AC113" s="65">
        <f t="shared" si="89"/>
        <v>550</v>
      </c>
      <c r="AD113" s="65">
        <f t="shared" si="89"/>
        <v>550</v>
      </c>
      <c r="AE113" s="65">
        <f t="shared" si="89"/>
        <v>550</v>
      </c>
      <c r="AF113" s="65">
        <f t="shared" si="89"/>
        <v>550</v>
      </c>
      <c r="AG113" s="65">
        <f t="shared" si="89"/>
        <v>550</v>
      </c>
      <c r="AH113" s="65">
        <f t="shared" si="89"/>
        <v>550</v>
      </c>
      <c r="AJ113" s="341" cm="1">
        <f t="array" aca="1" ref="AJ113" ca="1">INDEX($E113:$AH113,1,MATCH(AJ$3&amp;AJ$4&amp;AJ$5&amp;AJ$6,$E$3:$AH$3&amp;$E$4:$AH$4&amp;$E$5:$AH$5&amp;$E$6:$AH$6,1))</f>
        <v>500</v>
      </c>
      <c r="AK113" s="341" cm="1">
        <f t="array" aca="1" ref="AK113" ca="1">INDEX($E113:$AH113,1,MATCH(AK$3&amp;AK$4&amp;AK$5&amp;AK$6,$E$3:$AH$3&amp;$E$4:$AH$4&amp;$E$5:$AH$5&amp;$E$6:$AH$6,1))</f>
        <v>500</v>
      </c>
      <c r="AL113" s="341" cm="1">
        <f t="array" aca="1" ref="AL113" ca="1">INDEX($E113:$AH113,1,MATCH(AL$3&amp;AL$4&amp;AL$5&amp;AL$6,$E$3:$AH$3&amp;$E$4:$AH$4&amp;$E$5:$AH$5&amp;$E$6:$AH$6,1))</f>
        <v>500</v>
      </c>
      <c r="AM113" s="343" cm="1">
        <f t="array" aca="1" ref="AM113" ca="1">INDEX($E113:$AH113,1,MATCH(AM$3&amp;AM$4&amp;AM$5&amp;AM$6,$E$3:$AH$3&amp;$E$4:$AH$4&amp;$E$5:$AH$5&amp;$E$6:$AH$6,1))</f>
        <v>500</v>
      </c>
      <c r="AN113" s="341" cm="1">
        <f t="array" aca="1" ref="AN113" ca="1">INDEX($E113:$AH113,1,MATCH(AN$3&amp;AN$4&amp;AN$5&amp;AN$6,$E$3:$AH$3&amp;$E$4:$AH$4&amp;$E$5:$AH$5&amp;$E$6:$AH$6,1))</f>
        <v>550</v>
      </c>
      <c r="AO113" s="341" cm="1">
        <f t="array" aca="1" ref="AO113" ca="1">INDEX($E113:$AH113,1,MATCH(AO$3&amp;AO$4&amp;AO$5&amp;AO$6,$E$3:$AH$3&amp;$E$4:$AH$4&amp;$E$5:$AH$5&amp;$E$6:$AH$6,1))</f>
        <v>550</v>
      </c>
      <c r="AP113" s="341" cm="1">
        <f t="array" aca="1" ref="AP113" ca="1">INDEX($E113:$AH113,1,MATCH(AP$3&amp;AP$4&amp;AP$5&amp;AP$6,$E$3:$AH$3&amp;$E$4:$AH$4&amp;$E$5:$AH$5&amp;$E$6:$AH$6,1))</f>
        <v>550</v>
      </c>
      <c r="AQ113" s="341" cm="1">
        <f t="array" aca="1" ref="AQ113" ca="1">INDEX($E113:$AH113,1,MATCH(AQ$3&amp;AQ$4&amp;AQ$5&amp;AQ$6,$E$3:$AH$3&amp;$E$4:$AH$4&amp;$E$5:$AH$5&amp;$E$6:$AH$6,1))</f>
        <v>550</v>
      </c>
      <c r="AR113" s="341" cm="1">
        <f t="array" aca="1" ref="AR113" ca="1">INDEX($E113:$AH113,1,MATCH(AR$3&amp;AR$4&amp;AR$5&amp;AR$6,$E$3:$AH$3&amp;$E$4:$AH$4&amp;$E$5:$AH$5&amp;$E$6:$AH$6,1))</f>
        <v>550</v>
      </c>
      <c r="AS113" s="341" cm="1">
        <f t="array" aca="1" ref="AS113" ca="1">INDEX($E113:$AH113,1,MATCH(AS$3&amp;AS$4&amp;AS$5&amp;AS$6,$E$3:$AH$3&amp;$E$4:$AH$4&amp;$E$5:$AH$5&amp;$E$6:$AH$6,1))</f>
        <v>550</v>
      </c>
      <c r="AU113" s="341">
        <f t="shared" ca="1" si="88"/>
        <v>500</v>
      </c>
      <c r="AV113" s="341">
        <f t="shared" ca="1" si="88"/>
        <v>550</v>
      </c>
      <c r="AW113" s="341">
        <f t="shared" ca="1" si="88"/>
        <v>550</v>
      </c>
    </row>
    <row r="114" spans="2:49" x14ac:dyDescent="0.25">
      <c r="C114" s="23" t="s">
        <v>347</v>
      </c>
      <c r="D114" s="27"/>
      <c r="E114" s="68">
        <v>300</v>
      </c>
      <c r="F114" s="68">
        <v>300</v>
      </c>
      <c r="G114" s="68">
        <v>300</v>
      </c>
      <c r="H114" s="68">
        <v>300</v>
      </c>
      <c r="I114" s="68">
        <v>300</v>
      </c>
      <c r="J114" s="68">
        <v>300</v>
      </c>
      <c r="K114" s="68">
        <v>300</v>
      </c>
      <c r="L114" s="68">
        <v>300</v>
      </c>
      <c r="M114" s="68">
        <v>300</v>
      </c>
      <c r="N114" s="68">
        <v>300</v>
      </c>
      <c r="O114" s="68">
        <v>300</v>
      </c>
      <c r="P114" s="69">
        <v>300</v>
      </c>
      <c r="Q114" s="68">
        <v>300</v>
      </c>
      <c r="R114" s="68">
        <v>300</v>
      </c>
      <c r="S114" s="224">
        <v>350</v>
      </c>
      <c r="T114" s="68">
        <f t="shared" si="89"/>
        <v>350</v>
      </c>
      <c r="U114" s="68">
        <f t="shared" si="89"/>
        <v>350</v>
      </c>
      <c r="V114" s="68">
        <f t="shared" si="89"/>
        <v>350</v>
      </c>
      <c r="W114" s="68">
        <f t="shared" si="89"/>
        <v>350</v>
      </c>
      <c r="X114" s="68">
        <f t="shared" si="89"/>
        <v>350</v>
      </c>
      <c r="Y114" s="68">
        <f t="shared" si="89"/>
        <v>350</v>
      </c>
      <c r="Z114" s="68">
        <f t="shared" si="89"/>
        <v>350</v>
      </c>
      <c r="AA114" s="68">
        <f t="shared" si="89"/>
        <v>350</v>
      </c>
      <c r="AB114" s="68">
        <f t="shared" si="89"/>
        <v>350</v>
      </c>
      <c r="AC114" s="68">
        <f t="shared" si="89"/>
        <v>350</v>
      </c>
      <c r="AD114" s="68">
        <f t="shared" si="89"/>
        <v>350</v>
      </c>
      <c r="AE114" s="68">
        <f t="shared" si="89"/>
        <v>350</v>
      </c>
      <c r="AF114" s="68">
        <f t="shared" si="89"/>
        <v>350</v>
      </c>
      <c r="AG114" s="68">
        <f t="shared" si="89"/>
        <v>350</v>
      </c>
      <c r="AH114" s="68">
        <f t="shared" si="89"/>
        <v>350</v>
      </c>
      <c r="AJ114" s="197" cm="1">
        <f t="array" aca="1" ref="AJ114" ca="1">INDEX($E114:$AH114,1,MATCH(AJ$3&amp;AJ$4&amp;AJ$5&amp;AJ$6,$E$3:$AH$3&amp;$E$4:$AH$4&amp;$E$5:$AH$5&amp;$E$6:$AH$6,1))</f>
        <v>300</v>
      </c>
      <c r="AK114" s="197" cm="1">
        <f t="array" aca="1" ref="AK114" ca="1">INDEX($E114:$AH114,1,MATCH(AK$3&amp;AK$4&amp;AK$5&amp;AK$6,$E$3:$AH$3&amp;$E$4:$AH$4&amp;$E$5:$AH$5&amp;$E$6:$AH$6,1))</f>
        <v>300</v>
      </c>
      <c r="AL114" s="197" cm="1">
        <f t="array" aca="1" ref="AL114" ca="1">INDEX($E114:$AH114,1,MATCH(AL$3&amp;AL$4&amp;AL$5&amp;AL$6,$E$3:$AH$3&amp;$E$4:$AH$4&amp;$E$5:$AH$5&amp;$E$6:$AH$6,1))</f>
        <v>300</v>
      </c>
      <c r="AM114" s="345" cm="1">
        <f t="array" aca="1" ref="AM114" ca="1">INDEX($E114:$AH114,1,MATCH(AM$3&amp;AM$4&amp;AM$5&amp;AM$6,$E$3:$AH$3&amp;$E$4:$AH$4&amp;$E$5:$AH$5&amp;$E$6:$AH$6,1))</f>
        <v>300</v>
      </c>
      <c r="AN114" s="197" cm="1">
        <f t="array" aca="1" ref="AN114" ca="1">INDEX($E114:$AH114,1,MATCH(AN$3&amp;AN$4&amp;AN$5&amp;AN$6,$E$3:$AH$3&amp;$E$4:$AH$4&amp;$E$5:$AH$5&amp;$E$6:$AH$6,1))</f>
        <v>350</v>
      </c>
      <c r="AO114" s="197" cm="1">
        <f t="array" aca="1" ref="AO114" ca="1">INDEX($E114:$AH114,1,MATCH(AO$3&amp;AO$4&amp;AO$5&amp;AO$6,$E$3:$AH$3&amp;$E$4:$AH$4&amp;$E$5:$AH$5&amp;$E$6:$AH$6,1))</f>
        <v>350</v>
      </c>
      <c r="AP114" s="197" cm="1">
        <f t="array" aca="1" ref="AP114" ca="1">INDEX($E114:$AH114,1,MATCH(AP$3&amp;AP$4&amp;AP$5&amp;AP$6,$E$3:$AH$3&amp;$E$4:$AH$4&amp;$E$5:$AH$5&amp;$E$6:$AH$6,1))</f>
        <v>350</v>
      </c>
      <c r="AQ114" s="197" cm="1">
        <f t="array" aca="1" ref="AQ114" ca="1">INDEX($E114:$AH114,1,MATCH(AQ$3&amp;AQ$4&amp;AQ$5&amp;AQ$6,$E$3:$AH$3&amp;$E$4:$AH$4&amp;$E$5:$AH$5&amp;$E$6:$AH$6,1))</f>
        <v>350</v>
      </c>
      <c r="AR114" s="197" cm="1">
        <f t="array" aca="1" ref="AR114" ca="1">INDEX($E114:$AH114,1,MATCH(AR$3&amp;AR$4&amp;AR$5&amp;AR$6,$E$3:$AH$3&amp;$E$4:$AH$4&amp;$E$5:$AH$5&amp;$E$6:$AH$6,1))</f>
        <v>350</v>
      </c>
      <c r="AS114" s="197" cm="1">
        <f t="array" aca="1" ref="AS114" ca="1">INDEX($E114:$AH114,1,MATCH(AS$3&amp;AS$4&amp;AS$5&amp;AS$6,$E$3:$AH$3&amp;$E$4:$AH$4&amp;$E$5:$AH$5&amp;$E$6:$AH$6,1))</f>
        <v>350</v>
      </c>
      <c r="AU114" s="197">
        <f t="shared" ca="1" si="88"/>
        <v>300</v>
      </c>
      <c r="AV114" s="197">
        <f t="shared" ca="1" si="88"/>
        <v>350</v>
      </c>
      <c r="AW114" s="197">
        <f t="shared" ca="1" si="88"/>
        <v>350</v>
      </c>
    </row>
    <row r="115" spans="2:49" x14ac:dyDescent="0.25">
      <c r="B115" t="s">
        <v>231</v>
      </c>
      <c r="C115" s="11" t="str">
        <f>"Total "&amp;MID(C103,1,LEN(C103)-LEN(" Department"))&amp;" Headcount"</f>
        <v>Total Engineering Headcount</v>
      </c>
      <c r="D115" s="11"/>
      <c r="E115" s="83">
        <f>SUM(E104:E114)</f>
        <v>6300</v>
      </c>
      <c r="F115" s="83">
        <f t="shared" ref="F115:AW115" si="90">SUM(F104:F114)</f>
        <v>6300</v>
      </c>
      <c r="G115" s="83">
        <f t="shared" si="90"/>
        <v>6300</v>
      </c>
      <c r="H115" s="83">
        <f t="shared" si="90"/>
        <v>6300</v>
      </c>
      <c r="I115" s="83">
        <f t="shared" si="90"/>
        <v>6300</v>
      </c>
      <c r="J115" s="83">
        <f t="shared" si="90"/>
        <v>6300</v>
      </c>
      <c r="K115" s="83">
        <f t="shared" si="90"/>
        <v>6300</v>
      </c>
      <c r="L115" s="83">
        <f t="shared" si="90"/>
        <v>6300</v>
      </c>
      <c r="M115" s="83">
        <f t="shared" si="90"/>
        <v>6300</v>
      </c>
      <c r="N115" s="83">
        <f t="shared" si="90"/>
        <v>6300</v>
      </c>
      <c r="O115" s="83">
        <f t="shared" si="90"/>
        <v>6300</v>
      </c>
      <c r="P115" s="158">
        <f t="shared" si="90"/>
        <v>6300</v>
      </c>
      <c r="Q115" s="189">
        <f t="shared" si="90"/>
        <v>6300</v>
      </c>
      <c r="R115" s="189">
        <f t="shared" si="90"/>
        <v>6300</v>
      </c>
      <c r="S115" s="189">
        <f t="shared" si="90"/>
        <v>6900</v>
      </c>
      <c r="T115" s="189">
        <f t="shared" si="90"/>
        <v>6900</v>
      </c>
      <c r="U115" s="189">
        <f t="shared" si="90"/>
        <v>6900</v>
      </c>
      <c r="V115" s="189">
        <f t="shared" si="90"/>
        <v>6900</v>
      </c>
      <c r="W115" s="189">
        <f t="shared" si="90"/>
        <v>6900</v>
      </c>
      <c r="X115" s="189">
        <f t="shared" si="90"/>
        <v>6900</v>
      </c>
      <c r="Y115" s="189">
        <f t="shared" si="90"/>
        <v>6900</v>
      </c>
      <c r="Z115" s="189">
        <f t="shared" si="90"/>
        <v>6900</v>
      </c>
      <c r="AA115" s="189">
        <f t="shared" si="90"/>
        <v>6900</v>
      </c>
      <c r="AB115" s="189">
        <f t="shared" si="90"/>
        <v>6900</v>
      </c>
      <c r="AC115" s="189">
        <f t="shared" si="90"/>
        <v>6900</v>
      </c>
      <c r="AD115" s="189">
        <f t="shared" si="90"/>
        <v>6900</v>
      </c>
      <c r="AE115" s="189">
        <f t="shared" si="90"/>
        <v>6900</v>
      </c>
      <c r="AF115" s="189">
        <f t="shared" si="90"/>
        <v>6900</v>
      </c>
      <c r="AG115" s="189">
        <f t="shared" si="90"/>
        <v>6900</v>
      </c>
      <c r="AH115" s="189">
        <f t="shared" si="90"/>
        <v>6900</v>
      </c>
      <c r="AJ115" s="189">
        <f t="shared" ca="1" si="90"/>
        <v>6300</v>
      </c>
      <c r="AK115" s="189">
        <f t="shared" ca="1" si="90"/>
        <v>6300</v>
      </c>
      <c r="AL115" s="189">
        <f t="shared" ca="1" si="90"/>
        <v>6300</v>
      </c>
      <c r="AM115" s="350">
        <f t="shared" ca="1" si="90"/>
        <v>6300</v>
      </c>
      <c r="AN115" s="189">
        <f t="shared" ca="1" si="90"/>
        <v>6900</v>
      </c>
      <c r="AO115" s="189">
        <f t="shared" ca="1" si="90"/>
        <v>6900</v>
      </c>
      <c r="AP115" s="189">
        <f t="shared" ca="1" si="90"/>
        <v>6900</v>
      </c>
      <c r="AQ115" s="189">
        <f t="shared" ca="1" si="90"/>
        <v>6900</v>
      </c>
      <c r="AR115" s="189">
        <f t="shared" ca="1" si="90"/>
        <v>6900</v>
      </c>
      <c r="AS115" s="189">
        <f t="shared" ca="1" si="90"/>
        <v>6900</v>
      </c>
      <c r="AT115" s="189"/>
      <c r="AU115" s="189">
        <f t="shared" ca="1" si="90"/>
        <v>6300</v>
      </c>
      <c r="AV115" s="189">
        <f t="shared" ca="1" si="90"/>
        <v>6900</v>
      </c>
      <c r="AW115" s="189">
        <f t="shared" ca="1" si="90"/>
        <v>6900</v>
      </c>
    </row>
    <row r="116" spans="2:49" x14ac:dyDescent="0.25">
      <c r="P116" s="8"/>
      <c r="AM116" s="8"/>
    </row>
    <row r="117" spans="2:49" x14ac:dyDescent="0.25">
      <c r="C117" s="30" t="s">
        <v>323</v>
      </c>
      <c r="D117" s="30"/>
      <c r="E117" s="45" t="str">
        <f t="shared" ref="E117:AH117" si="91">E$9</f>
        <v>Jul-20A</v>
      </c>
      <c r="F117" s="45" t="str">
        <f t="shared" si="91"/>
        <v>Aug-20A</v>
      </c>
      <c r="G117" s="45" t="str">
        <f t="shared" si="91"/>
        <v>Sep-20A</v>
      </c>
      <c r="H117" s="45" t="str">
        <f t="shared" si="91"/>
        <v>Oct-20A</v>
      </c>
      <c r="I117" s="45" t="str">
        <f t="shared" si="91"/>
        <v>Nov-20A</v>
      </c>
      <c r="J117" s="45" t="str">
        <f t="shared" si="91"/>
        <v>Dec-20A</v>
      </c>
      <c r="K117" s="45" t="str">
        <f t="shared" si="91"/>
        <v>Jan-21A</v>
      </c>
      <c r="L117" s="45" t="str">
        <f t="shared" si="91"/>
        <v>Feb-21A</v>
      </c>
      <c r="M117" s="45" t="str">
        <f t="shared" si="91"/>
        <v>Mar-21A</v>
      </c>
      <c r="N117" s="45" t="str">
        <f t="shared" si="91"/>
        <v>Apr-21A</v>
      </c>
      <c r="O117" s="45" t="str">
        <f t="shared" si="91"/>
        <v>May-21A</v>
      </c>
      <c r="P117" s="46" t="str">
        <f t="shared" si="91"/>
        <v>Jun-21A</v>
      </c>
      <c r="Q117" s="45" t="str">
        <f t="shared" si="91"/>
        <v>Jul-21F</v>
      </c>
      <c r="R117" s="45" t="str">
        <f t="shared" si="91"/>
        <v>Aug-21F</v>
      </c>
      <c r="S117" s="45" t="str">
        <f t="shared" si="91"/>
        <v>Sep-21F</v>
      </c>
      <c r="T117" s="45" t="str">
        <f t="shared" si="91"/>
        <v>Oct-21F</v>
      </c>
      <c r="U117" s="45" t="str">
        <f t="shared" si="91"/>
        <v>Nov-21F</v>
      </c>
      <c r="V117" s="45" t="str">
        <f t="shared" si="91"/>
        <v>Dec-21F</v>
      </c>
      <c r="W117" s="45" t="str">
        <f t="shared" si="91"/>
        <v>Jan-22F</v>
      </c>
      <c r="X117" s="45" t="str">
        <f t="shared" si="91"/>
        <v>Feb-22F</v>
      </c>
      <c r="Y117" s="45" t="str">
        <f t="shared" si="91"/>
        <v>Mar-22F</v>
      </c>
      <c r="Z117" s="45" t="str">
        <f t="shared" si="91"/>
        <v>Apr-22F</v>
      </c>
      <c r="AA117" s="45" t="str">
        <f t="shared" si="91"/>
        <v>May-22F</v>
      </c>
      <c r="AB117" s="45" t="str">
        <f t="shared" si="91"/>
        <v>Jun-22F</v>
      </c>
      <c r="AC117" s="45" t="str">
        <f t="shared" si="91"/>
        <v>Jul-22F</v>
      </c>
      <c r="AD117" s="45" t="str">
        <f t="shared" si="91"/>
        <v>Aug-22F</v>
      </c>
      <c r="AE117" s="45" t="str">
        <f t="shared" si="91"/>
        <v>Sep-22F</v>
      </c>
      <c r="AF117" s="45" t="str">
        <f t="shared" si="91"/>
        <v>Oct-22F</v>
      </c>
      <c r="AG117" s="45" t="str">
        <f t="shared" si="91"/>
        <v>Nov-22F</v>
      </c>
      <c r="AH117" s="45" t="str">
        <f t="shared" si="91"/>
        <v>Dec-22F</v>
      </c>
      <c r="AJ117" s="45" t="str">
        <f ca="1">AJ$10</f>
        <v>Q3'20A</v>
      </c>
      <c r="AK117" s="45" t="str">
        <f t="shared" ref="AK117:AW117" ca="1" si="92">AK$10</f>
        <v>Q4'20A</v>
      </c>
      <c r="AL117" s="45" t="str">
        <f t="shared" ca="1" si="92"/>
        <v>Q1'21A</v>
      </c>
      <c r="AM117" s="46" t="str">
        <f t="shared" ca="1" si="92"/>
        <v>Q2'21A</v>
      </c>
      <c r="AN117" s="45" t="str">
        <f t="shared" ca="1" si="92"/>
        <v>Q3'21F</v>
      </c>
      <c r="AO117" s="45" t="str">
        <f t="shared" ca="1" si="92"/>
        <v>Q4'21F</v>
      </c>
      <c r="AP117" s="45" t="str">
        <f t="shared" ca="1" si="92"/>
        <v>Q1'22F</v>
      </c>
      <c r="AQ117" s="45" t="str">
        <f t="shared" ca="1" si="92"/>
        <v>Q2'22F</v>
      </c>
      <c r="AR117" s="45" t="str">
        <f t="shared" ca="1" si="92"/>
        <v>Q3'22F</v>
      </c>
      <c r="AS117" s="45" t="str">
        <f t="shared" ca="1" si="92"/>
        <v>Q4'22F</v>
      </c>
      <c r="AT117" s="13"/>
      <c r="AU117" s="45" t="str">
        <f t="shared" ca="1" si="92"/>
        <v>FY20</v>
      </c>
      <c r="AV117" s="45" t="str">
        <f t="shared" ca="1" si="92"/>
        <v>FY21</v>
      </c>
      <c r="AW117" s="45" t="str">
        <f t="shared" ca="1" si="92"/>
        <v>FY22</v>
      </c>
    </row>
    <row r="118" spans="2:49" x14ac:dyDescent="0.25">
      <c r="C118" t="s">
        <v>350</v>
      </c>
      <c r="E118" s="65">
        <v>200</v>
      </c>
      <c r="F118" s="65">
        <v>200</v>
      </c>
      <c r="G118" s="65">
        <v>200</v>
      </c>
      <c r="H118" s="65">
        <v>200</v>
      </c>
      <c r="I118" s="65">
        <v>200</v>
      </c>
      <c r="J118" s="65">
        <v>200</v>
      </c>
      <c r="K118" s="65">
        <v>200</v>
      </c>
      <c r="L118" s="65">
        <v>200</v>
      </c>
      <c r="M118" s="65">
        <v>200</v>
      </c>
      <c r="N118" s="65">
        <v>200</v>
      </c>
      <c r="O118" s="65">
        <v>200</v>
      </c>
      <c r="P118" s="67">
        <v>200</v>
      </c>
      <c r="Q118" s="65">
        <f>P118</f>
        <v>200</v>
      </c>
      <c r="R118" s="65">
        <f t="shared" ref="R118:AH121" si="93">Q118</f>
        <v>200</v>
      </c>
      <c r="S118" s="65">
        <f t="shared" si="93"/>
        <v>200</v>
      </c>
      <c r="T118" s="65">
        <f t="shared" si="93"/>
        <v>200</v>
      </c>
      <c r="U118" s="65">
        <f t="shared" si="93"/>
        <v>200</v>
      </c>
      <c r="V118" s="65">
        <f t="shared" si="93"/>
        <v>200</v>
      </c>
      <c r="W118" s="65">
        <f t="shared" si="93"/>
        <v>200</v>
      </c>
      <c r="X118" s="65">
        <f t="shared" si="93"/>
        <v>200</v>
      </c>
      <c r="Y118" s="65">
        <f t="shared" si="93"/>
        <v>200</v>
      </c>
      <c r="Z118" s="65">
        <f t="shared" si="93"/>
        <v>200</v>
      </c>
      <c r="AA118" s="65">
        <f t="shared" si="93"/>
        <v>200</v>
      </c>
      <c r="AB118" s="65">
        <f t="shared" si="93"/>
        <v>200</v>
      </c>
      <c r="AC118" s="65">
        <f t="shared" si="93"/>
        <v>200</v>
      </c>
      <c r="AD118" s="65">
        <f t="shared" si="93"/>
        <v>200</v>
      </c>
      <c r="AE118" s="65">
        <f t="shared" si="93"/>
        <v>200</v>
      </c>
      <c r="AF118" s="65">
        <f t="shared" si="93"/>
        <v>200</v>
      </c>
      <c r="AG118" s="65">
        <f t="shared" si="93"/>
        <v>200</v>
      </c>
      <c r="AH118" s="65">
        <f t="shared" si="93"/>
        <v>200</v>
      </c>
      <c r="AJ118" s="341" cm="1">
        <f t="array" aca="1" ref="AJ118" ca="1">INDEX($E118:$AH118,1,MATCH(AJ$3&amp;AJ$4&amp;AJ$5&amp;AJ$6,$E$3:$AH$3&amp;$E$4:$AH$4&amp;$E$5:$AH$5&amp;$E$6:$AH$6,1))</f>
        <v>200</v>
      </c>
      <c r="AK118" s="341" cm="1">
        <f t="array" aca="1" ref="AK118" ca="1">INDEX($E118:$AH118,1,MATCH(AK$3&amp;AK$4&amp;AK$5&amp;AK$6,$E$3:$AH$3&amp;$E$4:$AH$4&amp;$E$5:$AH$5&amp;$E$6:$AH$6,1))</f>
        <v>200</v>
      </c>
      <c r="AL118" s="341" cm="1">
        <f t="array" aca="1" ref="AL118" ca="1">INDEX($E118:$AH118,1,MATCH(AL$3&amp;AL$4&amp;AL$5&amp;AL$6,$E$3:$AH$3&amp;$E$4:$AH$4&amp;$E$5:$AH$5&amp;$E$6:$AH$6,1))</f>
        <v>200</v>
      </c>
      <c r="AM118" s="343" cm="1">
        <f t="array" aca="1" ref="AM118" ca="1">INDEX($E118:$AH118,1,MATCH(AM$3&amp;AM$4&amp;AM$5&amp;AM$6,$E$3:$AH$3&amp;$E$4:$AH$4&amp;$E$5:$AH$5&amp;$E$6:$AH$6,1))</f>
        <v>200</v>
      </c>
      <c r="AN118" s="341" cm="1">
        <f t="array" aca="1" ref="AN118" ca="1">INDEX($E118:$AH118,1,MATCH(AN$3&amp;AN$4&amp;AN$5&amp;AN$6,$E$3:$AH$3&amp;$E$4:$AH$4&amp;$E$5:$AH$5&amp;$E$6:$AH$6,1))</f>
        <v>200</v>
      </c>
      <c r="AO118" s="341" cm="1">
        <f t="array" aca="1" ref="AO118" ca="1">INDEX($E118:$AH118,1,MATCH(AO$3&amp;AO$4&amp;AO$5&amp;AO$6,$E$3:$AH$3&amp;$E$4:$AH$4&amp;$E$5:$AH$5&amp;$E$6:$AH$6,1))</f>
        <v>200</v>
      </c>
      <c r="AP118" s="341" cm="1">
        <f t="array" aca="1" ref="AP118" ca="1">INDEX($E118:$AH118,1,MATCH(AP$3&amp;AP$4&amp;AP$5&amp;AP$6,$E$3:$AH$3&amp;$E$4:$AH$4&amp;$E$5:$AH$5&amp;$E$6:$AH$6,1))</f>
        <v>200</v>
      </c>
      <c r="AQ118" s="341" cm="1">
        <f t="array" aca="1" ref="AQ118" ca="1">INDEX($E118:$AH118,1,MATCH(AQ$3&amp;AQ$4&amp;AQ$5&amp;AQ$6,$E$3:$AH$3&amp;$E$4:$AH$4&amp;$E$5:$AH$5&amp;$E$6:$AH$6,1))</f>
        <v>200</v>
      </c>
      <c r="AR118" s="341" cm="1">
        <f t="array" aca="1" ref="AR118" ca="1">INDEX($E118:$AH118,1,MATCH(AR$3&amp;AR$4&amp;AR$5&amp;AR$6,$E$3:$AH$3&amp;$E$4:$AH$4&amp;$E$5:$AH$5&amp;$E$6:$AH$6,1))</f>
        <v>200</v>
      </c>
      <c r="AS118" s="341" cm="1">
        <f t="array" aca="1" ref="AS118" ca="1">INDEX($E118:$AH118,1,MATCH(AS$3&amp;AS$4&amp;AS$5&amp;AS$6,$E$3:$AH$3&amp;$E$4:$AH$4&amp;$E$5:$AH$5&amp;$E$6:$AH$6,1))</f>
        <v>200</v>
      </c>
      <c r="AU118" s="341">
        <f t="shared" ref="AU118:AW121" ca="1" si="94">INDEX($E118:$AH118,MATCH(AU$5,$E$5:$AH$5,1))</f>
        <v>200</v>
      </c>
      <c r="AV118" s="341">
        <f t="shared" ca="1" si="94"/>
        <v>200</v>
      </c>
      <c r="AW118" s="341">
        <f t="shared" ca="1" si="94"/>
        <v>200</v>
      </c>
    </row>
    <row r="119" spans="2:49" x14ac:dyDescent="0.25">
      <c r="C119" t="s">
        <v>351</v>
      </c>
      <c r="E119" s="65">
        <v>150</v>
      </c>
      <c r="F119" s="65">
        <v>150</v>
      </c>
      <c r="G119" s="65">
        <v>150</v>
      </c>
      <c r="H119" s="65">
        <v>150</v>
      </c>
      <c r="I119" s="65">
        <v>150</v>
      </c>
      <c r="J119" s="65">
        <v>150</v>
      </c>
      <c r="K119" s="65">
        <v>150</v>
      </c>
      <c r="L119" s="65">
        <v>150</v>
      </c>
      <c r="M119" s="65">
        <v>150</v>
      </c>
      <c r="N119" s="65">
        <v>150</v>
      </c>
      <c r="O119" s="65">
        <v>150</v>
      </c>
      <c r="P119" s="67">
        <v>150</v>
      </c>
      <c r="Q119" s="65">
        <f t="shared" ref="Q119:AF121" si="95">P119</f>
        <v>150</v>
      </c>
      <c r="R119" s="65">
        <f t="shared" si="95"/>
        <v>150</v>
      </c>
      <c r="S119" s="65">
        <f t="shared" si="95"/>
        <v>150</v>
      </c>
      <c r="T119" s="65">
        <f t="shared" si="95"/>
        <v>150</v>
      </c>
      <c r="U119" s="65">
        <f t="shared" si="95"/>
        <v>150</v>
      </c>
      <c r="V119" s="65">
        <f t="shared" si="95"/>
        <v>150</v>
      </c>
      <c r="W119" s="65">
        <f t="shared" si="95"/>
        <v>150</v>
      </c>
      <c r="X119" s="65">
        <f t="shared" si="95"/>
        <v>150</v>
      </c>
      <c r="Y119" s="65">
        <f t="shared" si="95"/>
        <v>150</v>
      </c>
      <c r="Z119" s="65">
        <f t="shared" si="95"/>
        <v>150</v>
      </c>
      <c r="AA119" s="65">
        <f t="shared" si="95"/>
        <v>150</v>
      </c>
      <c r="AB119" s="65">
        <f t="shared" si="95"/>
        <v>150</v>
      </c>
      <c r="AC119" s="65">
        <f t="shared" si="95"/>
        <v>150</v>
      </c>
      <c r="AD119" s="65">
        <f t="shared" si="95"/>
        <v>150</v>
      </c>
      <c r="AE119" s="65">
        <f t="shared" si="95"/>
        <v>150</v>
      </c>
      <c r="AF119" s="65">
        <f t="shared" si="95"/>
        <v>150</v>
      </c>
      <c r="AG119" s="65">
        <f t="shared" si="93"/>
        <v>150</v>
      </c>
      <c r="AH119" s="65">
        <f t="shared" si="93"/>
        <v>150</v>
      </c>
      <c r="AJ119" s="341" cm="1">
        <f t="array" aca="1" ref="AJ119" ca="1">INDEX($E119:$AH119,1,MATCH(AJ$3&amp;AJ$4&amp;AJ$5&amp;AJ$6,$E$3:$AH$3&amp;$E$4:$AH$4&amp;$E$5:$AH$5&amp;$E$6:$AH$6,1))</f>
        <v>150</v>
      </c>
      <c r="AK119" s="341" cm="1">
        <f t="array" aca="1" ref="AK119" ca="1">INDEX($E119:$AH119,1,MATCH(AK$3&amp;AK$4&amp;AK$5&amp;AK$6,$E$3:$AH$3&amp;$E$4:$AH$4&amp;$E$5:$AH$5&amp;$E$6:$AH$6,1))</f>
        <v>150</v>
      </c>
      <c r="AL119" s="341" cm="1">
        <f t="array" aca="1" ref="AL119" ca="1">INDEX($E119:$AH119,1,MATCH(AL$3&amp;AL$4&amp;AL$5&amp;AL$6,$E$3:$AH$3&amp;$E$4:$AH$4&amp;$E$5:$AH$5&amp;$E$6:$AH$6,1))</f>
        <v>150</v>
      </c>
      <c r="AM119" s="343" cm="1">
        <f t="array" aca="1" ref="AM119" ca="1">INDEX($E119:$AH119,1,MATCH(AM$3&amp;AM$4&amp;AM$5&amp;AM$6,$E$3:$AH$3&amp;$E$4:$AH$4&amp;$E$5:$AH$5&amp;$E$6:$AH$6,1))</f>
        <v>150</v>
      </c>
      <c r="AN119" s="341" cm="1">
        <f t="array" aca="1" ref="AN119" ca="1">INDEX($E119:$AH119,1,MATCH(AN$3&amp;AN$4&amp;AN$5&amp;AN$6,$E$3:$AH$3&amp;$E$4:$AH$4&amp;$E$5:$AH$5&amp;$E$6:$AH$6,1))</f>
        <v>150</v>
      </c>
      <c r="AO119" s="341" cm="1">
        <f t="array" aca="1" ref="AO119" ca="1">INDEX($E119:$AH119,1,MATCH(AO$3&amp;AO$4&amp;AO$5&amp;AO$6,$E$3:$AH$3&amp;$E$4:$AH$4&amp;$E$5:$AH$5&amp;$E$6:$AH$6,1))</f>
        <v>150</v>
      </c>
      <c r="AP119" s="341" cm="1">
        <f t="array" aca="1" ref="AP119" ca="1">INDEX($E119:$AH119,1,MATCH(AP$3&amp;AP$4&amp;AP$5&amp;AP$6,$E$3:$AH$3&amp;$E$4:$AH$4&amp;$E$5:$AH$5&amp;$E$6:$AH$6,1))</f>
        <v>150</v>
      </c>
      <c r="AQ119" s="341" cm="1">
        <f t="array" aca="1" ref="AQ119" ca="1">INDEX($E119:$AH119,1,MATCH(AQ$3&amp;AQ$4&amp;AQ$5&amp;AQ$6,$E$3:$AH$3&amp;$E$4:$AH$4&amp;$E$5:$AH$5&amp;$E$6:$AH$6,1))</f>
        <v>150</v>
      </c>
      <c r="AR119" s="341" cm="1">
        <f t="array" aca="1" ref="AR119" ca="1">INDEX($E119:$AH119,1,MATCH(AR$3&amp;AR$4&amp;AR$5&amp;AR$6,$E$3:$AH$3&amp;$E$4:$AH$4&amp;$E$5:$AH$5&amp;$E$6:$AH$6,1))</f>
        <v>150</v>
      </c>
      <c r="AS119" s="341" cm="1">
        <f t="array" aca="1" ref="AS119" ca="1">INDEX($E119:$AH119,1,MATCH(AS$3&amp;AS$4&amp;AS$5&amp;AS$6,$E$3:$AH$3&amp;$E$4:$AH$4&amp;$E$5:$AH$5&amp;$E$6:$AH$6,1))</f>
        <v>150</v>
      </c>
      <c r="AU119" s="341">
        <f t="shared" ca="1" si="94"/>
        <v>150</v>
      </c>
      <c r="AV119" s="341">
        <f t="shared" ca="1" si="94"/>
        <v>150</v>
      </c>
      <c r="AW119" s="341">
        <f t="shared" ca="1" si="94"/>
        <v>150</v>
      </c>
    </row>
    <row r="120" spans="2:49" x14ac:dyDescent="0.25">
      <c r="C120" t="s">
        <v>352</v>
      </c>
      <c r="E120" s="65">
        <v>300</v>
      </c>
      <c r="F120" s="65">
        <v>300</v>
      </c>
      <c r="G120" s="65">
        <v>300</v>
      </c>
      <c r="H120" s="65">
        <v>300</v>
      </c>
      <c r="I120" s="65">
        <v>300</v>
      </c>
      <c r="J120" s="65">
        <v>300</v>
      </c>
      <c r="K120" s="65">
        <v>300</v>
      </c>
      <c r="L120" s="65">
        <v>300</v>
      </c>
      <c r="M120" s="65">
        <v>300</v>
      </c>
      <c r="N120" s="65">
        <v>300</v>
      </c>
      <c r="O120" s="65">
        <v>300</v>
      </c>
      <c r="P120" s="67">
        <v>300</v>
      </c>
      <c r="Q120" s="65">
        <f t="shared" si="95"/>
        <v>300</v>
      </c>
      <c r="R120" s="65">
        <f t="shared" si="93"/>
        <v>300</v>
      </c>
      <c r="S120" s="65">
        <f t="shared" si="93"/>
        <v>300</v>
      </c>
      <c r="T120" s="65">
        <f t="shared" si="93"/>
        <v>300</v>
      </c>
      <c r="U120" s="65">
        <f t="shared" si="93"/>
        <v>300</v>
      </c>
      <c r="V120" s="65">
        <f t="shared" si="93"/>
        <v>300</v>
      </c>
      <c r="W120" s="65">
        <f t="shared" si="93"/>
        <v>300</v>
      </c>
      <c r="X120" s="65">
        <f t="shared" si="93"/>
        <v>300</v>
      </c>
      <c r="Y120" s="65">
        <f t="shared" si="93"/>
        <v>300</v>
      </c>
      <c r="Z120" s="65">
        <f t="shared" si="93"/>
        <v>300</v>
      </c>
      <c r="AA120" s="65">
        <f t="shared" si="93"/>
        <v>300</v>
      </c>
      <c r="AB120" s="65">
        <f t="shared" si="93"/>
        <v>300</v>
      </c>
      <c r="AC120" s="65">
        <f t="shared" si="93"/>
        <v>300</v>
      </c>
      <c r="AD120" s="65">
        <f t="shared" si="93"/>
        <v>300</v>
      </c>
      <c r="AE120" s="65">
        <f t="shared" si="93"/>
        <v>300</v>
      </c>
      <c r="AF120" s="65">
        <f t="shared" si="93"/>
        <v>300</v>
      </c>
      <c r="AG120" s="65">
        <f t="shared" si="93"/>
        <v>300</v>
      </c>
      <c r="AH120" s="65">
        <f t="shared" si="93"/>
        <v>300</v>
      </c>
      <c r="AJ120" s="341" cm="1">
        <f t="array" aca="1" ref="AJ120" ca="1">INDEX($E120:$AH120,1,MATCH(AJ$3&amp;AJ$4&amp;AJ$5&amp;AJ$6,$E$3:$AH$3&amp;$E$4:$AH$4&amp;$E$5:$AH$5&amp;$E$6:$AH$6,1))</f>
        <v>300</v>
      </c>
      <c r="AK120" s="341" cm="1">
        <f t="array" aca="1" ref="AK120" ca="1">INDEX($E120:$AH120,1,MATCH(AK$3&amp;AK$4&amp;AK$5&amp;AK$6,$E$3:$AH$3&amp;$E$4:$AH$4&amp;$E$5:$AH$5&amp;$E$6:$AH$6,1))</f>
        <v>300</v>
      </c>
      <c r="AL120" s="341" cm="1">
        <f t="array" aca="1" ref="AL120" ca="1">INDEX($E120:$AH120,1,MATCH(AL$3&amp;AL$4&amp;AL$5&amp;AL$6,$E$3:$AH$3&amp;$E$4:$AH$4&amp;$E$5:$AH$5&amp;$E$6:$AH$6,1))</f>
        <v>300</v>
      </c>
      <c r="AM120" s="343" cm="1">
        <f t="array" aca="1" ref="AM120" ca="1">INDEX($E120:$AH120,1,MATCH(AM$3&amp;AM$4&amp;AM$5&amp;AM$6,$E$3:$AH$3&amp;$E$4:$AH$4&amp;$E$5:$AH$5&amp;$E$6:$AH$6,1))</f>
        <v>300</v>
      </c>
      <c r="AN120" s="341" cm="1">
        <f t="array" aca="1" ref="AN120" ca="1">INDEX($E120:$AH120,1,MATCH(AN$3&amp;AN$4&amp;AN$5&amp;AN$6,$E$3:$AH$3&amp;$E$4:$AH$4&amp;$E$5:$AH$5&amp;$E$6:$AH$6,1))</f>
        <v>300</v>
      </c>
      <c r="AO120" s="341" cm="1">
        <f t="array" aca="1" ref="AO120" ca="1">INDEX($E120:$AH120,1,MATCH(AO$3&amp;AO$4&amp;AO$5&amp;AO$6,$E$3:$AH$3&amp;$E$4:$AH$4&amp;$E$5:$AH$5&amp;$E$6:$AH$6,1))</f>
        <v>300</v>
      </c>
      <c r="AP120" s="341" cm="1">
        <f t="array" aca="1" ref="AP120" ca="1">INDEX($E120:$AH120,1,MATCH(AP$3&amp;AP$4&amp;AP$5&amp;AP$6,$E$3:$AH$3&amp;$E$4:$AH$4&amp;$E$5:$AH$5&amp;$E$6:$AH$6,1))</f>
        <v>300</v>
      </c>
      <c r="AQ120" s="341" cm="1">
        <f t="array" aca="1" ref="AQ120" ca="1">INDEX($E120:$AH120,1,MATCH(AQ$3&amp;AQ$4&amp;AQ$5&amp;AQ$6,$E$3:$AH$3&amp;$E$4:$AH$4&amp;$E$5:$AH$5&amp;$E$6:$AH$6,1))</f>
        <v>300</v>
      </c>
      <c r="AR120" s="341" cm="1">
        <f t="array" aca="1" ref="AR120" ca="1">INDEX($E120:$AH120,1,MATCH(AR$3&amp;AR$4&amp;AR$5&amp;AR$6,$E$3:$AH$3&amp;$E$4:$AH$4&amp;$E$5:$AH$5&amp;$E$6:$AH$6,1))</f>
        <v>300</v>
      </c>
      <c r="AS120" s="341" cm="1">
        <f t="array" aca="1" ref="AS120" ca="1">INDEX($E120:$AH120,1,MATCH(AS$3&amp;AS$4&amp;AS$5&amp;AS$6,$E$3:$AH$3&amp;$E$4:$AH$4&amp;$E$5:$AH$5&amp;$E$6:$AH$6,1))</f>
        <v>300</v>
      </c>
      <c r="AU120" s="341">
        <f t="shared" ca="1" si="94"/>
        <v>300</v>
      </c>
      <c r="AV120" s="341">
        <f t="shared" ca="1" si="94"/>
        <v>300</v>
      </c>
      <c r="AW120" s="341">
        <f t="shared" ca="1" si="94"/>
        <v>300</v>
      </c>
    </row>
    <row r="121" spans="2:49" x14ac:dyDescent="0.25">
      <c r="C121" t="s">
        <v>353</v>
      </c>
      <c r="E121" s="65">
        <v>300</v>
      </c>
      <c r="F121" s="65">
        <v>300</v>
      </c>
      <c r="G121" s="65">
        <v>300</v>
      </c>
      <c r="H121" s="65">
        <v>300</v>
      </c>
      <c r="I121" s="65">
        <v>300</v>
      </c>
      <c r="J121" s="65">
        <v>300</v>
      </c>
      <c r="K121" s="65">
        <v>300</v>
      </c>
      <c r="L121" s="65">
        <v>300</v>
      </c>
      <c r="M121" s="65">
        <v>300</v>
      </c>
      <c r="N121" s="65">
        <v>300</v>
      </c>
      <c r="O121" s="65">
        <v>300</v>
      </c>
      <c r="P121" s="67">
        <v>300</v>
      </c>
      <c r="Q121" s="65">
        <f t="shared" si="95"/>
        <v>300</v>
      </c>
      <c r="R121" s="65">
        <f t="shared" si="93"/>
        <v>300</v>
      </c>
      <c r="S121" s="65">
        <f t="shared" si="93"/>
        <v>300</v>
      </c>
      <c r="T121" s="65">
        <f t="shared" si="93"/>
        <v>300</v>
      </c>
      <c r="U121" s="65">
        <f t="shared" si="93"/>
        <v>300</v>
      </c>
      <c r="V121" s="65">
        <f t="shared" si="93"/>
        <v>300</v>
      </c>
      <c r="W121" s="65">
        <f t="shared" si="93"/>
        <v>300</v>
      </c>
      <c r="X121" s="65">
        <f t="shared" si="93"/>
        <v>300</v>
      </c>
      <c r="Y121" s="65">
        <f t="shared" si="93"/>
        <v>300</v>
      </c>
      <c r="Z121" s="65">
        <f t="shared" si="93"/>
        <v>300</v>
      </c>
      <c r="AA121" s="65">
        <f t="shared" si="93"/>
        <v>300</v>
      </c>
      <c r="AB121" s="65">
        <f t="shared" si="93"/>
        <v>300</v>
      </c>
      <c r="AC121" s="65">
        <f t="shared" si="93"/>
        <v>300</v>
      </c>
      <c r="AD121" s="65">
        <f t="shared" si="93"/>
        <v>300</v>
      </c>
      <c r="AE121" s="65">
        <f t="shared" si="93"/>
        <v>300</v>
      </c>
      <c r="AF121" s="65">
        <f t="shared" si="93"/>
        <v>300</v>
      </c>
      <c r="AG121" s="65">
        <f t="shared" si="93"/>
        <v>300</v>
      </c>
      <c r="AH121" s="65">
        <f t="shared" si="93"/>
        <v>300</v>
      </c>
      <c r="AJ121" s="341" cm="1">
        <f t="array" aca="1" ref="AJ121" ca="1">INDEX($E121:$AH121,1,MATCH(AJ$3&amp;AJ$4&amp;AJ$5&amp;AJ$6,$E$3:$AH$3&amp;$E$4:$AH$4&amp;$E$5:$AH$5&amp;$E$6:$AH$6,1))</f>
        <v>300</v>
      </c>
      <c r="AK121" s="341" cm="1">
        <f t="array" aca="1" ref="AK121" ca="1">INDEX($E121:$AH121,1,MATCH(AK$3&amp;AK$4&amp;AK$5&amp;AK$6,$E$3:$AH$3&amp;$E$4:$AH$4&amp;$E$5:$AH$5&amp;$E$6:$AH$6,1))</f>
        <v>300</v>
      </c>
      <c r="AL121" s="341" cm="1">
        <f t="array" aca="1" ref="AL121" ca="1">INDEX($E121:$AH121,1,MATCH(AL$3&amp;AL$4&amp;AL$5&amp;AL$6,$E$3:$AH$3&amp;$E$4:$AH$4&amp;$E$5:$AH$5&amp;$E$6:$AH$6,1))</f>
        <v>300</v>
      </c>
      <c r="AM121" s="343" cm="1">
        <f t="array" aca="1" ref="AM121" ca="1">INDEX($E121:$AH121,1,MATCH(AM$3&amp;AM$4&amp;AM$5&amp;AM$6,$E$3:$AH$3&amp;$E$4:$AH$4&amp;$E$5:$AH$5&amp;$E$6:$AH$6,1))</f>
        <v>300</v>
      </c>
      <c r="AN121" s="341" cm="1">
        <f t="array" aca="1" ref="AN121" ca="1">INDEX($E121:$AH121,1,MATCH(AN$3&amp;AN$4&amp;AN$5&amp;AN$6,$E$3:$AH$3&amp;$E$4:$AH$4&amp;$E$5:$AH$5&amp;$E$6:$AH$6,1))</f>
        <v>300</v>
      </c>
      <c r="AO121" s="341" cm="1">
        <f t="array" aca="1" ref="AO121" ca="1">INDEX($E121:$AH121,1,MATCH(AO$3&amp;AO$4&amp;AO$5&amp;AO$6,$E$3:$AH$3&amp;$E$4:$AH$4&amp;$E$5:$AH$5&amp;$E$6:$AH$6,1))</f>
        <v>300</v>
      </c>
      <c r="AP121" s="341" cm="1">
        <f t="array" aca="1" ref="AP121" ca="1">INDEX($E121:$AH121,1,MATCH(AP$3&amp;AP$4&amp;AP$5&amp;AP$6,$E$3:$AH$3&amp;$E$4:$AH$4&amp;$E$5:$AH$5&amp;$E$6:$AH$6,1))</f>
        <v>300</v>
      </c>
      <c r="AQ121" s="341" cm="1">
        <f t="array" aca="1" ref="AQ121" ca="1">INDEX($E121:$AH121,1,MATCH(AQ$3&amp;AQ$4&amp;AQ$5&amp;AQ$6,$E$3:$AH$3&amp;$E$4:$AH$4&amp;$E$5:$AH$5&amp;$E$6:$AH$6,1))</f>
        <v>300</v>
      </c>
      <c r="AR121" s="341" cm="1">
        <f t="array" aca="1" ref="AR121" ca="1">INDEX($E121:$AH121,1,MATCH(AR$3&amp;AR$4&amp;AR$5&amp;AR$6,$E$3:$AH$3&amp;$E$4:$AH$4&amp;$E$5:$AH$5&amp;$E$6:$AH$6,1))</f>
        <v>300</v>
      </c>
      <c r="AS121" s="341" cm="1">
        <f t="array" aca="1" ref="AS121" ca="1">INDEX($E121:$AH121,1,MATCH(AS$3&amp;AS$4&amp;AS$5&amp;AS$6,$E$3:$AH$3&amp;$E$4:$AH$4&amp;$E$5:$AH$5&amp;$E$6:$AH$6,1))</f>
        <v>300</v>
      </c>
      <c r="AU121" s="341">
        <f t="shared" ca="1" si="94"/>
        <v>300</v>
      </c>
      <c r="AV121" s="341">
        <f t="shared" ca="1" si="94"/>
        <v>300</v>
      </c>
      <c r="AW121" s="341">
        <f t="shared" ca="1" si="94"/>
        <v>300</v>
      </c>
    </row>
    <row r="122" spans="2:49" x14ac:dyDescent="0.25">
      <c r="P122" s="8"/>
      <c r="AM122" s="8"/>
    </row>
    <row r="123" spans="2:49" x14ac:dyDescent="0.25">
      <c r="C123" s="1" t="s">
        <v>354</v>
      </c>
      <c r="E123" s="13">
        <v>3</v>
      </c>
      <c r="F123" s="13">
        <v>3</v>
      </c>
      <c r="G123" s="13">
        <v>3</v>
      </c>
      <c r="H123" s="13">
        <v>3</v>
      </c>
      <c r="I123" s="13">
        <v>3</v>
      </c>
      <c r="J123" s="13">
        <v>3</v>
      </c>
      <c r="K123" s="13">
        <v>3</v>
      </c>
      <c r="L123" s="13">
        <v>3</v>
      </c>
      <c r="M123" s="13">
        <v>3</v>
      </c>
      <c r="N123" s="13">
        <v>3</v>
      </c>
      <c r="O123" s="13">
        <v>3</v>
      </c>
      <c r="P123" s="17">
        <v>3</v>
      </c>
      <c r="Q123" s="31">
        <v>3</v>
      </c>
      <c r="R123" s="31">
        <v>3</v>
      </c>
      <c r="S123" s="31">
        <v>3</v>
      </c>
      <c r="T123" s="31">
        <v>3</v>
      </c>
      <c r="U123" s="31">
        <v>3</v>
      </c>
      <c r="V123" s="31">
        <v>3</v>
      </c>
      <c r="W123" s="31">
        <v>3</v>
      </c>
      <c r="X123" s="31">
        <v>3</v>
      </c>
      <c r="Y123" s="31">
        <v>3</v>
      </c>
      <c r="Z123" s="31">
        <v>3</v>
      </c>
      <c r="AA123" s="31">
        <v>3</v>
      </c>
      <c r="AB123" s="31">
        <v>3</v>
      </c>
      <c r="AC123" s="31">
        <v>3</v>
      </c>
      <c r="AD123" s="31">
        <v>3</v>
      </c>
      <c r="AE123" s="31">
        <v>3</v>
      </c>
      <c r="AF123" s="31">
        <v>3</v>
      </c>
      <c r="AG123" s="31">
        <v>3</v>
      </c>
      <c r="AH123" s="31">
        <v>3</v>
      </c>
      <c r="AJ123" s="13">
        <v>3</v>
      </c>
      <c r="AK123" s="15">
        <v>3</v>
      </c>
      <c r="AL123" s="15">
        <v>3</v>
      </c>
      <c r="AM123" s="16">
        <v>3</v>
      </c>
      <c r="AN123" s="15">
        <v>3</v>
      </c>
      <c r="AO123" s="15">
        <v>3</v>
      </c>
      <c r="AP123" s="15">
        <v>3</v>
      </c>
      <c r="AQ123" s="15">
        <v>3</v>
      </c>
      <c r="AR123" s="15">
        <v>3</v>
      </c>
      <c r="AS123" s="15">
        <v>3</v>
      </c>
      <c r="AT123" s="15">
        <v>3</v>
      </c>
      <c r="AU123" s="15">
        <v>3</v>
      </c>
      <c r="AV123" s="15">
        <v>3</v>
      </c>
      <c r="AW123" s="15">
        <v>3</v>
      </c>
    </row>
    <row r="124" spans="2:49" x14ac:dyDescent="0.25">
      <c r="C124" t="s">
        <v>355</v>
      </c>
      <c r="E124" s="65">
        <f>E118*E123</f>
        <v>600</v>
      </c>
      <c r="F124" s="65">
        <f t="shared" ref="F124:AH124" si="96">F118*F123</f>
        <v>600</v>
      </c>
      <c r="G124" s="65">
        <f t="shared" si="96"/>
        <v>600</v>
      </c>
      <c r="H124" s="65">
        <f t="shared" si="96"/>
        <v>600</v>
      </c>
      <c r="I124" s="65">
        <f t="shared" si="96"/>
        <v>600</v>
      </c>
      <c r="J124" s="65">
        <f t="shared" si="96"/>
        <v>600</v>
      </c>
      <c r="K124" s="65">
        <f t="shared" si="96"/>
        <v>600</v>
      </c>
      <c r="L124" s="65">
        <f t="shared" si="96"/>
        <v>600</v>
      </c>
      <c r="M124" s="65">
        <f t="shared" si="96"/>
        <v>600</v>
      </c>
      <c r="N124" s="65">
        <f t="shared" si="96"/>
        <v>600</v>
      </c>
      <c r="O124" s="65">
        <f t="shared" si="96"/>
        <v>600</v>
      </c>
      <c r="P124" s="67">
        <f t="shared" si="96"/>
        <v>600</v>
      </c>
      <c r="Q124" s="83">
        <f t="shared" si="96"/>
        <v>600</v>
      </c>
      <c r="R124" s="83">
        <f t="shared" si="96"/>
        <v>600</v>
      </c>
      <c r="S124" s="83">
        <f t="shared" si="96"/>
        <v>600</v>
      </c>
      <c r="T124" s="83">
        <f t="shared" si="96"/>
        <v>600</v>
      </c>
      <c r="U124" s="83">
        <f t="shared" si="96"/>
        <v>600</v>
      </c>
      <c r="V124" s="83">
        <f t="shared" si="96"/>
        <v>600</v>
      </c>
      <c r="W124" s="83">
        <f t="shared" si="96"/>
        <v>600</v>
      </c>
      <c r="X124" s="83">
        <f t="shared" si="96"/>
        <v>600</v>
      </c>
      <c r="Y124" s="83">
        <f t="shared" si="96"/>
        <v>600</v>
      </c>
      <c r="Z124" s="83">
        <f t="shared" si="96"/>
        <v>600</v>
      </c>
      <c r="AA124" s="83">
        <f t="shared" si="96"/>
        <v>600</v>
      </c>
      <c r="AB124" s="83">
        <f t="shared" si="96"/>
        <v>600</v>
      </c>
      <c r="AC124" s="83">
        <f t="shared" si="96"/>
        <v>600</v>
      </c>
      <c r="AD124" s="83">
        <f t="shared" si="96"/>
        <v>600</v>
      </c>
      <c r="AE124" s="83">
        <f t="shared" si="96"/>
        <v>600</v>
      </c>
      <c r="AF124" s="83">
        <f t="shared" si="96"/>
        <v>600</v>
      </c>
      <c r="AG124" s="83">
        <f t="shared" si="96"/>
        <v>600</v>
      </c>
      <c r="AH124" s="83">
        <f t="shared" si="96"/>
        <v>600</v>
      </c>
      <c r="AJ124" s="341" cm="1">
        <f t="array" aca="1" ref="AJ124" ca="1">INDEX($E124:$AH124,1,MATCH(AJ$3&amp;AJ$4&amp;AJ$5&amp;AJ$6,$E$3:$AH$3&amp;$E$4:$AH$4&amp;$E$5:$AH$5&amp;$E$6:$AH$6,1))</f>
        <v>600</v>
      </c>
      <c r="AK124" s="341" cm="1">
        <f t="array" aca="1" ref="AK124" ca="1">INDEX($E124:$AH124,1,MATCH(AK$3&amp;AK$4&amp;AK$5&amp;AK$6,$E$3:$AH$3&amp;$E$4:$AH$4&amp;$E$5:$AH$5&amp;$E$6:$AH$6,1))</f>
        <v>600</v>
      </c>
      <c r="AL124" s="341" cm="1">
        <f t="array" aca="1" ref="AL124" ca="1">INDEX($E124:$AH124,1,MATCH(AL$3&amp;AL$4&amp;AL$5&amp;AL$6,$E$3:$AH$3&amp;$E$4:$AH$4&amp;$E$5:$AH$5&amp;$E$6:$AH$6,1))</f>
        <v>600</v>
      </c>
      <c r="AM124" s="343" cm="1">
        <f t="array" aca="1" ref="AM124" ca="1">INDEX($E124:$AH124,1,MATCH(AM$3&amp;AM$4&amp;AM$5&amp;AM$6,$E$3:$AH$3&amp;$E$4:$AH$4&amp;$E$5:$AH$5&amp;$E$6:$AH$6,1))</f>
        <v>600</v>
      </c>
      <c r="AN124" s="341" cm="1">
        <f t="array" aca="1" ref="AN124" ca="1">INDEX($E124:$AH124,1,MATCH(AN$3&amp;AN$4&amp;AN$5&amp;AN$6,$E$3:$AH$3&amp;$E$4:$AH$4&amp;$E$5:$AH$5&amp;$E$6:$AH$6,1))</f>
        <v>600</v>
      </c>
      <c r="AO124" s="341" cm="1">
        <f t="array" aca="1" ref="AO124" ca="1">INDEX($E124:$AH124,1,MATCH(AO$3&amp;AO$4&amp;AO$5&amp;AO$6,$E$3:$AH$3&amp;$E$4:$AH$4&amp;$E$5:$AH$5&amp;$E$6:$AH$6,1))</f>
        <v>600</v>
      </c>
      <c r="AP124" s="341" cm="1">
        <f t="array" aca="1" ref="AP124" ca="1">INDEX($E124:$AH124,1,MATCH(AP$3&amp;AP$4&amp;AP$5&amp;AP$6,$E$3:$AH$3&amp;$E$4:$AH$4&amp;$E$5:$AH$5&amp;$E$6:$AH$6,1))</f>
        <v>600</v>
      </c>
      <c r="AQ124" s="341" cm="1">
        <f t="array" aca="1" ref="AQ124" ca="1">INDEX($E124:$AH124,1,MATCH(AQ$3&amp;AQ$4&amp;AQ$5&amp;AQ$6,$E$3:$AH$3&amp;$E$4:$AH$4&amp;$E$5:$AH$5&amp;$E$6:$AH$6,1))</f>
        <v>600</v>
      </c>
      <c r="AR124" s="341" cm="1">
        <f t="array" aca="1" ref="AR124" ca="1">INDEX($E124:$AH124,1,MATCH(AR$3&amp;AR$4&amp;AR$5&amp;AR$6,$E$3:$AH$3&amp;$E$4:$AH$4&amp;$E$5:$AH$5&amp;$E$6:$AH$6,1))</f>
        <v>600</v>
      </c>
      <c r="AS124" s="341" cm="1">
        <f t="array" aca="1" ref="AS124" ca="1">INDEX($E124:$AH124,1,MATCH(AS$3&amp;AS$4&amp;AS$5&amp;AS$6,$E$3:$AH$3&amp;$E$4:$AH$4&amp;$E$5:$AH$5&amp;$E$6:$AH$6,1))</f>
        <v>600</v>
      </c>
      <c r="AU124" s="341">
        <f t="shared" ref="AU124:AW124" ca="1" si="97">INDEX($E124:$AH124,MATCH(AU$5,$E$5:$AH$5,1))</f>
        <v>600</v>
      </c>
      <c r="AV124" s="341">
        <f t="shared" ca="1" si="97"/>
        <v>600</v>
      </c>
      <c r="AW124" s="341">
        <f t="shared" ca="1" si="97"/>
        <v>600</v>
      </c>
    </row>
    <row r="125" spans="2:49" x14ac:dyDescent="0.25">
      <c r="P125" s="8"/>
      <c r="AM125" s="8"/>
    </row>
    <row r="126" spans="2:49" x14ac:dyDescent="0.25">
      <c r="C126" s="1" t="s">
        <v>357</v>
      </c>
      <c r="E126" s="13">
        <v>3</v>
      </c>
      <c r="F126" s="13">
        <v>3</v>
      </c>
      <c r="G126" s="13">
        <v>3</v>
      </c>
      <c r="H126" s="13">
        <v>3</v>
      </c>
      <c r="I126" s="13">
        <v>3</v>
      </c>
      <c r="J126" s="13">
        <v>3</v>
      </c>
      <c r="K126" s="13">
        <v>3</v>
      </c>
      <c r="L126" s="13">
        <v>3</v>
      </c>
      <c r="M126" s="13">
        <v>3</v>
      </c>
      <c r="N126" s="13">
        <v>3</v>
      </c>
      <c r="O126" s="13">
        <v>3</v>
      </c>
      <c r="P126" s="17">
        <v>3</v>
      </c>
      <c r="Q126" s="31">
        <v>3</v>
      </c>
      <c r="R126" s="31">
        <v>3</v>
      </c>
      <c r="S126" s="31">
        <v>3</v>
      </c>
      <c r="T126" s="31">
        <v>3</v>
      </c>
      <c r="U126" s="31">
        <v>3</v>
      </c>
      <c r="V126" s="31">
        <v>3</v>
      </c>
      <c r="W126" s="31">
        <v>3</v>
      </c>
      <c r="X126" s="31">
        <v>3</v>
      </c>
      <c r="Y126" s="31">
        <v>3</v>
      </c>
      <c r="Z126" s="31">
        <v>3</v>
      </c>
      <c r="AA126" s="31">
        <v>3</v>
      </c>
      <c r="AB126" s="31">
        <v>3</v>
      </c>
      <c r="AC126" s="31">
        <v>3</v>
      </c>
      <c r="AD126" s="31">
        <v>3</v>
      </c>
      <c r="AE126" s="31">
        <v>3</v>
      </c>
      <c r="AF126" s="31">
        <v>3</v>
      </c>
      <c r="AG126" s="31">
        <v>3</v>
      </c>
      <c r="AH126" s="31">
        <v>3</v>
      </c>
      <c r="AJ126" s="13">
        <v>3</v>
      </c>
      <c r="AK126" s="15">
        <v>3</v>
      </c>
      <c r="AL126" s="15">
        <v>3</v>
      </c>
      <c r="AM126" s="16">
        <v>3</v>
      </c>
      <c r="AN126" s="15">
        <v>3</v>
      </c>
      <c r="AO126" s="15">
        <v>3</v>
      </c>
      <c r="AP126" s="15">
        <v>3</v>
      </c>
      <c r="AQ126" s="15">
        <v>3</v>
      </c>
      <c r="AR126" s="15">
        <v>3</v>
      </c>
      <c r="AS126" s="15">
        <v>3</v>
      </c>
      <c r="AT126" s="15">
        <v>3</v>
      </c>
      <c r="AU126" s="15">
        <v>3</v>
      </c>
      <c r="AV126" s="15">
        <v>3</v>
      </c>
      <c r="AW126" s="15">
        <v>3</v>
      </c>
    </row>
    <row r="127" spans="2:49" x14ac:dyDescent="0.25">
      <c r="C127" s="27" t="s">
        <v>356</v>
      </c>
      <c r="D127" s="27"/>
      <c r="E127" s="68">
        <f>E118*E126</f>
        <v>600</v>
      </c>
      <c r="F127" s="68">
        <f t="shared" ref="F127:AH127" si="98">F118*F126</f>
        <v>600</v>
      </c>
      <c r="G127" s="68">
        <f t="shared" si="98"/>
        <v>600</v>
      </c>
      <c r="H127" s="68">
        <f t="shared" si="98"/>
        <v>600</v>
      </c>
      <c r="I127" s="68">
        <f t="shared" si="98"/>
        <v>600</v>
      </c>
      <c r="J127" s="68">
        <f t="shared" si="98"/>
        <v>600</v>
      </c>
      <c r="K127" s="68">
        <f t="shared" si="98"/>
        <v>600</v>
      </c>
      <c r="L127" s="68">
        <f t="shared" si="98"/>
        <v>600</v>
      </c>
      <c r="M127" s="68">
        <f t="shared" si="98"/>
        <v>600</v>
      </c>
      <c r="N127" s="68">
        <f t="shared" si="98"/>
        <v>600</v>
      </c>
      <c r="O127" s="68">
        <f t="shared" si="98"/>
        <v>600</v>
      </c>
      <c r="P127" s="69">
        <f t="shared" si="98"/>
        <v>600</v>
      </c>
      <c r="Q127" s="125">
        <f t="shared" si="98"/>
        <v>600</v>
      </c>
      <c r="R127" s="125">
        <f t="shared" si="98"/>
        <v>600</v>
      </c>
      <c r="S127" s="125">
        <f t="shared" si="98"/>
        <v>600</v>
      </c>
      <c r="T127" s="125">
        <f t="shared" si="98"/>
        <v>600</v>
      </c>
      <c r="U127" s="125">
        <f t="shared" si="98"/>
        <v>600</v>
      </c>
      <c r="V127" s="125">
        <f t="shared" si="98"/>
        <v>600</v>
      </c>
      <c r="W127" s="125">
        <f t="shared" si="98"/>
        <v>600</v>
      </c>
      <c r="X127" s="125">
        <f t="shared" si="98"/>
        <v>600</v>
      </c>
      <c r="Y127" s="125">
        <f t="shared" si="98"/>
        <v>600</v>
      </c>
      <c r="Z127" s="125">
        <f t="shared" si="98"/>
        <v>600</v>
      </c>
      <c r="AA127" s="125">
        <f t="shared" si="98"/>
        <v>600</v>
      </c>
      <c r="AB127" s="125">
        <f t="shared" si="98"/>
        <v>600</v>
      </c>
      <c r="AC127" s="125">
        <f t="shared" si="98"/>
        <v>600</v>
      </c>
      <c r="AD127" s="125">
        <f t="shared" si="98"/>
        <v>600</v>
      </c>
      <c r="AE127" s="125">
        <f t="shared" si="98"/>
        <v>600</v>
      </c>
      <c r="AF127" s="125">
        <f t="shared" si="98"/>
        <v>600</v>
      </c>
      <c r="AG127" s="125">
        <f t="shared" si="98"/>
        <v>600</v>
      </c>
      <c r="AH127" s="125">
        <f t="shared" si="98"/>
        <v>600</v>
      </c>
      <c r="AJ127" s="197" cm="1">
        <f t="array" aca="1" ref="AJ127" ca="1">INDEX($E127:$AH127,1,MATCH(AJ$3&amp;AJ$4&amp;AJ$5&amp;AJ$6,$E$3:$AH$3&amp;$E$4:$AH$4&amp;$E$5:$AH$5&amp;$E$6:$AH$6,1))</f>
        <v>600</v>
      </c>
      <c r="AK127" s="197" cm="1">
        <f t="array" aca="1" ref="AK127" ca="1">INDEX($E127:$AH127,1,MATCH(AK$3&amp;AK$4&amp;AK$5&amp;AK$6,$E$3:$AH$3&amp;$E$4:$AH$4&amp;$E$5:$AH$5&amp;$E$6:$AH$6,1))</f>
        <v>600</v>
      </c>
      <c r="AL127" s="197" cm="1">
        <f t="array" aca="1" ref="AL127" ca="1">INDEX($E127:$AH127,1,MATCH(AL$3&amp;AL$4&amp;AL$5&amp;AL$6,$E$3:$AH$3&amp;$E$4:$AH$4&amp;$E$5:$AH$5&amp;$E$6:$AH$6,1))</f>
        <v>600</v>
      </c>
      <c r="AM127" s="345" cm="1">
        <f t="array" aca="1" ref="AM127" ca="1">INDEX($E127:$AH127,1,MATCH(AM$3&amp;AM$4&amp;AM$5&amp;AM$6,$E$3:$AH$3&amp;$E$4:$AH$4&amp;$E$5:$AH$5&amp;$E$6:$AH$6,1))</f>
        <v>600</v>
      </c>
      <c r="AN127" s="197" cm="1">
        <f t="array" aca="1" ref="AN127" ca="1">INDEX($E127:$AH127,1,MATCH(AN$3&amp;AN$4&amp;AN$5&amp;AN$6,$E$3:$AH$3&amp;$E$4:$AH$4&amp;$E$5:$AH$5&amp;$E$6:$AH$6,1))</f>
        <v>600</v>
      </c>
      <c r="AO127" s="197" cm="1">
        <f t="array" aca="1" ref="AO127" ca="1">INDEX($E127:$AH127,1,MATCH(AO$3&amp;AO$4&amp;AO$5&amp;AO$6,$E$3:$AH$3&amp;$E$4:$AH$4&amp;$E$5:$AH$5&amp;$E$6:$AH$6,1))</f>
        <v>600</v>
      </c>
      <c r="AP127" s="197" cm="1">
        <f t="array" aca="1" ref="AP127" ca="1">INDEX($E127:$AH127,1,MATCH(AP$3&amp;AP$4&amp;AP$5&amp;AP$6,$E$3:$AH$3&amp;$E$4:$AH$4&amp;$E$5:$AH$5&amp;$E$6:$AH$6,1))</f>
        <v>600</v>
      </c>
      <c r="AQ127" s="197" cm="1">
        <f t="array" aca="1" ref="AQ127" ca="1">INDEX($E127:$AH127,1,MATCH(AQ$3&amp;AQ$4&amp;AQ$5&amp;AQ$6,$E$3:$AH$3&amp;$E$4:$AH$4&amp;$E$5:$AH$5&amp;$E$6:$AH$6,1))</f>
        <v>600</v>
      </c>
      <c r="AR127" s="197" cm="1">
        <f t="array" aca="1" ref="AR127" ca="1">INDEX($E127:$AH127,1,MATCH(AR$3&amp;AR$4&amp;AR$5&amp;AR$6,$E$3:$AH$3&amp;$E$4:$AH$4&amp;$E$5:$AH$5&amp;$E$6:$AH$6,1))</f>
        <v>600</v>
      </c>
      <c r="AS127" s="197" cm="1">
        <f t="array" aca="1" ref="AS127" ca="1">INDEX($E127:$AH127,1,MATCH(AS$3&amp;AS$4&amp;AS$5&amp;AS$6,$E$3:$AH$3&amp;$E$4:$AH$4&amp;$E$5:$AH$5&amp;$E$6:$AH$6,1))</f>
        <v>600</v>
      </c>
      <c r="AU127" s="197">
        <f t="shared" ref="AU127:AW127" ca="1" si="99">INDEX($E127:$AH127,MATCH(AU$5,$E$5:$AH$5,1))</f>
        <v>600</v>
      </c>
      <c r="AV127" s="197">
        <f t="shared" ca="1" si="99"/>
        <v>600</v>
      </c>
      <c r="AW127" s="197">
        <f t="shared" ca="1" si="99"/>
        <v>600</v>
      </c>
    </row>
    <row r="128" spans="2:49" x14ac:dyDescent="0.25">
      <c r="B128" t="s">
        <v>231</v>
      </c>
      <c r="C128" s="11" t="str">
        <f>"Total "&amp;MID(C117,1,LEN(C117)-LEN(" Department"))&amp;" Headcount"</f>
        <v>Total Product Headcount</v>
      </c>
      <c r="D128" s="11"/>
      <c r="E128" s="83">
        <f t="shared" ref="E128:AW128" si="100">SUM(E118:E121,E124,E127)</f>
        <v>2150</v>
      </c>
      <c r="F128" s="83">
        <f t="shared" si="100"/>
        <v>2150</v>
      </c>
      <c r="G128" s="83">
        <f t="shared" si="100"/>
        <v>2150</v>
      </c>
      <c r="H128" s="83">
        <f t="shared" si="100"/>
        <v>2150</v>
      </c>
      <c r="I128" s="83">
        <f t="shared" si="100"/>
        <v>2150</v>
      </c>
      <c r="J128" s="83">
        <f t="shared" si="100"/>
        <v>2150</v>
      </c>
      <c r="K128" s="83">
        <f t="shared" si="100"/>
        <v>2150</v>
      </c>
      <c r="L128" s="83">
        <f t="shared" si="100"/>
        <v>2150</v>
      </c>
      <c r="M128" s="83">
        <f t="shared" si="100"/>
        <v>2150</v>
      </c>
      <c r="N128" s="83">
        <f t="shared" si="100"/>
        <v>2150</v>
      </c>
      <c r="O128" s="83">
        <f t="shared" si="100"/>
        <v>2150</v>
      </c>
      <c r="P128" s="158">
        <f t="shared" si="100"/>
        <v>2150</v>
      </c>
      <c r="Q128" s="83">
        <f t="shared" si="100"/>
        <v>2150</v>
      </c>
      <c r="R128" s="83">
        <f t="shared" si="100"/>
        <v>2150</v>
      </c>
      <c r="S128" s="83">
        <f t="shared" si="100"/>
        <v>2150</v>
      </c>
      <c r="T128" s="83">
        <f t="shared" si="100"/>
        <v>2150</v>
      </c>
      <c r="U128" s="83">
        <f t="shared" si="100"/>
        <v>2150</v>
      </c>
      <c r="V128" s="83">
        <f t="shared" si="100"/>
        <v>2150</v>
      </c>
      <c r="W128" s="83">
        <f t="shared" si="100"/>
        <v>2150</v>
      </c>
      <c r="X128" s="83">
        <f t="shared" si="100"/>
        <v>2150</v>
      </c>
      <c r="Y128" s="83">
        <f t="shared" si="100"/>
        <v>2150</v>
      </c>
      <c r="Z128" s="83">
        <f t="shared" si="100"/>
        <v>2150</v>
      </c>
      <c r="AA128" s="83">
        <f t="shared" si="100"/>
        <v>2150</v>
      </c>
      <c r="AB128" s="83">
        <f t="shared" si="100"/>
        <v>2150</v>
      </c>
      <c r="AC128" s="83">
        <f t="shared" si="100"/>
        <v>2150</v>
      </c>
      <c r="AD128" s="83">
        <f t="shared" si="100"/>
        <v>2150</v>
      </c>
      <c r="AE128" s="83">
        <f t="shared" si="100"/>
        <v>2150</v>
      </c>
      <c r="AF128" s="83">
        <f t="shared" si="100"/>
        <v>2150</v>
      </c>
      <c r="AG128" s="83">
        <f t="shared" si="100"/>
        <v>2150</v>
      </c>
      <c r="AH128" s="83">
        <f t="shared" si="100"/>
        <v>2150</v>
      </c>
      <c r="AJ128" s="189">
        <f t="shared" ca="1" si="100"/>
        <v>2150</v>
      </c>
      <c r="AK128" s="189">
        <f t="shared" ca="1" si="100"/>
        <v>2150</v>
      </c>
      <c r="AL128" s="189">
        <f t="shared" ca="1" si="100"/>
        <v>2150</v>
      </c>
      <c r="AM128" s="349">
        <f t="shared" ca="1" si="100"/>
        <v>2150</v>
      </c>
      <c r="AN128" s="189">
        <f t="shared" ca="1" si="100"/>
        <v>2150</v>
      </c>
      <c r="AO128" s="189">
        <f t="shared" ca="1" si="100"/>
        <v>2150</v>
      </c>
      <c r="AP128" s="189">
        <f t="shared" ca="1" si="100"/>
        <v>2150</v>
      </c>
      <c r="AQ128" s="189">
        <f t="shared" ca="1" si="100"/>
        <v>2150</v>
      </c>
      <c r="AR128" s="189">
        <f t="shared" ca="1" si="100"/>
        <v>2150</v>
      </c>
      <c r="AS128" s="189">
        <f t="shared" ca="1" si="100"/>
        <v>2150</v>
      </c>
      <c r="AU128" s="189">
        <f t="shared" ca="1" si="100"/>
        <v>2150</v>
      </c>
      <c r="AV128" s="189">
        <f t="shared" ca="1" si="100"/>
        <v>2150</v>
      </c>
      <c r="AW128" s="189">
        <f t="shared" ca="1" si="100"/>
        <v>2150</v>
      </c>
    </row>
    <row r="129" spans="1:49" x14ac:dyDescent="0.25">
      <c r="P129" s="8"/>
      <c r="AM129" s="8"/>
    </row>
    <row r="130" spans="1:49" x14ac:dyDescent="0.25">
      <c r="C130" s="30" t="s">
        <v>324</v>
      </c>
      <c r="D130" s="30"/>
      <c r="E130" s="45" t="str">
        <f t="shared" ref="E130:AH130" si="101">E$9</f>
        <v>Jul-20A</v>
      </c>
      <c r="F130" s="45" t="str">
        <f t="shared" si="101"/>
        <v>Aug-20A</v>
      </c>
      <c r="G130" s="45" t="str">
        <f t="shared" si="101"/>
        <v>Sep-20A</v>
      </c>
      <c r="H130" s="45" t="str">
        <f t="shared" si="101"/>
        <v>Oct-20A</v>
      </c>
      <c r="I130" s="45" t="str">
        <f t="shared" si="101"/>
        <v>Nov-20A</v>
      </c>
      <c r="J130" s="45" t="str">
        <f t="shared" si="101"/>
        <v>Dec-20A</v>
      </c>
      <c r="K130" s="45" t="str">
        <f t="shared" si="101"/>
        <v>Jan-21A</v>
      </c>
      <c r="L130" s="45" t="str">
        <f t="shared" si="101"/>
        <v>Feb-21A</v>
      </c>
      <c r="M130" s="45" t="str">
        <f t="shared" si="101"/>
        <v>Mar-21A</v>
      </c>
      <c r="N130" s="45" t="str">
        <f t="shared" si="101"/>
        <v>Apr-21A</v>
      </c>
      <c r="O130" s="45" t="str">
        <f t="shared" si="101"/>
        <v>May-21A</v>
      </c>
      <c r="P130" s="46" t="str">
        <f t="shared" si="101"/>
        <v>Jun-21A</v>
      </c>
      <c r="Q130" s="45" t="str">
        <f t="shared" si="101"/>
        <v>Jul-21F</v>
      </c>
      <c r="R130" s="45" t="str">
        <f t="shared" si="101"/>
        <v>Aug-21F</v>
      </c>
      <c r="S130" s="45" t="str">
        <f t="shared" si="101"/>
        <v>Sep-21F</v>
      </c>
      <c r="T130" s="45" t="str">
        <f t="shared" si="101"/>
        <v>Oct-21F</v>
      </c>
      <c r="U130" s="45" t="str">
        <f t="shared" si="101"/>
        <v>Nov-21F</v>
      </c>
      <c r="V130" s="45" t="str">
        <f t="shared" si="101"/>
        <v>Dec-21F</v>
      </c>
      <c r="W130" s="45" t="str">
        <f t="shared" si="101"/>
        <v>Jan-22F</v>
      </c>
      <c r="X130" s="45" t="str">
        <f t="shared" si="101"/>
        <v>Feb-22F</v>
      </c>
      <c r="Y130" s="45" t="str">
        <f t="shared" si="101"/>
        <v>Mar-22F</v>
      </c>
      <c r="Z130" s="45" t="str">
        <f t="shared" si="101"/>
        <v>Apr-22F</v>
      </c>
      <c r="AA130" s="45" t="str">
        <f t="shared" si="101"/>
        <v>May-22F</v>
      </c>
      <c r="AB130" s="45" t="str">
        <f t="shared" si="101"/>
        <v>Jun-22F</v>
      </c>
      <c r="AC130" s="45" t="str">
        <f t="shared" si="101"/>
        <v>Jul-22F</v>
      </c>
      <c r="AD130" s="45" t="str">
        <f t="shared" si="101"/>
        <v>Aug-22F</v>
      </c>
      <c r="AE130" s="45" t="str">
        <f t="shared" si="101"/>
        <v>Sep-22F</v>
      </c>
      <c r="AF130" s="45" t="str">
        <f t="shared" si="101"/>
        <v>Oct-22F</v>
      </c>
      <c r="AG130" s="45" t="str">
        <f t="shared" si="101"/>
        <v>Nov-22F</v>
      </c>
      <c r="AH130" s="45" t="str">
        <f t="shared" si="101"/>
        <v>Dec-22F</v>
      </c>
      <c r="AJ130" s="45" t="str">
        <f ca="1">AJ$10</f>
        <v>Q3'20A</v>
      </c>
      <c r="AK130" s="45" t="str">
        <f t="shared" ref="AK130:AW130" ca="1" si="102">AK$10</f>
        <v>Q4'20A</v>
      </c>
      <c r="AL130" s="45" t="str">
        <f t="shared" ca="1" si="102"/>
        <v>Q1'21A</v>
      </c>
      <c r="AM130" s="46" t="str">
        <f t="shared" ca="1" si="102"/>
        <v>Q2'21A</v>
      </c>
      <c r="AN130" s="45" t="str">
        <f t="shared" ca="1" si="102"/>
        <v>Q3'21F</v>
      </c>
      <c r="AO130" s="45" t="str">
        <f t="shared" ca="1" si="102"/>
        <v>Q4'21F</v>
      </c>
      <c r="AP130" s="45" t="str">
        <f t="shared" ca="1" si="102"/>
        <v>Q1'22F</v>
      </c>
      <c r="AQ130" s="45" t="str">
        <f t="shared" ca="1" si="102"/>
        <v>Q2'22F</v>
      </c>
      <c r="AR130" s="45" t="str">
        <f t="shared" ca="1" si="102"/>
        <v>Q3'22F</v>
      </c>
      <c r="AS130" s="45" t="str">
        <f t="shared" ca="1" si="102"/>
        <v>Q4'22F</v>
      </c>
      <c r="AT130" s="13"/>
      <c r="AU130" s="45" t="str">
        <f t="shared" ca="1" si="102"/>
        <v>FY20</v>
      </c>
      <c r="AV130" s="45" t="str">
        <f t="shared" ca="1" si="102"/>
        <v>FY21</v>
      </c>
      <c r="AW130" s="45" t="str">
        <f t="shared" ca="1" si="102"/>
        <v>FY22</v>
      </c>
    </row>
    <row r="131" spans="1:49" x14ac:dyDescent="0.25">
      <c r="C131" t="s">
        <v>358</v>
      </c>
      <c r="E131" s="65">
        <v>200</v>
      </c>
      <c r="F131" s="65">
        <v>200</v>
      </c>
      <c r="G131" s="65">
        <v>200</v>
      </c>
      <c r="H131" s="65">
        <v>200</v>
      </c>
      <c r="I131" s="65">
        <v>200</v>
      </c>
      <c r="J131" s="65">
        <v>200</v>
      </c>
      <c r="K131" s="65">
        <v>200</v>
      </c>
      <c r="L131" s="65">
        <v>200</v>
      </c>
      <c r="M131" s="65">
        <v>200</v>
      </c>
      <c r="N131" s="65">
        <v>200</v>
      </c>
      <c r="O131" s="65">
        <v>200</v>
      </c>
      <c r="P131" s="67">
        <v>200</v>
      </c>
      <c r="Q131" s="65">
        <f>P131</f>
        <v>200</v>
      </c>
      <c r="R131" s="65">
        <f t="shared" ref="R131:AH131" si="103">Q131</f>
        <v>200</v>
      </c>
      <c r="S131" s="65">
        <f t="shared" si="103"/>
        <v>200</v>
      </c>
      <c r="T131" s="65">
        <f t="shared" si="103"/>
        <v>200</v>
      </c>
      <c r="U131" s="65">
        <f t="shared" si="103"/>
        <v>200</v>
      </c>
      <c r="V131" s="65">
        <f t="shared" si="103"/>
        <v>200</v>
      </c>
      <c r="W131" s="65">
        <f t="shared" si="103"/>
        <v>200</v>
      </c>
      <c r="X131" s="65">
        <f t="shared" si="103"/>
        <v>200</v>
      </c>
      <c r="Y131" s="65">
        <f t="shared" si="103"/>
        <v>200</v>
      </c>
      <c r="Z131" s="65">
        <f t="shared" si="103"/>
        <v>200</v>
      </c>
      <c r="AA131" s="65">
        <f t="shared" si="103"/>
        <v>200</v>
      </c>
      <c r="AB131" s="65">
        <f t="shared" si="103"/>
        <v>200</v>
      </c>
      <c r="AC131" s="65">
        <f t="shared" si="103"/>
        <v>200</v>
      </c>
      <c r="AD131" s="65">
        <f t="shared" si="103"/>
        <v>200</v>
      </c>
      <c r="AE131" s="65">
        <f t="shared" si="103"/>
        <v>200</v>
      </c>
      <c r="AF131" s="65">
        <f t="shared" si="103"/>
        <v>200</v>
      </c>
      <c r="AG131" s="65">
        <f t="shared" si="103"/>
        <v>200</v>
      </c>
      <c r="AH131" s="65">
        <f t="shared" si="103"/>
        <v>200</v>
      </c>
      <c r="AJ131" s="83" cm="1">
        <f t="array" aca="1" ref="AJ131" ca="1">SUMPRODUCT(($E131:$AH131)*(AJ$3&amp;AJ$4&amp;AJ$5&amp;AJ$6=$E$3:$AH$3&amp;$E$4:$AH$4&amp;$E$5:$AH$5&amp;$E$6:$AH$6))</f>
        <v>600</v>
      </c>
      <c r="AK131" s="83" cm="1">
        <f t="array" aca="1" ref="AK131" ca="1">SUMPRODUCT(($E131:$AH131)*(AK$3=$E$3:$AH$3)*(AK$4=$E$4:$AH$4)*(AK$5=$E$5:$AH$5)*(AK$6=$E$6:$AH$6))</f>
        <v>600</v>
      </c>
      <c r="AL131" s="83" cm="1">
        <f t="array" aca="1" ref="AL131" ca="1">SUMPRODUCT(($E131:$AH131)*(AL$3=$E$3:$AH$3)*(AL$4=$E$4:$AH$4)*(AL$5=$E$5:$AH$5)*(AL$6=$E$6:$AH$6))</f>
        <v>600</v>
      </c>
      <c r="AM131" s="158" cm="1">
        <f t="array" aca="1" ref="AM131" ca="1">SUMPRODUCT(($E131:$AH131)*(AM$3=$E$3:$AH$3)*(AM$4=$E$4:$AH$4)*(AM$5=$E$5:$AH$5)*(AM$6=$E$6:$AH$6))</f>
        <v>600</v>
      </c>
      <c r="AN131" s="83" cm="1">
        <f t="array" aca="1" ref="AN131" ca="1">SUMPRODUCT(($E131:$AH131)*(AN$3=$E$3:$AH$3)*(AN$4=$E$4:$AH$4)*(AN$5=$E$5:$AH$5)*(AN$6=$E$6:$AH$6))</f>
        <v>600</v>
      </c>
      <c r="AO131" s="83" cm="1">
        <f t="array" aca="1" ref="AO131" ca="1">SUMPRODUCT(($E131:$AH131)*(AO$3=$E$3:$AH$3)*(AO$4=$E$4:$AH$4)*(AO$5=$E$5:$AH$5)*(AO$6=$E$6:$AH$6))</f>
        <v>600</v>
      </c>
      <c r="AP131" s="83" cm="1">
        <f t="array" aca="1" ref="AP131" ca="1">SUMPRODUCT(($E131:$AH131)*(AP$3=$E$3:$AH$3)*(AP$4=$E$4:$AH$4)*(AP$5=$E$5:$AH$5)*(AP$6=$E$6:$AH$6))</f>
        <v>600</v>
      </c>
      <c r="AQ131" s="83" cm="1">
        <f t="array" aca="1" ref="AQ131" ca="1">SUMPRODUCT(($E131:$AH131)*(AQ$3=$E$3:$AH$3)*(AQ$4=$E$4:$AH$4)*(AQ$5=$E$5:$AH$5)*(AQ$6=$E$6:$AH$6))</f>
        <v>600</v>
      </c>
      <c r="AR131" s="83" cm="1">
        <f t="array" aca="1" ref="AR131" ca="1">SUMPRODUCT(($E131:$AH131)*(AR$3=$E$3:$AH$3)*(AR$4=$E$4:$AH$4)*(AR$5=$E$5:$AH$5)*(AR$6=$E$6:$AH$6))</f>
        <v>600</v>
      </c>
      <c r="AS131" s="83" cm="1">
        <f t="array" aca="1" ref="AS131" ca="1">SUMPRODUCT(($E131:$AH131)*(AS$3=$E$3:$AH$3)*(AS$4=$E$4:$AH$4)*(AS$5=$E$5:$AH$5)*(AS$6=$E$6:$AH$6))</f>
        <v>600</v>
      </c>
      <c r="AT131" s="83"/>
      <c r="AU131" s="83" cm="1">
        <f t="array" aca="1" ref="AU131" ca="1">SUMPRODUCT(($E131:$AH131)*(AU$5=$E$5:$AH$5))</f>
        <v>1200</v>
      </c>
      <c r="AV131" s="83" cm="1">
        <f t="array" aca="1" ref="AV131" ca="1">SUMPRODUCT(($E131:$AH131)*(AV$5=$E$5:$AH$5))</f>
        <v>2400</v>
      </c>
      <c r="AW131" s="83" cm="1">
        <f t="array" aca="1" ref="AW131" ca="1">SUMPRODUCT(($E131:$AH131)*(AW$5=$E$5:$AH$5))</f>
        <v>2400</v>
      </c>
    </row>
    <row r="132" spans="1:49" x14ac:dyDescent="0.25">
      <c r="C132" s="1" t="s">
        <v>360</v>
      </c>
      <c r="E132" s="167">
        <f>E131/E133</f>
        <v>2</v>
      </c>
      <c r="F132" s="167">
        <f t="shared" ref="F132:P132" si="104">F131/F133</f>
        <v>2</v>
      </c>
      <c r="G132" s="167">
        <f t="shared" si="104"/>
        <v>2</v>
      </c>
      <c r="H132" s="167">
        <f t="shared" si="104"/>
        <v>2</v>
      </c>
      <c r="I132" s="167">
        <f t="shared" si="104"/>
        <v>2</v>
      </c>
      <c r="J132" s="167">
        <f t="shared" si="104"/>
        <v>2</v>
      </c>
      <c r="K132" s="167">
        <f t="shared" si="104"/>
        <v>2</v>
      </c>
      <c r="L132" s="167">
        <f t="shared" si="104"/>
        <v>2</v>
      </c>
      <c r="M132" s="167">
        <f t="shared" si="104"/>
        <v>2</v>
      </c>
      <c r="N132" s="167">
        <f t="shared" si="104"/>
        <v>2</v>
      </c>
      <c r="O132" s="167">
        <f t="shared" si="104"/>
        <v>2</v>
      </c>
      <c r="P132" s="208">
        <f t="shared" si="104"/>
        <v>2</v>
      </c>
      <c r="Q132" s="31">
        <f>P132</f>
        <v>2</v>
      </c>
      <c r="R132" s="31">
        <f t="shared" ref="R132:AH132" si="105">Q132</f>
        <v>2</v>
      </c>
      <c r="S132" s="31">
        <f t="shared" si="105"/>
        <v>2</v>
      </c>
      <c r="T132" s="31">
        <f t="shared" si="105"/>
        <v>2</v>
      </c>
      <c r="U132" s="31">
        <f t="shared" si="105"/>
        <v>2</v>
      </c>
      <c r="V132" s="31">
        <f t="shared" si="105"/>
        <v>2</v>
      </c>
      <c r="W132" s="31">
        <f t="shared" si="105"/>
        <v>2</v>
      </c>
      <c r="X132" s="31">
        <f t="shared" si="105"/>
        <v>2</v>
      </c>
      <c r="Y132" s="31">
        <f t="shared" si="105"/>
        <v>2</v>
      </c>
      <c r="Z132" s="31">
        <f t="shared" si="105"/>
        <v>2</v>
      </c>
      <c r="AA132" s="31">
        <f t="shared" si="105"/>
        <v>2</v>
      </c>
      <c r="AB132" s="31">
        <f t="shared" si="105"/>
        <v>2</v>
      </c>
      <c r="AC132" s="31">
        <f t="shared" si="105"/>
        <v>2</v>
      </c>
      <c r="AD132" s="31">
        <f t="shared" si="105"/>
        <v>2</v>
      </c>
      <c r="AE132" s="31">
        <f t="shared" si="105"/>
        <v>2</v>
      </c>
      <c r="AF132" s="31">
        <f t="shared" si="105"/>
        <v>2</v>
      </c>
      <c r="AG132" s="31">
        <f t="shared" si="105"/>
        <v>2</v>
      </c>
      <c r="AH132" s="31">
        <f t="shared" si="105"/>
        <v>2</v>
      </c>
      <c r="AJ132" s="167">
        <f ca="1">AJ131/AJ133</f>
        <v>6</v>
      </c>
      <c r="AK132" s="15">
        <f t="shared" ref="AK132:AW132" ca="1" si="106">AK131/AK133</f>
        <v>6</v>
      </c>
      <c r="AL132" s="15">
        <f t="shared" ca="1" si="106"/>
        <v>6</v>
      </c>
      <c r="AM132" s="16">
        <f t="shared" ca="1" si="106"/>
        <v>6</v>
      </c>
      <c r="AN132" s="15">
        <f t="shared" ca="1" si="106"/>
        <v>6</v>
      </c>
      <c r="AO132" s="15">
        <f t="shared" ca="1" si="106"/>
        <v>6</v>
      </c>
      <c r="AP132" s="15">
        <f t="shared" ca="1" si="106"/>
        <v>6</v>
      </c>
      <c r="AQ132" s="15">
        <f t="shared" ca="1" si="106"/>
        <v>6</v>
      </c>
      <c r="AR132" s="15">
        <f t="shared" ca="1" si="106"/>
        <v>6</v>
      </c>
      <c r="AS132" s="15">
        <f t="shared" ca="1" si="106"/>
        <v>6</v>
      </c>
      <c r="AU132" s="15">
        <f t="shared" ca="1" si="106"/>
        <v>12</v>
      </c>
      <c r="AV132" s="15">
        <f t="shared" ca="1" si="106"/>
        <v>24</v>
      </c>
      <c r="AW132" s="15">
        <f t="shared" ca="1" si="106"/>
        <v>24</v>
      </c>
    </row>
    <row r="133" spans="1:49" x14ac:dyDescent="0.25">
      <c r="C133" t="s">
        <v>359</v>
      </c>
      <c r="E133" s="65">
        <v>100</v>
      </c>
      <c r="F133" s="65">
        <v>100</v>
      </c>
      <c r="G133" s="65">
        <v>100</v>
      </c>
      <c r="H133" s="65">
        <v>100</v>
      </c>
      <c r="I133" s="65">
        <v>100</v>
      </c>
      <c r="J133" s="65">
        <v>100</v>
      </c>
      <c r="K133" s="65">
        <v>100</v>
      </c>
      <c r="L133" s="65">
        <v>100</v>
      </c>
      <c r="M133" s="65">
        <v>100</v>
      </c>
      <c r="N133" s="65">
        <v>100</v>
      </c>
      <c r="O133" s="65">
        <v>100</v>
      </c>
      <c r="P133" s="67">
        <v>100</v>
      </c>
      <c r="Q133" s="83">
        <f>Q131/Q132</f>
        <v>100</v>
      </c>
      <c r="R133" s="83">
        <f t="shared" ref="R133:AH133" si="107">R131/R132</f>
        <v>100</v>
      </c>
      <c r="S133" s="83">
        <f t="shared" si="107"/>
        <v>100</v>
      </c>
      <c r="T133" s="83">
        <f t="shared" si="107"/>
        <v>100</v>
      </c>
      <c r="U133" s="83">
        <f t="shared" si="107"/>
        <v>100</v>
      </c>
      <c r="V133" s="83">
        <f t="shared" si="107"/>
        <v>100</v>
      </c>
      <c r="W133" s="83">
        <f t="shared" si="107"/>
        <v>100</v>
      </c>
      <c r="X133" s="83">
        <f t="shared" si="107"/>
        <v>100</v>
      </c>
      <c r="Y133" s="83">
        <f t="shared" si="107"/>
        <v>100</v>
      </c>
      <c r="Z133" s="83">
        <f t="shared" si="107"/>
        <v>100</v>
      </c>
      <c r="AA133" s="83">
        <f t="shared" si="107"/>
        <v>100</v>
      </c>
      <c r="AB133" s="83">
        <f t="shared" si="107"/>
        <v>100</v>
      </c>
      <c r="AC133" s="83">
        <f t="shared" si="107"/>
        <v>100</v>
      </c>
      <c r="AD133" s="83">
        <f t="shared" si="107"/>
        <v>100</v>
      </c>
      <c r="AE133" s="83">
        <f t="shared" si="107"/>
        <v>100</v>
      </c>
      <c r="AF133" s="83">
        <f t="shared" si="107"/>
        <v>100</v>
      </c>
      <c r="AG133" s="83">
        <f t="shared" si="107"/>
        <v>100</v>
      </c>
      <c r="AH133" s="83">
        <f t="shared" si="107"/>
        <v>100</v>
      </c>
      <c r="AJ133" s="341" cm="1">
        <f t="array" aca="1" ref="AJ133" ca="1">INDEX($E133:$AH133,1,MATCH(AJ$3&amp;AJ$4&amp;AJ$5&amp;AJ$6,$E$3:$AH$3&amp;$E$4:$AH$4&amp;$E$5:$AH$5&amp;$E$6:$AH$6,1))</f>
        <v>100</v>
      </c>
      <c r="AK133" s="341" cm="1">
        <f t="array" aca="1" ref="AK133" ca="1">INDEX($E133:$AH133,1,MATCH(AK$3&amp;AK$4&amp;AK$5&amp;AK$6,$E$3:$AH$3&amp;$E$4:$AH$4&amp;$E$5:$AH$5&amp;$E$6:$AH$6,1))</f>
        <v>100</v>
      </c>
      <c r="AL133" s="341" cm="1">
        <f t="array" aca="1" ref="AL133" ca="1">INDEX($E133:$AH133,1,MATCH(AL$3&amp;AL$4&amp;AL$5&amp;AL$6,$E$3:$AH$3&amp;$E$4:$AH$4&amp;$E$5:$AH$5&amp;$E$6:$AH$6,1))</f>
        <v>100</v>
      </c>
      <c r="AM133" s="343" cm="1">
        <f t="array" aca="1" ref="AM133" ca="1">INDEX($E133:$AH133,1,MATCH(AM$3&amp;AM$4&amp;AM$5&amp;AM$6,$E$3:$AH$3&amp;$E$4:$AH$4&amp;$E$5:$AH$5&amp;$E$6:$AH$6,1))</f>
        <v>100</v>
      </c>
      <c r="AN133" s="341" cm="1">
        <f t="array" aca="1" ref="AN133" ca="1">INDEX($E133:$AH133,1,MATCH(AN$3&amp;AN$4&amp;AN$5&amp;AN$6,$E$3:$AH$3&amp;$E$4:$AH$4&amp;$E$5:$AH$5&amp;$E$6:$AH$6,1))</f>
        <v>100</v>
      </c>
      <c r="AO133" s="341" cm="1">
        <f t="array" aca="1" ref="AO133" ca="1">INDEX($E133:$AH133,1,MATCH(AO$3&amp;AO$4&amp;AO$5&amp;AO$6,$E$3:$AH$3&amp;$E$4:$AH$4&amp;$E$5:$AH$5&amp;$E$6:$AH$6,1))</f>
        <v>100</v>
      </c>
      <c r="AP133" s="341" cm="1">
        <f t="array" aca="1" ref="AP133" ca="1">INDEX($E133:$AH133,1,MATCH(AP$3&amp;AP$4&amp;AP$5&amp;AP$6,$E$3:$AH$3&amp;$E$4:$AH$4&amp;$E$5:$AH$5&amp;$E$6:$AH$6,1))</f>
        <v>100</v>
      </c>
      <c r="AQ133" s="341" cm="1">
        <f t="array" aca="1" ref="AQ133" ca="1">INDEX($E133:$AH133,1,MATCH(AQ$3&amp;AQ$4&amp;AQ$5&amp;AQ$6,$E$3:$AH$3&amp;$E$4:$AH$4&amp;$E$5:$AH$5&amp;$E$6:$AH$6,1))</f>
        <v>100</v>
      </c>
      <c r="AR133" s="341" cm="1">
        <f t="array" aca="1" ref="AR133" ca="1">INDEX($E133:$AH133,1,MATCH(AR$3&amp;AR$4&amp;AR$5&amp;AR$6,$E$3:$AH$3&amp;$E$4:$AH$4&amp;$E$5:$AH$5&amp;$E$6:$AH$6,1))</f>
        <v>100</v>
      </c>
      <c r="AS133" s="341" cm="1">
        <f t="array" aca="1" ref="AS133" ca="1">INDEX($E133:$AH133,1,MATCH(AS$3&amp;AS$4&amp;AS$5&amp;AS$6,$E$3:$AH$3&amp;$E$4:$AH$4&amp;$E$5:$AH$5&amp;$E$6:$AH$6,1))</f>
        <v>100</v>
      </c>
      <c r="AU133" s="341">
        <f t="shared" ref="AU133:AW133" ca="1" si="108">INDEX($E133:$AH133,MATCH(AU$5,$E$5:$AH$5,1))</f>
        <v>100</v>
      </c>
      <c r="AV133" s="341">
        <f t="shared" ca="1" si="108"/>
        <v>100</v>
      </c>
      <c r="AW133" s="341">
        <f t="shared" ca="1" si="108"/>
        <v>100</v>
      </c>
    </row>
    <row r="134" spans="1:49" x14ac:dyDescent="0.25">
      <c r="P134" s="8"/>
      <c r="AM134" s="8"/>
    </row>
    <row r="135" spans="1:49" x14ac:dyDescent="0.25">
      <c r="C135" s="1" t="s">
        <v>362</v>
      </c>
      <c r="E135" s="167">
        <f>E136/E131</f>
        <v>3</v>
      </c>
      <c r="F135" s="167">
        <f t="shared" ref="F135:P135" si="109">F136/F131</f>
        <v>3</v>
      </c>
      <c r="G135" s="167">
        <f t="shared" si="109"/>
        <v>3</v>
      </c>
      <c r="H135" s="167">
        <f t="shared" si="109"/>
        <v>3</v>
      </c>
      <c r="I135" s="167">
        <f t="shared" si="109"/>
        <v>3</v>
      </c>
      <c r="J135" s="167">
        <f t="shared" si="109"/>
        <v>3</v>
      </c>
      <c r="K135" s="167">
        <f t="shared" si="109"/>
        <v>3</v>
      </c>
      <c r="L135" s="167">
        <f t="shared" si="109"/>
        <v>3</v>
      </c>
      <c r="M135" s="167">
        <f t="shared" si="109"/>
        <v>3</v>
      </c>
      <c r="N135" s="167">
        <f t="shared" si="109"/>
        <v>3</v>
      </c>
      <c r="O135" s="167">
        <f t="shared" si="109"/>
        <v>3</v>
      </c>
      <c r="P135" s="208">
        <f t="shared" si="109"/>
        <v>3</v>
      </c>
      <c r="Q135" s="31">
        <f>P135</f>
        <v>3</v>
      </c>
      <c r="R135" s="31">
        <f t="shared" ref="R135:AH135" si="110">Q135</f>
        <v>3</v>
      </c>
      <c r="S135" s="31">
        <f t="shared" si="110"/>
        <v>3</v>
      </c>
      <c r="T135" s="31">
        <f t="shared" si="110"/>
        <v>3</v>
      </c>
      <c r="U135" s="31">
        <f t="shared" si="110"/>
        <v>3</v>
      </c>
      <c r="V135" s="31">
        <f t="shared" si="110"/>
        <v>3</v>
      </c>
      <c r="W135" s="31">
        <f t="shared" si="110"/>
        <v>3</v>
      </c>
      <c r="X135" s="31">
        <f t="shared" si="110"/>
        <v>3</v>
      </c>
      <c r="Y135" s="31">
        <f t="shared" si="110"/>
        <v>3</v>
      </c>
      <c r="Z135" s="31">
        <f t="shared" si="110"/>
        <v>3</v>
      </c>
      <c r="AA135" s="31">
        <f t="shared" si="110"/>
        <v>3</v>
      </c>
      <c r="AB135" s="31">
        <f t="shared" si="110"/>
        <v>3</v>
      </c>
      <c r="AC135" s="31">
        <f t="shared" si="110"/>
        <v>3</v>
      </c>
      <c r="AD135" s="31">
        <f t="shared" si="110"/>
        <v>3</v>
      </c>
      <c r="AE135" s="31">
        <f t="shared" si="110"/>
        <v>3</v>
      </c>
      <c r="AF135" s="31">
        <f t="shared" si="110"/>
        <v>3</v>
      </c>
      <c r="AG135" s="31">
        <f t="shared" si="110"/>
        <v>3</v>
      </c>
      <c r="AH135" s="31">
        <f t="shared" si="110"/>
        <v>3</v>
      </c>
      <c r="AJ135" s="167">
        <f ca="1">AJ136/AJ131</f>
        <v>1</v>
      </c>
      <c r="AK135" s="15">
        <f t="shared" ref="AK135:AW135" ca="1" si="111">AK136/AK131</f>
        <v>1</v>
      </c>
      <c r="AL135" s="15">
        <f t="shared" ca="1" si="111"/>
        <v>1</v>
      </c>
      <c r="AM135" s="16">
        <f t="shared" ca="1" si="111"/>
        <v>1</v>
      </c>
      <c r="AN135" s="15">
        <f t="shared" ca="1" si="111"/>
        <v>1</v>
      </c>
      <c r="AO135" s="15">
        <f t="shared" ca="1" si="111"/>
        <v>1</v>
      </c>
      <c r="AP135" s="15">
        <f t="shared" ca="1" si="111"/>
        <v>1</v>
      </c>
      <c r="AQ135" s="15">
        <f t="shared" ca="1" si="111"/>
        <v>1</v>
      </c>
      <c r="AR135" s="15">
        <f t="shared" ca="1" si="111"/>
        <v>1</v>
      </c>
      <c r="AS135" s="15">
        <f t="shared" ca="1" si="111"/>
        <v>1</v>
      </c>
      <c r="AU135" s="15">
        <f t="shared" ca="1" si="111"/>
        <v>0.5</v>
      </c>
      <c r="AV135" s="15">
        <f t="shared" ca="1" si="111"/>
        <v>0.25</v>
      </c>
      <c r="AW135" s="15">
        <f t="shared" ca="1" si="111"/>
        <v>0.25</v>
      </c>
    </row>
    <row r="136" spans="1:49" x14ac:dyDescent="0.25">
      <c r="C136" s="27" t="s">
        <v>361</v>
      </c>
      <c r="D136" s="27"/>
      <c r="E136" s="68">
        <v>600</v>
      </c>
      <c r="F136" s="68">
        <v>600</v>
      </c>
      <c r="G136" s="68">
        <v>600</v>
      </c>
      <c r="H136" s="68">
        <v>600</v>
      </c>
      <c r="I136" s="68">
        <v>600</v>
      </c>
      <c r="J136" s="68">
        <v>600</v>
      </c>
      <c r="K136" s="68">
        <v>600</v>
      </c>
      <c r="L136" s="68">
        <v>600</v>
      </c>
      <c r="M136" s="68">
        <v>600</v>
      </c>
      <c r="N136" s="68">
        <v>600</v>
      </c>
      <c r="O136" s="68">
        <v>600</v>
      </c>
      <c r="P136" s="69">
        <v>600</v>
      </c>
      <c r="Q136" s="125">
        <f>Q131*Q135</f>
        <v>600</v>
      </c>
      <c r="R136" s="209">
        <f t="shared" ref="R136:AH136" si="112">R131*R135</f>
        <v>600</v>
      </c>
      <c r="S136" s="209">
        <f t="shared" si="112"/>
        <v>600</v>
      </c>
      <c r="T136" s="209">
        <f t="shared" si="112"/>
        <v>600</v>
      </c>
      <c r="U136" s="209">
        <f t="shared" si="112"/>
        <v>600</v>
      </c>
      <c r="V136" s="209">
        <f t="shared" si="112"/>
        <v>600</v>
      </c>
      <c r="W136" s="209">
        <f t="shared" si="112"/>
        <v>600</v>
      </c>
      <c r="X136" s="209">
        <f t="shared" si="112"/>
        <v>600</v>
      </c>
      <c r="Y136" s="209">
        <f t="shared" si="112"/>
        <v>600</v>
      </c>
      <c r="Z136" s="209">
        <f t="shared" si="112"/>
        <v>600</v>
      </c>
      <c r="AA136" s="209">
        <f t="shared" si="112"/>
        <v>600</v>
      </c>
      <c r="AB136" s="209">
        <f t="shared" si="112"/>
        <v>600</v>
      </c>
      <c r="AC136" s="209">
        <f t="shared" si="112"/>
        <v>600</v>
      </c>
      <c r="AD136" s="209">
        <f t="shared" si="112"/>
        <v>600</v>
      </c>
      <c r="AE136" s="209">
        <f t="shared" si="112"/>
        <v>600</v>
      </c>
      <c r="AF136" s="209">
        <f t="shared" si="112"/>
        <v>600</v>
      </c>
      <c r="AG136" s="209">
        <f t="shared" si="112"/>
        <v>600</v>
      </c>
      <c r="AH136" s="209">
        <f t="shared" si="112"/>
        <v>600</v>
      </c>
      <c r="AJ136" s="342" cm="1">
        <f t="array" aca="1" ref="AJ136" ca="1">INDEX($E136:$AH136,1,MATCH(AJ$3&amp;AJ$4&amp;AJ$5&amp;AJ$6,$E$3:$AH$3&amp;$E$4:$AH$4&amp;$E$5:$AH$5&amp;$E$6:$AH$6,1))</f>
        <v>600</v>
      </c>
      <c r="AK136" s="342" cm="1">
        <f t="array" aca="1" ref="AK136" ca="1">INDEX($E136:$AH136,1,MATCH(AK$3&amp;AK$4&amp;AK$5&amp;AK$6,$E$3:$AH$3&amp;$E$4:$AH$4&amp;$E$5:$AH$5&amp;$E$6:$AH$6,1))</f>
        <v>600</v>
      </c>
      <c r="AL136" s="342" cm="1">
        <f t="array" aca="1" ref="AL136" ca="1">INDEX($E136:$AH136,1,MATCH(AL$3&amp;AL$4&amp;AL$5&amp;AL$6,$E$3:$AH$3&amp;$E$4:$AH$4&amp;$E$5:$AH$5&amp;$E$6:$AH$6,1))</f>
        <v>600</v>
      </c>
      <c r="AM136" s="344" cm="1">
        <f t="array" aca="1" ref="AM136" ca="1">INDEX($E136:$AH136,1,MATCH(AM$3&amp;AM$4&amp;AM$5&amp;AM$6,$E$3:$AH$3&amp;$E$4:$AH$4&amp;$E$5:$AH$5&amp;$E$6:$AH$6,1))</f>
        <v>600</v>
      </c>
      <c r="AN136" s="342" cm="1">
        <f t="array" aca="1" ref="AN136" ca="1">INDEX($E136:$AH136,1,MATCH(AN$3&amp;AN$4&amp;AN$5&amp;AN$6,$E$3:$AH$3&amp;$E$4:$AH$4&amp;$E$5:$AH$5&amp;$E$6:$AH$6,1))</f>
        <v>600</v>
      </c>
      <c r="AO136" s="342" cm="1">
        <f t="array" aca="1" ref="AO136" ca="1">INDEX($E136:$AH136,1,MATCH(AO$3&amp;AO$4&amp;AO$5&amp;AO$6,$E$3:$AH$3&amp;$E$4:$AH$4&amp;$E$5:$AH$5&amp;$E$6:$AH$6,1))</f>
        <v>600</v>
      </c>
      <c r="AP136" s="342" cm="1">
        <f t="array" aca="1" ref="AP136" ca="1">INDEX($E136:$AH136,1,MATCH(AP$3&amp;AP$4&amp;AP$5&amp;AP$6,$E$3:$AH$3&amp;$E$4:$AH$4&amp;$E$5:$AH$5&amp;$E$6:$AH$6,1))</f>
        <v>600</v>
      </c>
      <c r="AQ136" s="342" cm="1">
        <f t="array" aca="1" ref="AQ136" ca="1">INDEX($E136:$AH136,1,MATCH(AQ$3&amp;AQ$4&amp;AQ$5&amp;AQ$6,$E$3:$AH$3&amp;$E$4:$AH$4&amp;$E$5:$AH$5&amp;$E$6:$AH$6,1))</f>
        <v>600</v>
      </c>
      <c r="AR136" s="342" cm="1">
        <f t="array" aca="1" ref="AR136" ca="1">INDEX($E136:$AH136,1,MATCH(AR$3&amp;AR$4&amp;AR$5&amp;AR$6,$E$3:$AH$3&amp;$E$4:$AH$4&amp;$E$5:$AH$5&amp;$E$6:$AH$6,1))</f>
        <v>600</v>
      </c>
      <c r="AS136" s="342" cm="1">
        <f t="array" aca="1" ref="AS136" ca="1">INDEX($E136:$AH136,1,MATCH(AS$3&amp;AS$4&amp;AS$5&amp;AS$6,$E$3:$AH$3&amp;$E$4:$AH$4&amp;$E$5:$AH$5&amp;$E$6:$AH$6,1))</f>
        <v>600</v>
      </c>
      <c r="AU136" s="342">
        <f t="shared" ref="AU136:AW136" ca="1" si="113">INDEX($E136:$AH136,MATCH(AU$5,$E$5:$AH$5,1))</f>
        <v>600</v>
      </c>
      <c r="AV136" s="342">
        <f t="shared" ca="1" si="113"/>
        <v>600</v>
      </c>
      <c r="AW136" s="342">
        <f t="shared" ca="1" si="113"/>
        <v>600</v>
      </c>
    </row>
    <row r="137" spans="1:49" x14ac:dyDescent="0.25">
      <c r="B137" t="s">
        <v>231</v>
      </c>
      <c r="C137" s="11" t="str">
        <f>"Total "&amp;MID(C130,1,LEN(C130)-LEN(" Department"))&amp;" Headcount"</f>
        <v>Total Research &amp; Development Headcount</v>
      </c>
      <c r="D137" s="11"/>
      <c r="E137" s="83">
        <f>E133+E136</f>
        <v>700</v>
      </c>
      <c r="F137" s="83">
        <f t="shared" ref="F137:Q137" si="114">F133+F136</f>
        <v>700</v>
      </c>
      <c r="G137" s="83">
        <f t="shared" si="114"/>
        <v>700</v>
      </c>
      <c r="H137" s="83">
        <f t="shared" si="114"/>
        <v>700</v>
      </c>
      <c r="I137" s="83">
        <f t="shared" si="114"/>
        <v>700</v>
      </c>
      <c r="J137" s="83">
        <f t="shared" si="114"/>
        <v>700</v>
      </c>
      <c r="K137" s="83">
        <f t="shared" si="114"/>
        <v>700</v>
      </c>
      <c r="L137" s="83">
        <f t="shared" si="114"/>
        <v>700</v>
      </c>
      <c r="M137" s="83">
        <f t="shared" si="114"/>
        <v>700</v>
      </c>
      <c r="N137" s="83">
        <f t="shared" si="114"/>
        <v>700</v>
      </c>
      <c r="O137" s="83">
        <f t="shared" si="114"/>
        <v>700</v>
      </c>
      <c r="P137" s="158">
        <f t="shared" si="114"/>
        <v>700</v>
      </c>
      <c r="Q137" s="83">
        <f t="shared" si="114"/>
        <v>700</v>
      </c>
      <c r="R137" s="83">
        <f t="shared" ref="R137" si="115">R133+R136</f>
        <v>700</v>
      </c>
      <c r="S137" s="83">
        <f t="shared" ref="S137" si="116">S133+S136</f>
        <v>700</v>
      </c>
      <c r="T137" s="83">
        <f t="shared" ref="T137" si="117">T133+T136</f>
        <v>700</v>
      </c>
      <c r="U137" s="83">
        <f t="shared" ref="U137" si="118">U133+U136</f>
        <v>700</v>
      </c>
      <c r="V137" s="83">
        <f t="shared" ref="V137" si="119">V133+V136</f>
        <v>700</v>
      </c>
      <c r="W137" s="83">
        <f t="shared" ref="W137" si="120">W133+W136</f>
        <v>700</v>
      </c>
      <c r="X137" s="83">
        <f t="shared" ref="X137" si="121">X133+X136</f>
        <v>700</v>
      </c>
      <c r="Y137" s="83">
        <f t="shared" ref="Y137" si="122">Y133+Y136</f>
        <v>700</v>
      </c>
      <c r="Z137" s="83">
        <f t="shared" ref="Z137" si="123">Z133+Z136</f>
        <v>700</v>
      </c>
      <c r="AA137" s="83">
        <f t="shared" ref="AA137" si="124">AA133+AA136</f>
        <v>700</v>
      </c>
      <c r="AB137" s="83">
        <f t="shared" ref="AB137" si="125">AB133+AB136</f>
        <v>700</v>
      </c>
      <c r="AC137" s="83">
        <f t="shared" ref="AC137" si="126">AC133+AC136</f>
        <v>700</v>
      </c>
      <c r="AD137" s="83">
        <f t="shared" ref="AD137" si="127">AD133+AD136</f>
        <v>700</v>
      </c>
      <c r="AE137" s="83">
        <f t="shared" ref="AE137" si="128">AE133+AE136</f>
        <v>700</v>
      </c>
      <c r="AF137" s="83">
        <f t="shared" ref="AF137" si="129">AF133+AF136</f>
        <v>700</v>
      </c>
      <c r="AG137" s="83">
        <f t="shared" ref="AG137" si="130">AG133+AG136</f>
        <v>700</v>
      </c>
      <c r="AH137" s="83">
        <f t="shared" ref="AH137:AW137" si="131">AH133+AH136</f>
        <v>700</v>
      </c>
      <c r="AJ137" s="83">
        <f t="shared" ca="1" si="131"/>
        <v>700</v>
      </c>
      <c r="AK137" s="83">
        <f t="shared" ca="1" si="131"/>
        <v>700</v>
      </c>
      <c r="AL137" s="83">
        <f t="shared" ca="1" si="131"/>
        <v>700</v>
      </c>
      <c r="AM137" s="158">
        <f t="shared" ca="1" si="131"/>
        <v>700</v>
      </c>
      <c r="AN137" s="83">
        <f t="shared" ca="1" si="131"/>
        <v>700</v>
      </c>
      <c r="AO137" s="83">
        <f t="shared" ca="1" si="131"/>
        <v>700</v>
      </c>
      <c r="AP137" s="83">
        <f t="shared" ca="1" si="131"/>
        <v>700</v>
      </c>
      <c r="AQ137" s="83">
        <f t="shared" ca="1" si="131"/>
        <v>700</v>
      </c>
      <c r="AR137" s="83">
        <f t="shared" ca="1" si="131"/>
        <v>700</v>
      </c>
      <c r="AS137" s="83">
        <f t="shared" ca="1" si="131"/>
        <v>700</v>
      </c>
      <c r="AU137" s="83">
        <f t="shared" ca="1" si="131"/>
        <v>700</v>
      </c>
      <c r="AV137" s="83">
        <f t="shared" ca="1" si="131"/>
        <v>700</v>
      </c>
      <c r="AW137" s="83">
        <f t="shared" ca="1" si="131"/>
        <v>700</v>
      </c>
    </row>
    <row r="138" spans="1:49" x14ac:dyDescent="0.25">
      <c r="P138" s="8"/>
      <c r="AM138" s="8"/>
    </row>
    <row r="139" spans="1:49" ht="15.75" thickBot="1" x14ac:dyDescent="0.3">
      <c r="B139" t="s">
        <v>231</v>
      </c>
      <c r="C139" s="53" t="str">
        <f>"Total "&amp;C101</f>
        <v>Total Research &amp; Development Headcount</v>
      </c>
      <c r="D139" s="105"/>
      <c r="E139" s="206">
        <f t="shared" ref="E139:P139" si="132">E115+E128+E137</f>
        <v>9150</v>
      </c>
      <c r="F139" s="206">
        <f t="shared" si="132"/>
        <v>9150</v>
      </c>
      <c r="G139" s="206">
        <f t="shared" si="132"/>
        <v>9150</v>
      </c>
      <c r="H139" s="206">
        <f t="shared" si="132"/>
        <v>9150</v>
      </c>
      <c r="I139" s="206">
        <f t="shared" si="132"/>
        <v>9150</v>
      </c>
      <c r="J139" s="206">
        <f t="shared" si="132"/>
        <v>9150</v>
      </c>
      <c r="K139" s="206">
        <f t="shared" si="132"/>
        <v>9150</v>
      </c>
      <c r="L139" s="206">
        <f t="shared" si="132"/>
        <v>9150</v>
      </c>
      <c r="M139" s="206">
        <f t="shared" si="132"/>
        <v>9150</v>
      </c>
      <c r="N139" s="206">
        <f t="shared" si="132"/>
        <v>9150</v>
      </c>
      <c r="O139" s="206">
        <f t="shared" si="132"/>
        <v>9150</v>
      </c>
      <c r="P139" s="207">
        <f t="shared" si="132"/>
        <v>9150</v>
      </c>
      <c r="Q139" s="206">
        <f t="shared" ref="Q139:AH139" si="133">Q115+Q128+Q137</f>
        <v>9150</v>
      </c>
      <c r="R139" s="206">
        <f t="shared" si="133"/>
        <v>9150</v>
      </c>
      <c r="S139" s="206">
        <f t="shared" si="133"/>
        <v>9750</v>
      </c>
      <c r="T139" s="206">
        <f t="shared" si="133"/>
        <v>9750</v>
      </c>
      <c r="U139" s="206">
        <f t="shared" si="133"/>
        <v>9750</v>
      </c>
      <c r="V139" s="206">
        <f t="shared" si="133"/>
        <v>9750</v>
      </c>
      <c r="W139" s="206">
        <f t="shared" si="133"/>
        <v>9750</v>
      </c>
      <c r="X139" s="206">
        <f t="shared" si="133"/>
        <v>9750</v>
      </c>
      <c r="Y139" s="206">
        <f t="shared" si="133"/>
        <v>9750</v>
      </c>
      <c r="Z139" s="206">
        <f t="shared" si="133"/>
        <v>9750</v>
      </c>
      <c r="AA139" s="206">
        <f t="shared" si="133"/>
        <v>9750</v>
      </c>
      <c r="AB139" s="206">
        <f t="shared" si="133"/>
        <v>9750</v>
      </c>
      <c r="AC139" s="206">
        <f t="shared" si="133"/>
        <v>9750</v>
      </c>
      <c r="AD139" s="206">
        <f t="shared" si="133"/>
        <v>9750</v>
      </c>
      <c r="AE139" s="206">
        <f t="shared" si="133"/>
        <v>9750</v>
      </c>
      <c r="AF139" s="206">
        <f t="shared" si="133"/>
        <v>9750</v>
      </c>
      <c r="AG139" s="206">
        <f t="shared" si="133"/>
        <v>9750</v>
      </c>
      <c r="AH139" s="206">
        <f t="shared" si="133"/>
        <v>9750</v>
      </c>
      <c r="AJ139" s="206">
        <f t="shared" ref="AJ139:AW139" ca="1" si="134">AJ115+AJ128+AJ137</f>
        <v>9150</v>
      </c>
      <c r="AK139" s="206">
        <f t="shared" ca="1" si="134"/>
        <v>9150</v>
      </c>
      <c r="AL139" s="206">
        <f t="shared" ca="1" si="134"/>
        <v>9150</v>
      </c>
      <c r="AM139" s="207">
        <f t="shared" ca="1" si="134"/>
        <v>9150</v>
      </c>
      <c r="AN139" s="206">
        <f t="shared" ca="1" si="134"/>
        <v>9750</v>
      </c>
      <c r="AO139" s="206">
        <f t="shared" ca="1" si="134"/>
        <v>9750</v>
      </c>
      <c r="AP139" s="206">
        <f t="shared" ca="1" si="134"/>
        <v>9750</v>
      </c>
      <c r="AQ139" s="206">
        <f t="shared" ca="1" si="134"/>
        <v>9750</v>
      </c>
      <c r="AR139" s="206">
        <f t="shared" ca="1" si="134"/>
        <v>9750</v>
      </c>
      <c r="AS139" s="206">
        <f t="shared" ca="1" si="134"/>
        <v>9750</v>
      </c>
      <c r="AU139" s="206">
        <f t="shared" ca="1" si="134"/>
        <v>9150</v>
      </c>
      <c r="AV139" s="206">
        <f t="shared" ca="1" si="134"/>
        <v>9750</v>
      </c>
      <c r="AW139" s="206">
        <f t="shared" ca="1" si="134"/>
        <v>9750</v>
      </c>
    </row>
    <row r="140" spans="1:49" ht="15.75" thickTop="1" x14ac:dyDescent="0.25"/>
    <row r="141" spans="1:49" ht="18.75" x14ac:dyDescent="0.3">
      <c r="A141" t="s">
        <v>231</v>
      </c>
      <c r="B141" t="s">
        <v>231</v>
      </c>
      <c r="C141" s="182" t="s">
        <v>305</v>
      </c>
      <c r="D141" s="179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</row>
    <row r="142" spans="1:49" x14ac:dyDescent="0.25">
      <c r="C142" s="11"/>
      <c r="D142" s="11"/>
    </row>
    <row r="143" spans="1:49" x14ac:dyDescent="0.25">
      <c r="C143" s="30" t="s">
        <v>325</v>
      </c>
      <c r="D143" s="30"/>
      <c r="E143" s="45" t="str">
        <f t="shared" ref="E143:AH143" si="135">E$9</f>
        <v>Jul-20A</v>
      </c>
      <c r="F143" s="45" t="str">
        <f t="shared" si="135"/>
        <v>Aug-20A</v>
      </c>
      <c r="G143" s="45" t="str">
        <f t="shared" si="135"/>
        <v>Sep-20A</v>
      </c>
      <c r="H143" s="45" t="str">
        <f t="shared" si="135"/>
        <v>Oct-20A</v>
      </c>
      <c r="I143" s="45" t="str">
        <f t="shared" si="135"/>
        <v>Nov-20A</v>
      </c>
      <c r="J143" s="45" t="str">
        <f t="shared" si="135"/>
        <v>Dec-20A</v>
      </c>
      <c r="K143" s="45" t="str">
        <f t="shared" si="135"/>
        <v>Jan-21A</v>
      </c>
      <c r="L143" s="45" t="str">
        <f t="shared" si="135"/>
        <v>Feb-21A</v>
      </c>
      <c r="M143" s="45" t="str">
        <f t="shared" si="135"/>
        <v>Mar-21A</v>
      </c>
      <c r="N143" s="45" t="str">
        <f t="shared" si="135"/>
        <v>Apr-21A</v>
      </c>
      <c r="O143" s="45" t="str">
        <f t="shared" si="135"/>
        <v>May-21A</v>
      </c>
      <c r="P143" s="46" t="str">
        <f t="shared" si="135"/>
        <v>Jun-21A</v>
      </c>
      <c r="Q143" s="45" t="str">
        <f t="shared" si="135"/>
        <v>Jul-21F</v>
      </c>
      <c r="R143" s="45" t="str">
        <f t="shared" si="135"/>
        <v>Aug-21F</v>
      </c>
      <c r="S143" s="45" t="str">
        <f t="shared" si="135"/>
        <v>Sep-21F</v>
      </c>
      <c r="T143" s="45" t="str">
        <f t="shared" si="135"/>
        <v>Oct-21F</v>
      </c>
      <c r="U143" s="45" t="str">
        <f t="shared" si="135"/>
        <v>Nov-21F</v>
      </c>
      <c r="V143" s="45" t="str">
        <f t="shared" si="135"/>
        <v>Dec-21F</v>
      </c>
      <c r="W143" s="45" t="str">
        <f t="shared" si="135"/>
        <v>Jan-22F</v>
      </c>
      <c r="X143" s="45" t="str">
        <f t="shared" si="135"/>
        <v>Feb-22F</v>
      </c>
      <c r="Y143" s="45" t="str">
        <f t="shared" si="135"/>
        <v>Mar-22F</v>
      </c>
      <c r="Z143" s="45" t="str">
        <f t="shared" si="135"/>
        <v>Apr-22F</v>
      </c>
      <c r="AA143" s="45" t="str">
        <f t="shared" si="135"/>
        <v>May-22F</v>
      </c>
      <c r="AB143" s="45" t="str">
        <f t="shared" si="135"/>
        <v>Jun-22F</v>
      </c>
      <c r="AC143" s="45" t="str">
        <f t="shared" si="135"/>
        <v>Jul-22F</v>
      </c>
      <c r="AD143" s="45" t="str">
        <f t="shared" si="135"/>
        <v>Aug-22F</v>
      </c>
      <c r="AE143" s="45" t="str">
        <f t="shared" si="135"/>
        <v>Sep-22F</v>
      </c>
      <c r="AF143" s="45" t="str">
        <f t="shared" si="135"/>
        <v>Oct-22F</v>
      </c>
      <c r="AG143" s="45" t="str">
        <f t="shared" si="135"/>
        <v>Nov-22F</v>
      </c>
      <c r="AH143" s="45" t="str">
        <f t="shared" si="135"/>
        <v>Dec-22F</v>
      </c>
      <c r="AJ143" s="45" t="str">
        <f ca="1">AJ$10</f>
        <v>Q3'20A</v>
      </c>
      <c r="AK143" s="45" t="str">
        <f t="shared" ref="AK143:AW143" ca="1" si="136">AK$10</f>
        <v>Q4'20A</v>
      </c>
      <c r="AL143" s="45" t="str">
        <f t="shared" ca="1" si="136"/>
        <v>Q1'21A</v>
      </c>
      <c r="AM143" s="46" t="str">
        <f t="shared" ca="1" si="136"/>
        <v>Q2'21A</v>
      </c>
      <c r="AN143" s="45" t="str">
        <f t="shared" ca="1" si="136"/>
        <v>Q3'21F</v>
      </c>
      <c r="AO143" s="45" t="str">
        <f t="shared" ca="1" si="136"/>
        <v>Q4'21F</v>
      </c>
      <c r="AP143" s="45" t="str">
        <f t="shared" ca="1" si="136"/>
        <v>Q1'22F</v>
      </c>
      <c r="AQ143" s="45" t="str">
        <f t="shared" ca="1" si="136"/>
        <v>Q2'22F</v>
      </c>
      <c r="AR143" s="45" t="str">
        <f t="shared" ca="1" si="136"/>
        <v>Q3'22F</v>
      </c>
      <c r="AS143" s="45" t="str">
        <f t="shared" ca="1" si="136"/>
        <v>Q4'22F</v>
      </c>
      <c r="AT143" s="13"/>
      <c r="AU143" s="45" t="str">
        <f t="shared" ca="1" si="136"/>
        <v>FY20</v>
      </c>
      <c r="AV143" s="45" t="str">
        <f t="shared" ca="1" si="136"/>
        <v>FY21</v>
      </c>
      <c r="AW143" s="45" t="str">
        <f t="shared" ca="1" si="136"/>
        <v>FY22</v>
      </c>
    </row>
    <row r="144" spans="1:49" x14ac:dyDescent="0.25">
      <c r="C144" s="1" t="s">
        <v>366</v>
      </c>
      <c r="E144" s="80">
        <f>Revenue!E76</f>
        <v>28616.456274663593</v>
      </c>
      <c r="F144" s="80">
        <f>Revenue!F76</f>
        <v>26260.020262840615</v>
      </c>
      <c r="G144" s="80">
        <f>Revenue!G76</f>
        <v>24173.212698973177</v>
      </c>
      <c r="H144" s="80">
        <f>Revenue!H76</f>
        <v>26053.80072012241</v>
      </c>
      <c r="I144" s="80">
        <f>Revenue!I76</f>
        <v>26422.543079257015</v>
      </c>
      <c r="J144" s="80">
        <f>Revenue!J76</f>
        <v>31047.805174079222</v>
      </c>
      <c r="K144" s="80">
        <f>Revenue!K76</f>
        <v>28892.338114251346</v>
      </c>
      <c r="L144" s="80">
        <f>Revenue!L76</f>
        <v>24895.518592664201</v>
      </c>
      <c r="M144" s="80">
        <f>Revenue!M76</f>
        <v>22652.416776981081</v>
      </c>
      <c r="N144" s="80">
        <f>Revenue!N76</f>
        <v>32527.604585197358</v>
      </c>
      <c r="O144" s="80">
        <f>Revenue!O76</f>
        <v>30734.115940177697</v>
      </c>
      <c r="P144" s="82">
        <f>Revenue!P76</f>
        <v>33483.13529545044</v>
      </c>
      <c r="Q144" s="80">
        <f>Revenue!Q76</f>
        <v>29931.75458916941</v>
      </c>
      <c r="R144" s="80">
        <f>Revenue!R76</f>
        <v>27472.999552825444</v>
      </c>
      <c r="S144" s="80">
        <f>Revenue!S76</f>
        <v>25291.178748042243</v>
      </c>
      <c r="T144" s="80">
        <f>Revenue!T76</f>
        <v>27263.080447106935</v>
      </c>
      <c r="U144" s="80">
        <f>Revenue!U76</f>
        <v>27650.419854652046</v>
      </c>
      <c r="V144" s="80">
        <f>Revenue!V76</f>
        <v>32485.868906545886</v>
      </c>
      <c r="W144" s="80">
        <f>Revenue!W76</f>
        <v>30228.854810635868</v>
      </c>
      <c r="X144" s="80">
        <f>Revenue!X76</f>
        <v>26045.799515936113</v>
      </c>
      <c r="Y144" s="80">
        <f>Revenue!Y76</f>
        <v>23698.239013327449</v>
      </c>
      <c r="Z144" s="80">
        <f>Revenue!Z76</f>
        <v>34033.419272527877</v>
      </c>
      <c r="AA144" s="80">
        <f>Revenue!AA76</f>
        <v>32151.069632365277</v>
      </c>
      <c r="AB144" s="80">
        <f>Revenue!AB76</f>
        <v>35030.918496891143</v>
      </c>
      <c r="AC144" s="80">
        <f>Revenue!AC76</f>
        <v>31312.351599661612</v>
      </c>
      <c r="AD144" s="80">
        <f>Revenue!AD76</f>
        <v>28746.514543116213</v>
      </c>
      <c r="AE144" s="80">
        <f>Revenue!AE76</f>
        <v>26465.075963693344</v>
      </c>
      <c r="AF144" s="80">
        <f>Revenue!AF76</f>
        <v>28532.944085974421</v>
      </c>
      <c r="AG144" s="80">
        <f>Revenue!AG76</f>
        <v>28939.888712782515</v>
      </c>
      <c r="AH144" s="80">
        <f>Revenue!AH76</f>
        <v>33995.897628308609</v>
      </c>
      <c r="AJ144" s="83" cm="1">
        <f t="array" aca="1" ref="AJ144" ca="1">SUMPRODUCT(($E144:$AH144)*(AJ$3&amp;AJ$4&amp;AJ$5&amp;AJ$6=$E$3:$AH$3&amp;$E$4:$AH$4&amp;$E$5:$AH$5&amp;$E$6:$AH$6))</f>
        <v>79049.689236477381</v>
      </c>
      <c r="AK144" s="83" cm="1">
        <f t="array" aca="1" ref="AK144" ca="1">SUMPRODUCT(($E144:$AH144)*(AK$3=$E$3:$AH$3)*(AK$4=$E$4:$AH$4)*(AK$5=$E$5:$AH$5)*(AK$6=$E$6:$AH$6))</f>
        <v>83524.14897345865</v>
      </c>
      <c r="AL144" s="83" cm="1">
        <f t="array" aca="1" ref="AL144" ca="1">SUMPRODUCT(($E144:$AH144)*(AL$3=$E$3:$AH$3)*(AL$4=$E$4:$AH$4)*(AL$5=$E$5:$AH$5)*(AL$6=$E$6:$AH$6))</f>
        <v>76440.273483896628</v>
      </c>
      <c r="AM144" s="158" cm="1">
        <f t="array" aca="1" ref="AM144" ca="1">SUMPRODUCT(($E144:$AH144)*(AM$3=$E$3:$AH$3)*(AM$4=$E$4:$AH$4)*(AM$5=$E$5:$AH$5)*(AM$6=$E$6:$AH$6))</f>
        <v>96744.855820825498</v>
      </c>
      <c r="AN144" s="83" cm="1">
        <f t="array" aca="1" ref="AN144" ca="1">SUMPRODUCT(($E144:$AH144)*(AN$3=$E$3:$AH$3)*(AN$4=$E$4:$AH$4)*(AN$5=$E$5:$AH$5)*(AN$6=$E$6:$AH$6))</f>
        <v>82695.932890037104</v>
      </c>
      <c r="AO144" s="83" cm="1">
        <f t="array" aca="1" ref="AO144" ca="1">SUMPRODUCT(($E144:$AH144)*(AO$3=$E$3:$AH$3)*(AO$4=$E$4:$AH$4)*(AO$5=$E$5:$AH$5)*(AO$6=$E$6:$AH$6))</f>
        <v>87399.369208304866</v>
      </c>
      <c r="AP144" s="83" cm="1">
        <f t="array" aca="1" ref="AP144" ca="1">SUMPRODUCT(($E144:$AH144)*(AP$3=$E$3:$AH$3)*(AP$4=$E$4:$AH$4)*(AP$5=$E$5:$AH$5)*(AP$6=$E$6:$AH$6))</f>
        <v>79972.893339899427</v>
      </c>
      <c r="AQ144" s="83" cm="1">
        <f t="array" aca="1" ref="AQ144" ca="1">SUMPRODUCT(($E144:$AH144)*(AQ$3=$E$3:$AH$3)*(AQ$4=$E$4:$AH$4)*(AQ$5=$E$5:$AH$5)*(AQ$6=$E$6:$AH$6))</f>
        <v>101215.40740178429</v>
      </c>
      <c r="AR144" s="83" cm="1">
        <f t="array" aca="1" ref="AR144" ca="1">SUMPRODUCT(($E144:$AH144)*(AR$3=$E$3:$AH$3)*(AR$4=$E$4:$AH$4)*(AR$5=$E$5:$AH$5)*(AR$6=$E$6:$AH$6))</f>
        <v>86523.942106471164</v>
      </c>
      <c r="AS144" s="83" cm="1">
        <f t="array" aca="1" ref="AS144" ca="1">SUMPRODUCT(($E144:$AH144)*(AS$3=$E$3:$AH$3)*(AS$4=$E$4:$AH$4)*(AS$5=$E$5:$AH$5)*(AS$6=$E$6:$AH$6))</f>
        <v>91468.730427065544</v>
      </c>
      <c r="AT144" s="13"/>
      <c r="AU144" s="83" cm="1">
        <f t="array" aca="1" ref="AU144" ca="1">SUMPRODUCT(($E144:$AH144)*(AU$5=$E$5:$AH$5))</f>
        <v>162573.83820993605</v>
      </c>
      <c r="AV144" s="83" cm="1">
        <f t="array" aca="1" ref="AV144" ca="1">SUMPRODUCT(($E144:$AH144)*(AV$5=$E$5:$AH$5))</f>
        <v>343280.43140306399</v>
      </c>
      <c r="AW144" s="83" cm="1">
        <f t="array" aca="1" ref="AW144" ca="1">SUMPRODUCT(($E144:$AH144)*(AW$5=$E$5:$AH$5))</f>
        <v>359180.97327522049</v>
      </c>
    </row>
    <row r="145" spans="2:49" x14ac:dyDescent="0.25">
      <c r="C145" s="1" t="s">
        <v>363</v>
      </c>
      <c r="E145" s="58">
        <f>E146/E144</f>
        <v>9.8616514871857075E-2</v>
      </c>
      <c r="F145" s="58">
        <f t="shared" ref="F145:P145" si="137">F146/F144</f>
        <v>0.10490222643861594</v>
      </c>
      <c r="G145" s="58">
        <f t="shared" si="137"/>
        <v>9.9976319467737287E-2</v>
      </c>
      <c r="H145" s="58">
        <f t="shared" si="137"/>
        <v>0.10358627855241244</v>
      </c>
      <c r="I145" s="58">
        <f t="shared" si="137"/>
        <v>0.10130256879185634</v>
      </c>
      <c r="J145" s="58">
        <f t="shared" si="137"/>
        <v>9.5580108666520947E-2</v>
      </c>
      <c r="K145" s="58">
        <f t="shared" si="137"/>
        <v>0.1018909611957677</v>
      </c>
      <c r="L145" s="58">
        <f t="shared" si="137"/>
        <v>0.10430539685542392</v>
      </c>
      <c r="M145" s="58">
        <f t="shared" si="137"/>
        <v>0.10473450998525417</v>
      </c>
      <c r="N145" s="58">
        <f t="shared" si="137"/>
        <v>9.8199499275834157E-2</v>
      </c>
      <c r="O145" s="58">
        <f t="shared" si="137"/>
        <v>0.10455259164066322</v>
      </c>
      <c r="P145" s="60">
        <f t="shared" si="137"/>
        <v>9.8272365995960731E-2</v>
      </c>
      <c r="Q145" s="57">
        <f>AVERAGE(K145:P145)</f>
        <v>0.10199255415815067</v>
      </c>
      <c r="R145" s="57">
        <f>Q145</f>
        <v>0.10199255415815067</v>
      </c>
      <c r="S145" s="57">
        <f t="shared" ref="S145:AH145" si="138">R145</f>
        <v>0.10199255415815067</v>
      </c>
      <c r="T145" s="57">
        <f t="shared" si="138"/>
        <v>0.10199255415815067</v>
      </c>
      <c r="U145" s="57">
        <f t="shared" si="138"/>
        <v>0.10199255415815067</v>
      </c>
      <c r="V145" s="57">
        <f t="shared" si="138"/>
        <v>0.10199255415815067</v>
      </c>
      <c r="W145" s="57">
        <f t="shared" si="138"/>
        <v>0.10199255415815067</v>
      </c>
      <c r="X145" s="57">
        <f t="shared" si="138"/>
        <v>0.10199255415815067</v>
      </c>
      <c r="Y145" s="57">
        <f t="shared" si="138"/>
        <v>0.10199255415815067</v>
      </c>
      <c r="Z145" s="57">
        <f t="shared" si="138"/>
        <v>0.10199255415815067</v>
      </c>
      <c r="AA145" s="57">
        <f t="shared" si="138"/>
        <v>0.10199255415815067</v>
      </c>
      <c r="AB145" s="57">
        <f t="shared" si="138"/>
        <v>0.10199255415815067</v>
      </c>
      <c r="AC145" s="57">
        <f t="shared" si="138"/>
        <v>0.10199255415815067</v>
      </c>
      <c r="AD145" s="57">
        <f t="shared" si="138"/>
        <v>0.10199255415815067</v>
      </c>
      <c r="AE145" s="57">
        <f t="shared" si="138"/>
        <v>0.10199255415815067</v>
      </c>
      <c r="AF145" s="57">
        <f t="shared" si="138"/>
        <v>0.10199255415815067</v>
      </c>
      <c r="AG145" s="57">
        <f t="shared" si="138"/>
        <v>0.10199255415815067</v>
      </c>
      <c r="AH145" s="57">
        <f t="shared" si="138"/>
        <v>0.10199255415815067</v>
      </c>
      <c r="AJ145" s="323">
        <f t="shared" ref="AJ145:AW145" ca="1" si="139">AJ146/AJ144</f>
        <v>0.10112043058293083</v>
      </c>
      <c r="AK145" s="323">
        <f t="shared" ca="1" si="139"/>
        <v>9.9887762301325386E-2</v>
      </c>
      <c r="AL145" s="323">
        <f t="shared" ca="1" si="139"/>
        <v>0.10351997002168618</v>
      </c>
      <c r="AM145" s="330">
        <f t="shared" ca="1" si="139"/>
        <v>0.10024298243460787</v>
      </c>
      <c r="AN145" s="323">
        <f t="shared" ca="1" si="139"/>
        <v>0.10199255415815066</v>
      </c>
      <c r="AO145" s="323">
        <f t="shared" ca="1" si="139"/>
        <v>0.10199255415815066</v>
      </c>
      <c r="AP145" s="323">
        <f t="shared" ca="1" si="139"/>
        <v>0.10199255415815067</v>
      </c>
      <c r="AQ145" s="323">
        <f t="shared" ca="1" si="139"/>
        <v>0.10199255415815067</v>
      </c>
      <c r="AR145" s="323">
        <f t="shared" ca="1" si="139"/>
        <v>0.10199255415815069</v>
      </c>
      <c r="AS145" s="323">
        <f t="shared" ca="1" si="139"/>
        <v>0.10199255415815067</v>
      </c>
      <c r="AT145" s="13"/>
      <c r="AU145" s="323">
        <f t="shared" ca="1" si="139"/>
        <v>0.10048713330508272</v>
      </c>
      <c r="AV145" s="323">
        <f t="shared" ca="1" si="139"/>
        <v>0.10183960055810003</v>
      </c>
      <c r="AW145" s="323">
        <f t="shared" ca="1" si="139"/>
        <v>0.10199255415815066</v>
      </c>
    </row>
    <row r="146" spans="2:49" x14ac:dyDescent="0.25">
      <c r="C146" t="s">
        <v>367</v>
      </c>
      <c r="E146" s="65">
        <v>2822.0551857902101</v>
      </c>
      <c r="F146" s="65">
        <v>2754.7345918951492</v>
      </c>
      <c r="G146" s="65">
        <v>2416.7488353541062</v>
      </c>
      <c r="H146" s="65">
        <v>2698.8162587436436</v>
      </c>
      <c r="I146" s="65">
        <v>2676.6714879422216</v>
      </c>
      <c r="J146" s="65">
        <v>2967.5525923954633</v>
      </c>
      <c r="K146" s="65">
        <v>2943.8681016541841</v>
      </c>
      <c r="L146" s="65">
        <v>2596.7369467294243</v>
      </c>
      <c r="M146" s="65">
        <v>2372.4897711188642</v>
      </c>
      <c r="N146" s="65">
        <v>3194.1944829087079</v>
      </c>
      <c r="O146" s="65">
        <v>3213.3314733301968</v>
      </c>
      <c r="P146" s="67">
        <v>3290.4669264467766</v>
      </c>
      <c r="Q146" s="176">
        <f t="shared" ref="Q146:AH146" si="140">Q144*Q145</f>
        <v>3052.8161009843361</v>
      </c>
      <c r="R146" s="176">
        <f t="shared" si="140"/>
        <v>2802.0413947783982</v>
      </c>
      <c r="S146" s="176">
        <f t="shared" si="140"/>
        <v>2579.5119181831678</v>
      </c>
      <c r="T146" s="176">
        <f t="shared" si="140"/>
        <v>2780.6312090195729</v>
      </c>
      <c r="U146" s="176">
        <f t="shared" si="140"/>
        <v>2820.1369445212035</v>
      </c>
      <c r="V146" s="176">
        <f t="shared" si="140"/>
        <v>3313.3167438254641</v>
      </c>
      <c r="W146" s="176">
        <f t="shared" si="140"/>
        <v>3083.1181114126525</v>
      </c>
      <c r="X146" s="176">
        <f t="shared" si="140"/>
        <v>2656.4776177214485</v>
      </c>
      <c r="Y146" s="176">
        <f t="shared" si="140"/>
        <v>2417.043926019599</v>
      </c>
      <c r="Z146" s="176">
        <f t="shared" si="140"/>
        <v>3471.1553583403484</v>
      </c>
      <c r="AA146" s="176">
        <f t="shared" si="140"/>
        <v>3279.1697107214891</v>
      </c>
      <c r="AB146" s="176">
        <f t="shared" si="140"/>
        <v>3572.8928520039321</v>
      </c>
      <c r="AC146" s="176">
        <f t="shared" si="140"/>
        <v>3193.6267163475427</v>
      </c>
      <c r="AD146" s="176">
        <f t="shared" si="140"/>
        <v>2931.9304413968462</v>
      </c>
      <c r="AE146" s="176">
        <f t="shared" si="140"/>
        <v>2699.2406935265649</v>
      </c>
      <c r="AF146" s="176">
        <f t="shared" si="140"/>
        <v>2910.1478449802312</v>
      </c>
      <c r="AG146" s="176">
        <f t="shared" si="140"/>
        <v>2951.6531668693242</v>
      </c>
      <c r="AH146" s="176">
        <f t="shared" si="140"/>
        <v>3467.3284300102118</v>
      </c>
      <c r="AJ146" s="83" cm="1">
        <f t="array" aca="1" ref="AJ146" ca="1">SUMPRODUCT(($E146:$AH146)*(AJ$3&amp;AJ$4&amp;AJ$5&amp;AJ$6=$E$3:$AH$3&amp;$E$4:$AH$4&amp;$E$5:$AH$5&amp;$E$6:$AH$6))</f>
        <v>7993.5386130394654</v>
      </c>
      <c r="AK146" s="83" cm="1">
        <f t="array" aca="1" ref="AK146" ca="1">SUMPRODUCT(($E146:$AH146)*(AK$3=$E$3:$AH$3)*(AK$4=$E$4:$AH$4)*(AK$5=$E$5:$AH$5)*(AK$6=$E$6:$AH$6))</f>
        <v>8343.0403390813281</v>
      </c>
      <c r="AL146" s="83" cm="1">
        <f t="array" aca="1" ref="AL146" ca="1">SUMPRODUCT(($E146:$AH146)*(AL$3=$E$3:$AH$3)*(AL$4=$E$4:$AH$4)*(AL$5=$E$5:$AH$5)*(AL$6=$E$6:$AH$6))</f>
        <v>7913.0948195024721</v>
      </c>
      <c r="AM146" s="158" cm="1">
        <f t="array" aca="1" ref="AM146" ca="1">SUMPRODUCT(($E146:$AH146)*(AM$3=$E$3:$AH$3)*(AM$4=$E$4:$AH$4)*(AM$5=$E$5:$AH$5)*(AM$6=$E$6:$AH$6))</f>
        <v>9697.9928826856813</v>
      </c>
      <c r="AN146" s="83" cm="1">
        <f t="array" aca="1" ref="AN146" ca="1">SUMPRODUCT(($E146:$AH146)*(AN$3=$E$3:$AH$3)*(AN$4=$E$4:$AH$4)*(AN$5=$E$5:$AH$5)*(AN$6=$E$6:$AH$6))</f>
        <v>8434.3694139459021</v>
      </c>
      <c r="AO146" s="83" cm="1">
        <f t="array" aca="1" ref="AO146" ca="1">SUMPRODUCT(($E146:$AH146)*(AO$3=$E$3:$AH$3)*(AO$4=$E$4:$AH$4)*(AO$5=$E$5:$AH$5)*(AO$6=$E$6:$AH$6))</f>
        <v>8914.0848973662396</v>
      </c>
      <c r="AP146" s="83" cm="1">
        <f t="array" aca="1" ref="AP146" ca="1">SUMPRODUCT(($E146:$AH146)*(AP$3=$E$3:$AH$3)*(AP$4=$E$4:$AH$4)*(AP$5=$E$5:$AH$5)*(AP$6=$E$6:$AH$6))</f>
        <v>8156.6396551537</v>
      </c>
      <c r="AQ146" s="83" cm="1">
        <f t="array" aca="1" ref="AQ146" ca="1">SUMPRODUCT(($E146:$AH146)*(AQ$3=$E$3:$AH$3)*(AQ$4=$E$4:$AH$4)*(AQ$5=$E$5:$AH$5)*(AQ$6=$E$6:$AH$6))</f>
        <v>10323.217921065769</v>
      </c>
      <c r="AR146" s="83" cm="1">
        <f t="array" aca="1" ref="AR146" ca="1">SUMPRODUCT(($E146:$AH146)*(AR$3=$E$3:$AH$3)*(AR$4=$E$4:$AH$4)*(AR$5=$E$5:$AH$5)*(AR$6=$E$6:$AH$6))</f>
        <v>8824.7978512709542</v>
      </c>
      <c r="AS146" s="83" cm="1">
        <f t="array" aca="1" ref="AS146" ca="1">SUMPRODUCT(($E146:$AH146)*(AS$3=$E$3:$AH$3)*(AS$4=$E$4:$AH$4)*(AS$5=$E$5:$AH$5)*(AS$6=$E$6:$AH$6))</f>
        <v>9329.1294418597663</v>
      </c>
      <c r="AT146" s="13"/>
      <c r="AU146" s="83" cm="1">
        <f t="array" aca="1" ref="AU146" ca="1">SUMPRODUCT(($E146:$AH146)*(AU$5=$E$5:$AH$5))</f>
        <v>16336.578952120793</v>
      </c>
      <c r="AV146" s="83" cm="1">
        <f t="array" aca="1" ref="AV146" ca="1">SUMPRODUCT(($E146:$AH146)*(AV$5=$E$5:$AH$5))</f>
        <v>34959.542013500293</v>
      </c>
      <c r="AW146" s="83" cm="1">
        <f t="array" aca="1" ref="AW146" ca="1">SUMPRODUCT(($E146:$AH146)*(AW$5=$E$5:$AH$5))</f>
        <v>36633.784869350187</v>
      </c>
    </row>
    <row r="147" spans="2:49" x14ac:dyDescent="0.25">
      <c r="C147" s="23" t="s">
        <v>368</v>
      </c>
      <c r="D147" s="27"/>
      <c r="E147" s="125">
        <f>E146*1000/E148</f>
        <v>627.12337462004666</v>
      </c>
      <c r="F147" s="209">
        <f t="shared" ref="F147:P147" si="141">F146*1000/F148</f>
        <v>612.16324264336652</v>
      </c>
      <c r="G147" s="209">
        <f t="shared" si="141"/>
        <v>537.05529674535694</v>
      </c>
      <c r="H147" s="209">
        <f t="shared" si="141"/>
        <v>599.73694638747634</v>
      </c>
      <c r="I147" s="209">
        <f t="shared" si="141"/>
        <v>594.8158862093826</v>
      </c>
      <c r="J147" s="209">
        <f t="shared" si="141"/>
        <v>659.45613164343638</v>
      </c>
      <c r="K147" s="209">
        <f t="shared" si="141"/>
        <v>654.19291147870752</v>
      </c>
      <c r="L147" s="209">
        <f t="shared" si="141"/>
        <v>577.05265482876098</v>
      </c>
      <c r="M147" s="209">
        <f t="shared" si="141"/>
        <v>527.2199491375253</v>
      </c>
      <c r="N147" s="209">
        <f t="shared" si="141"/>
        <v>709.82099620193515</v>
      </c>
      <c r="O147" s="209">
        <f t="shared" si="141"/>
        <v>714.07366074004381</v>
      </c>
      <c r="P147" s="211">
        <f t="shared" si="141"/>
        <v>731.21487254372812</v>
      </c>
      <c r="Q147" s="125">
        <f t="shared" ref="Q147" si="142">Q146*1000/Q148</f>
        <v>610.56322019686729</v>
      </c>
      <c r="R147" s="125">
        <f t="shared" ref="R147" si="143">R146*1000/R148</f>
        <v>549.41988132909773</v>
      </c>
      <c r="S147" s="125">
        <f t="shared" ref="S147" si="144">S146*1000/S148</f>
        <v>505.78665062415058</v>
      </c>
      <c r="T147" s="125">
        <f t="shared" ref="T147" si="145">T146*1000/T148</f>
        <v>545.22180569011232</v>
      </c>
      <c r="U147" s="125">
        <f t="shared" ref="U147" si="146">U146*1000/U148</f>
        <v>552.96802833749086</v>
      </c>
      <c r="V147" s="125">
        <f t="shared" ref="V147" si="147">V146*1000/V148</f>
        <v>649.66994976969886</v>
      </c>
      <c r="W147" s="125">
        <f t="shared" ref="W147" si="148">W146*1000/W148</f>
        <v>604.53296302208867</v>
      </c>
      <c r="X147" s="125">
        <f t="shared" ref="X147" si="149">X146*1000/X148</f>
        <v>520.87796425910756</v>
      </c>
      <c r="Y147" s="125">
        <f t="shared" ref="Y147" si="150">Y146*1000/Y148</f>
        <v>473.93018157247042</v>
      </c>
      <c r="Z147" s="125">
        <f t="shared" ref="Z147" si="151">Z146*1000/Z148</f>
        <v>680.61869771379384</v>
      </c>
      <c r="AA147" s="125">
        <f t="shared" ref="AA147" si="152">AA146*1000/AA148</f>
        <v>642.97445308264491</v>
      </c>
      <c r="AB147" s="125">
        <f t="shared" ref="AB147" si="153">AB146*1000/AB148</f>
        <v>700.56722588312391</v>
      </c>
      <c r="AC147" s="125">
        <f t="shared" ref="AC147" si="154">AC146*1000/AC148</f>
        <v>626.2013169308907</v>
      </c>
      <c r="AD147" s="125">
        <f t="shared" ref="AD147" si="155">AD146*1000/AD148</f>
        <v>574.88832184251885</v>
      </c>
      <c r="AE147" s="125">
        <f t="shared" ref="AE147" si="156">AE146*1000/AE148</f>
        <v>529.2628810836402</v>
      </c>
      <c r="AF147" s="125">
        <f t="shared" ref="AF147" si="157">AF146*1000/AF148</f>
        <v>570.61722450592765</v>
      </c>
      <c r="AG147" s="125">
        <f t="shared" ref="AG147" si="158">AG146*1000/AG148</f>
        <v>578.7555229155538</v>
      </c>
      <c r="AH147" s="125">
        <f t="shared" ref="AH147" si="159">AH146*1000/AH148</f>
        <v>679.86831960984546</v>
      </c>
      <c r="AJ147" s="125">
        <f ca="1">AJ146*1000/(AJ148*3)</f>
        <v>592.11397133625667</v>
      </c>
      <c r="AK147" s="342">
        <f t="shared" ref="AK147:AS147" ca="1" si="160">AK146*1000/(AK148*3)</f>
        <v>618.00298808009836</v>
      </c>
      <c r="AL147" s="342">
        <f t="shared" ca="1" si="160"/>
        <v>586.15517181499797</v>
      </c>
      <c r="AM147" s="344">
        <f t="shared" ca="1" si="160"/>
        <v>718.36984316190239</v>
      </c>
      <c r="AN147" s="342">
        <f t="shared" ca="1" si="160"/>
        <v>551.26597476770598</v>
      </c>
      <c r="AO147" s="342">
        <f t="shared" ca="1" si="160"/>
        <v>582.61992793243394</v>
      </c>
      <c r="AP147" s="342">
        <f t="shared" ca="1" si="160"/>
        <v>533.11370295122219</v>
      </c>
      <c r="AQ147" s="342">
        <f t="shared" ca="1" si="160"/>
        <v>674.72012555985418</v>
      </c>
      <c r="AR147" s="342">
        <f t="shared" ca="1" si="160"/>
        <v>576.78417328568332</v>
      </c>
      <c r="AS147" s="342">
        <f t="shared" ca="1" si="160"/>
        <v>609.7470223437756</v>
      </c>
      <c r="AT147" s="13"/>
      <c r="AU147" s="342">
        <f ca="1">AU146*1000/(AU148*6)</f>
        <v>605.05847970817752</v>
      </c>
      <c r="AV147" s="342">
        <f ca="1">AV146*1000/(AV148*12)</f>
        <v>571.23434662582179</v>
      </c>
      <c r="AW147" s="342">
        <f t="shared" ref="AW147" ca="1" si="161">AW146*1000/(AW148*12)</f>
        <v>598.59125603513382</v>
      </c>
    </row>
    <row r="148" spans="2:49" x14ac:dyDescent="0.25">
      <c r="C148" t="s">
        <v>364</v>
      </c>
      <c r="E148" s="157">
        <f>SUM(E150:E152)</f>
        <v>4500</v>
      </c>
      <c r="F148" s="157">
        <f t="shared" ref="F148:P148" si="162">SUM(F150:F152)</f>
        <v>4500</v>
      </c>
      <c r="G148" s="157">
        <f t="shared" si="162"/>
        <v>4500</v>
      </c>
      <c r="H148" s="157">
        <f t="shared" si="162"/>
        <v>4500</v>
      </c>
      <c r="I148" s="157">
        <f t="shared" si="162"/>
        <v>4500</v>
      </c>
      <c r="J148" s="157">
        <f t="shared" si="162"/>
        <v>4500</v>
      </c>
      <c r="K148" s="157">
        <f t="shared" si="162"/>
        <v>4500</v>
      </c>
      <c r="L148" s="157">
        <f t="shared" si="162"/>
        <v>4500</v>
      </c>
      <c r="M148" s="157">
        <f t="shared" si="162"/>
        <v>4500</v>
      </c>
      <c r="N148" s="157">
        <f t="shared" si="162"/>
        <v>4500</v>
      </c>
      <c r="O148" s="157">
        <f t="shared" si="162"/>
        <v>4500</v>
      </c>
      <c r="P148" s="158">
        <f t="shared" si="162"/>
        <v>4500</v>
      </c>
      <c r="Q148" s="176">
        <f>SUM(Q150:Q152)</f>
        <v>5000</v>
      </c>
      <c r="R148" s="176">
        <f t="shared" ref="R148:AH148" si="163">SUM(R150:R152)</f>
        <v>5100</v>
      </c>
      <c r="S148" s="176">
        <f t="shared" si="163"/>
        <v>5100</v>
      </c>
      <c r="T148" s="176">
        <f t="shared" si="163"/>
        <v>5100</v>
      </c>
      <c r="U148" s="176">
        <f t="shared" si="163"/>
        <v>5100</v>
      </c>
      <c r="V148" s="176">
        <f t="shared" si="163"/>
        <v>5100</v>
      </c>
      <c r="W148" s="176">
        <f t="shared" si="163"/>
        <v>5100</v>
      </c>
      <c r="X148" s="176">
        <f t="shared" si="163"/>
        <v>5100</v>
      </c>
      <c r="Y148" s="176">
        <f t="shared" si="163"/>
        <v>5100</v>
      </c>
      <c r="Z148" s="176">
        <f t="shared" si="163"/>
        <v>5100</v>
      </c>
      <c r="AA148" s="176">
        <f t="shared" si="163"/>
        <v>5100</v>
      </c>
      <c r="AB148" s="176">
        <f t="shared" si="163"/>
        <v>5100</v>
      </c>
      <c r="AC148" s="176">
        <f t="shared" si="163"/>
        <v>5100</v>
      </c>
      <c r="AD148" s="176">
        <f t="shared" si="163"/>
        <v>5100</v>
      </c>
      <c r="AE148" s="176">
        <f t="shared" si="163"/>
        <v>5100</v>
      </c>
      <c r="AF148" s="176">
        <f t="shared" si="163"/>
        <v>5100</v>
      </c>
      <c r="AG148" s="176">
        <f t="shared" si="163"/>
        <v>5100</v>
      </c>
      <c r="AH148" s="176">
        <f t="shared" si="163"/>
        <v>5100</v>
      </c>
      <c r="AJ148" s="341" cm="1">
        <f t="array" aca="1" ref="AJ148" ca="1">INDEX($E148:$AH148,1,MATCH(AJ$3&amp;AJ$4&amp;AJ$5&amp;AJ$6,$E$3:$AH$3&amp;$E$4:$AH$4&amp;$E$5:$AH$5&amp;$E$6:$AH$6,1))</f>
        <v>4500</v>
      </c>
      <c r="AK148" s="341" cm="1">
        <f t="array" aca="1" ref="AK148" ca="1">INDEX($E148:$AH148,1,MATCH(AK$3&amp;AK$4&amp;AK$5&amp;AK$6,$E$3:$AH$3&amp;$E$4:$AH$4&amp;$E$5:$AH$5&amp;$E$6:$AH$6,1))</f>
        <v>4500</v>
      </c>
      <c r="AL148" s="341" cm="1">
        <f t="array" aca="1" ref="AL148" ca="1">INDEX($E148:$AH148,1,MATCH(AL$3&amp;AL$4&amp;AL$5&amp;AL$6,$E$3:$AH$3&amp;$E$4:$AH$4&amp;$E$5:$AH$5&amp;$E$6:$AH$6,1))</f>
        <v>4500</v>
      </c>
      <c r="AM148" s="343" cm="1">
        <f t="array" aca="1" ref="AM148" ca="1">INDEX($E148:$AH148,1,MATCH(AM$3&amp;AM$4&amp;AM$5&amp;AM$6,$E$3:$AH$3&amp;$E$4:$AH$4&amp;$E$5:$AH$5&amp;$E$6:$AH$6,1))</f>
        <v>4500</v>
      </c>
      <c r="AN148" s="341" cm="1">
        <f t="array" aca="1" ref="AN148" ca="1">INDEX($E148:$AH148,1,MATCH(AN$3&amp;AN$4&amp;AN$5&amp;AN$6,$E$3:$AH$3&amp;$E$4:$AH$4&amp;$E$5:$AH$5&amp;$E$6:$AH$6,1))</f>
        <v>5100</v>
      </c>
      <c r="AO148" s="341" cm="1">
        <f t="array" aca="1" ref="AO148" ca="1">INDEX($E148:$AH148,1,MATCH(AO$3&amp;AO$4&amp;AO$5&amp;AO$6,$E$3:$AH$3&amp;$E$4:$AH$4&amp;$E$5:$AH$5&amp;$E$6:$AH$6,1))</f>
        <v>5100</v>
      </c>
      <c r="AP148" s="341" cm="1">
        <f t="array" aca="1" ref="AP148" ca="1">INDEX($E148:$AH148,1,MATCH(AP$3&amp;AP$4&amp;AP$5&amp;AP$6,$E$3:$AH$3&amp;$E$4:$AH$4&amp;$E$5:$AH$5&amp;$E$6:$AH$6,1))</f>
        <v>5100</v>
      </c>
      <c r="AQ148" s="341" cm="1">
        <f t="array" aca="1" ref="AQ148" ca="1">INDEX($E148:$AH148,1,MATCH(AQ$3&amp;AQ$4&amp;AQ$5&amp;AQ$6,$E$3:$AH$3&amp;$E$4:$AH$4&amp;$E$5:$AH$5&amp;$E$6:$AH$6,1))</f>
        <v>5100</v>
      </c>
      <c r="AR148" s="341" cm="1">
        <f t="array" aca="1" ref="AR148" ca="1">INDEX($E148:$AH148,1,MATCH(AR$3&amp;AR$4&amp;AR$5&amp;AR$6,$E$3:$AH$3&amp;$E$4:$AH$4&amp;$E$5:$AH$5&amp;$E$6:$AH$6,1))</f>
        <v>5100</v>
      </c>
      <c r="AS148" s="341" cm="1">
        <f t="array" aca="1" ref="AS148" ca="1">INDEX($E148:$AH148,1,MATCH(AS$3&amp;AS$4&amp;AS$5&amp;AS$6,$E$3:$AH$3&amp;$E$4:$AH$4&amp;$E$5:$AH$5&amp;$E$6:$AH$6,1))</f>
        <v>5100</v>
      </c>
      <c r="AT148" s="13"/>
      <c r="AU148" s="341">
        <f t="shared" ref="AU148:AW148" ca="1" si="164">INDEX($E148:$AH148,MATCH(AU$5,$E$5:$AH$5,1))</f>
        <v>4500</v>
      </c>
      <c r="AV148" s="341">
        <f t="shared" ca="1" si="164"/>
        <v>5100</v>
      </c>
      <c r="AW148" s="341">
        <f t="shared" ca="1" si="164"/>
        <v>5100</v>
      </c>
    </row>
    <row r="149" spans="2:49" x14ac:dyDescent="0.25">
      <c r="P149" s="8"/>
      <c r="AM149" s="8"/>
      <c r="AT149" s="13"/>
    </row>
    <row r="150" spans="2:49" x14ac:dyDescent="0.25">
      <c r="C150" s="1" t="s">
        <v>370</v>
      </c>
      <c r="E150" s="91">
        <v>1500</v>
      </c>
      <c r="F150" s="91">
        <v>1500</v>
      </c>
      <c r="G150" s="91">
        <v>1500</v>
      </c>
      <c r="H150" s="91">
        <v>1500</v>
      </c>
      <c r="I150" s="91">
        <v>1500</v>
      </c>
      <c r="J150" s="91">
        <v>1500</v>
      </c>
      <c r="K150" s="91">
        <v>1500</v>
      </c>
      <c r="L150" s="91">
        <v>1500</v>
      </c>
      <c r="M150" s="91">
        <v>1500</v>
      </c>
      <c r="N150" s="91">
        <v>1500</v>
      </c>
      <c r="O150" s="91">
        <v>1500</v>
      </c>
      <c r="P150" s="67">
        <v>1500</v>
      </c>
      <c r="Q150" s="220">
        <v>2000</v>
      </c>
      <c r="R150" s="91">
        <f t="shared" ref="R150:AH150" si="165">Q150</f>
        <v>2000</v>
      </c>
      <c r="S150" s="91">
        <f t="shared" si="165"/>
        <v>2000</v>
      </c>
      <c r="T150" s="91">
        <f t="shared" si="165"/>
        <v>2000</v>
      </c>
      <c r="U150" s="91">
        <f t="shared" si="165"/>
        <v>2000</v>
      </c>
      <c r="V150" s="91">
        <f t="shared" si="165"/>
        <v>2000</v>
      </c>
      <c r="W150" s="91">
        <f t="shared" si="165"/>
        <v>2000</v>
      </c>
      <c r="X150" s="91">
        <f t="shared" si="165"/>
        <v>2000</v>
      </c>
      <c r="Y150" s="91">
        <f t="shared" si="165"/>
        <v>2000</v>
      </c>
      <c r="Z150" s="91">
        <f t="shared" si="165"/>
        <v>2000</v>
      </c>
      <c r="AA150" s="91">
        <f t="shared" si="165"/>
        <v>2000</v>
      </c>
      <c r="AB150" s="91">
        <f t="shared" si="165"/>
        <v>2000</v>
      </c>
      <c r="AC150" s="91">
        <f t="shared" si="165"/>
        <v>2000</v>
      </c>
      <c r="AD150" s="91">
        <f t="shared" si="165"/>
        <v>2000</v>
      </c>
      <c r="AE150" s="91">
        <f t="shared" si="165"/>
        <v>2000</v>
      </c>
      <c r="AF150" s="91">
        <f t="shared" si="165"/>
        <v>2000</v>
      </c>
      <c r="AG150" s="91">
        <f t="shared" si="165"/>
        <v>2000</v>
      </c>
      <c r="AH150" s="91">
        <f t="shared" si="165"/>
        <v>2000</v>
      </c>
      <c r="AJ150" s="341" cm="1">
        <f t="array" aca="1" ref="AJ150" ca="1">INDEX($E150:$AH150,1,MATCH(AJ$3&amp;AJ$4&amp;AJ$5&amp;AJ$6,$E$3:$AH$3&amp;$E$4:$AH$4&amp;$E$5:$AH$5&amp;$E$6:$AH$6,1))</f>
        <v>1500</v>
      </c>
      <c r="AK150" s="341" cm="1">
        <f t="array" aca="1" ref="AK150" ca="1">INDEX($E150:$AH150,1,MATCH(AK$3&amp;AK$4&amp;AK$5&amp;AK$6,$E$3:$AH$3&amp;$E$4:$AH$4&amp;$E$5:$AH$5&amp;$E$6:$AH$6,1))</f>
        <v>1500</v>
      </c>
      <c r="AL150" s="341" cm="1">
        <f t="array" aca="1" ref="AL150" ca="1">INDEX($E150:$AH150,1,MATCH(AL$3&amp;AL$4&amp;AL$5&amp;AL$6,$E$3:$AH$3&amp;$E$4:$AH$4&amp;$E$5:$AH$5&amp;$E$6:$AH$6,1))</f>
        <v>1500</v>
      </c>
      <c r="AM150" s="343" cm="1">
        <f t="array" aca="1" ref="AM150" ca="1">INDEX($E150:$AH150,1,MATCH(AM$3&amp;AM$4&amp;AM$5&amp;AM$6,$E$3:$AH$3&amp;$E$4:$AH$4&amp;$E$5:$AH$5&amp;$E$6:$AH$6,1))</f>
        <v>1500</v>
      </c>
      <c r="AN150" s="341" cm="1">
        <f t="array" aca="1" ref="AN150" ca="1">INDEX($E150:$AH150,1,MATCH(AN$3&amp;AN$4&amp;AN$5&amp;AN$6,$E$3:$AH$3&amp;$E$4:$AH$4&amp;$E$5:$AH$5&amp;$E$6:$AH$6,1))</f>
        <v>2000</v>
      </c>
      <c r="AO150" s="341" cm="1">
        <f t="array" aca="1" ref="AO150" ca="1">INDEX($E150:$AH150,1,MATCH(AO$3&amp;AO$4&amp;AO$5&amp;AO$6,$E$3:$AH$3&amp;$E$4:$AH$4&amp;$E$5:$AH$5&amp;$E$6:$AH$6,1))</f>
        <v>2000</v>
      </c>
      <c r="AP150" s="341" cm="1">
        <f t="array" aca="1" ref="AP150" ca="1">INDEX($E150:$AH150,1,MATCH(AP$3&amp;AP$4&amp;AP$5&amp;AP$6,$E$3:$AH$3&amp;$E$4:$AH$4&amp;$E$5:$AH$5&amp;$E$6:$AH$6,1))</f>
        <v>2000</v>
      </c>
      <c r="AQ150" s="341" cm="1">
        <f t="array" aca="1" ref="AQ150" ca="1">INDEX($E150:$AH150,1,MATCH(AQ$3&amp;AQ$4&amp;AQ$5&amp;AQ$6,$E$3:$AH$3&amp;$E$4:$AH$4&amp;$E$5:$AH$5&amp;$E$6:$AH$6,1))</f>
        <v>2000</v>
      </c>
      <c r="AR150" s="341" cm="1">
        <f t="array" aca="1" ref="AR150" ca="1">INDEX($E150:$AH150,1,MATCH(AR$3&amp;AR$4&amp;AR$5&amp;AR$6,$E$3:$AH$3&amp;$E$4:$AH$4&amp;$E$5:$AH$5&amp;$E$6:$AH$6,1))</f>
        <v>2000</v>
      </c>
      <c r="AS150" s="341" cm="1">
        <f t="array" aca="1" ref="AS150" ca="1">INDEX($E150:$AH150,1,MATCH(AS$3&amp;AS$4&amp;AS$5&amp;AS$6,$E$3:$AH$3&amp;$E$4:$AH$4&amp;$E$5:$AH$5&amp;$E$6:$AH$6,1))</f>
        <v>2000</v>
      </c>
      <c r="AT150" s="13"/>
      <c r="AU150" s="341">
        <f t="shared" ref="AU150:AW152" ca="1" si="166">INDEX($E150:$AH150,MATCH(AU$5,$E$5:$AH$5,1))</f>
        <v>1500</v>
      </c>
      <c r="AV150" s="341">
        <f t="shared" ca="1" si="166"/>
        <v>2000</v>
      </c>
      <c r="AW150" s="341">
        <f t="shared" ca="1" si="166"/>
        <v>2000</v>
      </c>
    </row>
    <row r="151" spans="2:49" x14ac:dyDescent="0.25">
      <c r="C151" s="1" t="s">
        <v>371</v>
      </c>
      <c r="E151" s="91">
        <v>2000</v>
      </c>
      <c r="F151" s="91">
        <v>2000</v>
      </c>
      <c r="G151" s="91">
        <v>2000</v>
      </c>
      <c r="H151" s="91">
        <v>2000</v>
      </c>
      <c r="I151" s="91">
        <v>2000</v>
      </c>
      <c r="J151" s="91">
        <v>2000</v>
      </c>
      <c r="K151" s="91">
        <v>2000</v>
      </c>
      <c r="L151" s="91">
        <v>2000</v>
      </c>
      <c r="M151" s="91">
        <v>2000</v>
      </c>
      <c r="N151" s="91">
        <v>2000</v>
      </c>
      <c r="O151" s="91">
        <v>2000</v>
      </c>
      <c r="P151" s="67">
        <v>2000</v>
      </c>
      <c r="Q151" s="91">
        <f>P151</f>
        <v>2000</v>
      </c>
      <c r="R151" s="220">
        <v>2100</v>
      </c>
      <c r="S151" s="91">
        <f t="shared" ref="R151:AH152" si="167">R151</f>
        <v>2100</v>
      </c>
      <c r="T151" s="91">
        <f t="shared" si="167"/>
        <v>2100</v>
      </c>
      <c r="U151" s="91">
        <f t="shared" si="167"/>
        <v>2100</v>
      </c>
      <c r="V151" s="91">
        <f t="shared" si="167"/>
        <v>2100</v>
      </c>
      <c r="W151" s="91">
        <f t="shared" si="167"/>
        <v>2100</v>
      </c>
      <c r="X151" s="91">
        <f t="shared" si="167"/>
        <v>2100</v>
      </c>
      <c r="Y151" s="91">
        <f t="shared" si="167"/>
        <v>2100</v>
      </c>
      <c r="Z151" s="91">
        <f t="shared" si="167"/>
        <v>2100</v>
      </c>
      <c r="AA151" s="91">
        <f t="shared" si="167"/>
        <v>2100</v>
      </c>
      <c r="AB151" s="91">
        <f t="shared" si="167"/>
        <v>2100</v>
      </c>
      <c r="AC151" s="91">
        <f t="shared" si="167"/>
        <v>2100</v>
      </c>
      <c r="AD151" s="91">
        <f t="shared" si="167"/>
        <v>2100</v>
      </c>
      <c r="AE151" s="91">
        <f t="shared" si="167"/>
        <v>2100</v>
      </c>
      <c r="AF151" s="91">
        <f t="shared" si="167"/>
        <v>2100</v>
      </c>
      <c r="AG151" s="91">
        <f t="shared" si="167"/>
        <v>2100</v>
      </c>
      <c r="AH151" s="91">
        <f t="shared" si="167"/>
        <v>2100</v>
      </c>
      <c r="AJ151" s="341" cm="1">
        <f t="array" aca="1" ref="AJ151" ca="1">INDEX($E151:$AH151,1,MATCH(AJ$3&amp;AJ$4&amp;AJ$5&amp;AJ$6,$E$3:$AH$3&amp;$E$4:$AH$4&amp;$E$5:$AH$5&amp;$E$6:$AH$6,1))</f>
        <v>2000</v>
      </c>
      <c r="AK151" s="341" cm="1">
        <f t="array" aca="1" ref="AK151" ca="1">INDEX($E151:$AH151,1,MATCH(AK$3&amp;AK$4&amp;AK$5&amp;AK$6,$E$3:$AH$3&amp;$E$4:$AH$4&amp;$E$5:$AH$5&amp;$E$6:$AH$6,1))</f>
        <v>2000</v>
      </c>
      <c r="AL151" s="341" cm="1">
        <f t="array" aca="1" ref="AL151" ca="1">INDEX($E151:$AH151,1,MATCH(AL$3&amp;AL$4&amp;AL$5&amp;AL$6,$E$3:$AH$3&amp;$E$4:$AH$4&amp;$E$5:$AH$5&amp;$E$6:$AH$6,1))</f>
        <v>2000</v>
      </c>
      <c r="AM151" s="343" cm="1">
        <f t="array" aca="1" ref="AM151" ca="1">INDEX($E151:$AH151,1,MATCH(AM$3&amp;AM$4&amp;AM$5&amp;AM$6,$E$3:$AH$3&amp;$E$4:$AH$4&amp;$E$5:$AH$5&amp;$E$6:$AH$6,1))</f>
        <v>2000</v>
      </c>
      <c r="AN151" s="341" cm="1">
        <f t="array" aca="1" ref="AN151" ca="1">INDEX($E151:$AH151,1,MATCH(AN$3&amp;AN$4&amp;AN$5&amp;AN$6,$E$3:$AH$3&amp;$E$4:$AH$4&amp;$E$5:$AH$5&amp;$E$6:$AH$6,1))</f>
        <v>2100</v>
      </c>
      <c r="AO151" s="341" cm="1">
        <f t="array" aca="1" ref="AO151" ca="1">INDEX($E151:$AH151,1,MATCH(AO$3&amp;AO$4&amp;AO$5&amp;AO$6,$E$3:$AH$3&amp;$E$4:$AH$4&amp;$E$5:$AH$5&amp;$E$6:$AH$6,1))</f>
        <v>2100</v>
      </c>
      <c r="AP151" s="341" cm="1">
        <f t="array" aca="1" ref="AP151" ca="1">INDEX($E151:$AH151,1,MATCH(AP$3&amp;AP$4&amp;AP$5&amp;AP$6,$E$3:$AH$3&amp;$E$4:$AH$4&amp;$E$5:$AH$5&amp;$E$6:$AH$6,1))</f>
        <v>2100</v>
      </c>
      <c r="AQ151" s="341" cm="1">
        <f t="array" aca="1" ref="AQ151" ca="1">INDEX($E151:$AH151,1,MATCH(AQ$3&amp;AQ$4&amp;AQ$5&amp;AQ$6,$E$3:$AH$3&amp;$E$4:$AH$4&amp;$E$5:$AH$5&amp;$E$6:$AH$6,1))</f>
        <v>2100</v>
      </c>
      <c r="AR151" s="341" cm="1">
        <f t="array" aca="1" ref="AR151" ca="1">INDEX($E151:$AH151,1,MATCH(AR$3&amp;AR$4&amp;AR$5&amp;AR$6,$E$3:$AH$3&amp;$E$4:$AH$4&amp;$E$5:$AH$5&amp;$E$6:$AH$6,1))</f>
        <v>2100</v>
      </c>
      <c r="AS151" s="341" cm="1">
        <f t="array" aca="1" ref="AS151" ca="1">INDEX($E151:$AH151,1,MATCH(AS$3&amp;AS$4&amp;AS$5&amp;AS$6,$E$3:$AH$3&amp;$E$4:$AH$4&amp;$E$5:$AH$5&amp;$E$6:$AH$6,1))</f>
        <v>2100</v>
      </c>
      <c r="AT151" s="13"/>
      <c r="AU151" s="341">
        <f t="shared" ca="1" si="166"/>
        <v>2000</v>
      </c>
      <c r="AV151" s="341">
        <f t="shared" ca="1" si="166"/>
        <v>2100</v>
      </c>
      <c r="AW151" s="341">
        <f t="shared" ca="1" si="166"/>
        <v>2100</v>
      </c>
    </row>
    <row r="152" spans="2:49" x14ac:dyDescent="0.25">
      <c r="C152" s="1" t="s">
        <v>385</v>
      </c>
      <c r="E152" s="91">
        <v>1000</v>
      </c>
      <c r="F152" s="91">
        <v>1000</v>
      </c>
      <c r="G152" s="91">
        <v>1000</v>
      </c>
      <c r="H152" s="91">
        <v>1000</v>
      </c>
      <c r="I152" s="91">
        <v>1000</v>
      </c>
      <c r="J152" s="91">
        <v>1000</v>
      </c>
      <c r="K152" s="91">
        <v>1000</v>
      </c>
      <c r="L152" s="91">
        <v>1000</v>
      </c>
      <c r="M152" s="91">
        <v>1000</v>
      </c>
      <c r="N152" s="91">
        <v>1000</v>
      </c>
      <c r="O152" s="91">
        <v>1000</v>
      </c>
      <c r="P152" s="67">
        <v>1000</v>
      </c>
      <c r="Q152" s="91">
        <f>P152</f>
        <v>1000</v>
      </c>
      <c r="R152" s="91">
        <f t="shared" si="167"/>
        <v>1000</v>
      </c>
      <c r="S152" s="91">
        <f t="shared" si="167"/>
        <v>1000</v>
      </c>
      <c r="T152" s="91">
        <f t="shared" si="167"/>
        <v>1000</v>
      </c>
      <c r="U152" s="91">
        <f t="shared" si="167"/>
        <v>1000</v>
      </c>
      <c r="V152" s="91">
        <f t="shared" si="167"/>
        <v>1000</v>
      </c>
      <c r="W152" s="91">
        <f t="shared" si="167"/>
        <v>1000</v>
      </c>
      <c r="X152" s="91">
        <f t="shared" si="167"/>
        <v>1000</v>
      </c>
      <c r="Y152" s="91">
        <f t="shared" si="167"/>
        <v>1000</v>
      </c>
      <c r="Z152" s="91">
        <f t="shared" si="167"/>
        <v>1000</v>
      </c>
      <c r="AA152" s="91">
        <f t="shared" si="167"/>
        <v>1000</v>
      </c>
      <c r="AB152" s="91">
        <f t="shared" si="167"/>
        <v>1000</v>
      </c>
      <c r="AC152" s="91">
        <f t="shared" si="167"/>
        <v>1000</v>
      </c>
      <c r="AD152" s="91">
        <f t="shared" si="167"/>
        <v>1000</v>
      </c>
      <c r="AE152" s="91">
        <f t="shared" si="167"/>
        <v>1000</v>
      </c>
      <c r="AF152" s="91">
        <f t="shared" si="167"/>
        <v>1000</v>
      </c>
      <c r="AG152" s="91">
        <f t="shared" si="167"/>
        <v>1000</v>
      </c>
      <c r="AH152" s="91">
        <f t="shared" si="167"/>
        <v>1000</v>
      </c>
      <c r="AJ152" s="341" cm="1">
        <f t="array" aca="1" ref="AJ152" ca="1">INDEX($E152:$AH152,1,MATCH(AJ$3&amp;AJ$4&amp;AJ$5&amp;AJ$6,$E$3:$AH$3&amp;$E$4:$AH$4&amp;$E$5:$AH$5&amp;$E$6:$AH$6,1))</f>
        <v>1000</v>
      </c>
      <c r="AK152" s="341" cm="1">
        <f t="array" aca="1" ref="AK152" ca="1">INDEX($E152:$AH152,1,MATCH(AK$3&amp;AK$4&amp;AK$5&amp;AK$6,$E$3:$AH$3&amp;$E$4:$AH$4&amp;$E$5:$AH$5&amp;$E$6:$AH$6,1))</f>
        <v>1000</v>
      </c>
      <c r="AL152" s="341" cm="1">
        <f t="array" aca="1" ref="AL152" ca="1">INDEX($E152:$AH152,1,MATCH(AL$3&amp;AL$4&amp;AL$5&amp;AL$6,$E$3:$AH$3&amp;$E$4:$AH$4&amp;$E$5:$AH$5&amp;$E$6:$AH$6,1))</f>
        <v>1000</v>
      </c>
      <c r="AM152" s="343" cm="1">
        <f t="array" aca="1" ref="AM152" ca="1">INDEX($E152:$AH152,1,MATCH(AM$3&amp;AM$4&amp;AM$5&amp;AM$6,$E$3:$AH$3&amp;$E$4:$AH$4&amp;$E$5:$AH$5&amp;$E$6:$AH$6,1))</f>
        <v>1000</v>
      </c>
      <c r="AN152" s="341" cm="1">
        <f t="array" aca="1" ref="AN152" ca="1">INDEX($E152:$AH152,1,MATCH(AN$3&amp;AN$4&amp;AN$5&amp;AN$6,$E$3:$AH$3&amp;$E$4:$AH$4&amp;$E$5:$AH$5&amp;$E$6:$AH$6,1))</f>
        <v>1000</v>
      </c>
      <c r="AO152" s="341" cm="1">
        <f t="array" aca="1" ref="AO152" ca="1">INDEX($E152:$AH152,1,MATCH(AO$3&amp;AO$4&amp;AO$5&amp;AO$6,$E$3:$AH$3&amp;$E$4:$AH$4&amp;$E$5:$AH$5&amp;$E$6:$AH$6,1))</f>
        <v>1000</v>
      </c>
      <c r="AP152" s="341" cm="1">
        <f t="array" aca="1" ref="AP152" ca="1">INDEX($E152:$AH152,1,MATCH(AP$3&amp;AP$4&amp;AP$5&amp;AP$6,$E$3:$AH$3&amp;$E$4:$AH$4&amp;$E$5:$AH$5&amp;$E$6:$AH$6,1))</f>
        <v>1000</v>
      </c>
      <c r="AQ152" s="341" cm="1">
        <f t="array" aca="1" ref="AQ152" ca="1">INDEX($E152:$AH152,1,MATCH(AQ$3&amp;AQ$4&amp;AQ$5&amp;AQ$6,$E$3:$AH$3&amp;$E$4:$AH$4&amp;$E$5:$AH$5&amp;$E$6:$AH$6,1))</f>
        <v>1000</v>
      </c>
      <c r="AR152" s="341" cm="1">
        <f t="array" aca="1" ref="AR152" ca="1">INDEX($E152:$AH152,1,MATCH(AR$3&amp;AR$4&amp;AR$5&amp;AR$6,$E$3:$AH$3&amp;$E$4:$AH$4&amp;$E$5:$AH$5&amp;$E$6:$AH$6,1))</f>
        <v>1000</v>
      </c>
      <c r="AS152" s="341" cm="1">
        <f t="array" aca="1" ref="AS152" ca="1">INDEX($E152:$AH152,1,MATCH(AS$3&amp;AS$4&amp;AS$5&amp;AS$6,$E$3:$AH$3&amp;$E$4:$AH$4&amp;$E$5:$AH$5&amp;$E$6:$AH$6,1))</f>
        <v>1000</v>
      </c>
      <c r="AT152" s="13"/>
      <c r="AU152" s="341">
        <f t="shared" ca="1" si="166"/>
        <v>1000</v>
      </c>
      <c r="AV152" s="341">
        <f t="shared" ca="1" si="166"/>
        <v>1000</v>
      </c>
      <c r="AW152" s="341">
        <f t="shared" ca="1" si="166"/>
        <v>1000</v>
      </c>
    </row>
    <row r="153" spans="2:49" x14ac:dyDescent="0.25">
      <c r="P153" s="8"/>
      <c r="AM153" s="8"/>
      <c r="AT153" s="13"/>
    </row>
    <row r="154" spans="2:49" x14ac:dyDescent="0.25">
      <c r="C154" s="1" t="s">
        <v>369</v>
      </c>
      <c r="E154" s="168">
        <f>E148/E155</f>
        <v>11.25</v>
      </c>
      <c r="F154" s="15">
        <f t="shared" ref="F154:P154" si="168">F148/F155</f>
        <v>11.25</v>
      </c>
      <c r="G154" s="15">
        <f t="shared" si="168"/>
        <v>11.25</v>
      </c>
      <c r="H154" s="15">
        <f t="shared" si="168"/>
        <v>11.25</v>
      </c>
      <c r="I154" s="15">
        <f t="shared" si="168"/>
        <v>11.25</v>
      </c>
      <c r="J154" s="15">
        <f t="shared" si="168"/>
        <v>11.25</v>
      </c>
      <c r="K154" s="15">
        <f t="shared" si="168"/>
        <v>11.25</v>
      </c>
      <c r="L154" s="15">
        <f t="shared" si="168"/>
        <v>11.25</v>
      </c>
      <c r="M154" s="15">
        <f t="shared" si="168"/>
        <v>11.25</v>
      </c>
      <c r="N154" s="15">
        <f t="shared" si="168"/>
        <v>11.25</v>
      </c>
      <c r="O154" s="15">
        <f t="shared" si="168"/>
        <v>11.25</v>
      </c>
      <c r="P154" s="16">
        <f t="shared" si="168"/>
        <v>11.25</v>
      </c>
      <c r="Q154" s="187">
        <f>AVERAGE(K154:P154)</f>
        <v>11.25</v>
      </c>
      <c r="R154" s="187">
        <f>Q154</f>
        <v>11.25</v>
      </c>
      <c r="S154" s="187">
        <f t="shared" ref="S154:AH154" si="169">R154</f>
        <v>11.25</v>
      </c>
      <c r="T154" s="187">
        <f t="shared" si="169"/>
        <v>11.25</v>
      </c>
      <c r="U154" s="187">
        <f t="shared" si="169"/>
        <v>11.25</v>
      </c>
      <c r="V154" s="187">
        <f t="shared" si="169"/>
        <v>11.25</v>
      </c>
      <c r="W154" s="187">
        <f t="shared" si="169"/>
        <v>11.25</v>
      </c>
      <c r="X154" s="187">
        <f t="shared" si="169"/>
        <v>11.25</v>
      </c>
      <c r="Y154" s="187">
        <f t="shared" si="169"/>
        <v>11.25</v>
      </c>
      <c r="Z154" s="187">
        <f t="shared" si="169"/>
        <v>11.25</v>
      </c>
      <c r="AA154" s="187">
        <f t="shared" si="169"/>
        <v>11.25</v>
      </c>
      <c r="AB154" s="187">
        <f t="shared" si="169"/>
        <v>11.25</v>
      </c>
      <c r="AC154" s="187">
        <f t="shared" si="169"/>
        <v>11.25</v>
      </c>
      <c r="AD154" s="187">
        <f t="shared" si="169"/>
        <v>11.25</v>
      </c>
      <c r="AE154" s="187">
        <f t="shared" si="169"/>
        <v>11.25</v>
      </c>
      <c r="AF154" s="187">
        <f t="shared" si="169"/>
        <v>11.25</v>
      </c>
      <c r="AG154" s="187">
        <f t="shared" si="169"/>
        <v>11.25</v>
      </c>
      <c r="AH154" s="187">
        <f t="shared" si="169"/>
        <v>11.25</v>
      </c>
      <c r="AJ154" s="15">
        <f t="shared" ref="AJ154:AW154" ca="1" si="170">AJ148/AJ155</f>
        <v>11.25</v>
      </c>
      <c r="AK154" s="15">
        <f t="shared" ca="1" si="170"/>
        <v>11.25</v>
      </c>
      <c r="AL154" s="15">
        <f t="shared" ca="1" si="170"/>
        <v>11.25</v>
      </c>
      <c r="AM154" s="16">
        <f t="shared" ca="1" si="170"/>
        <v>11.25</v>
      </c>
      <c r="AN154" s="15">
        <f t="shared" ca="1" si="170"/>
        <v>11.25</v>
      </c>
      <c r="AO154" s="15">
        <f t="shared" ca="1" si="170"/>
        <v>11.25</v>
      </c>
      <c r="AP154" s="15">
        <f t="shared" ca="1" si="170"/>
        <v>11.25</v>
      </c>
      <c r="AQ154" s="15">
        <f t="shared" ca="1" si="170"/>
        <v>11.25</v>
      </c>
      <c r="AR154" s="15">
        <f t="shared" ca="1" si="170"/>
        <v>11.25</v>
      </c>
      <c r="AS154" s="15">
        <f t="shared" ca="1" si="170"/>
        <v>11.25</v>
      </c>
      <c r="AT154" s="13"/>
      <c r="AU154" s="15">
        <f t="shared" ca="1" si="170"/>
        <v>11.25</v>
      </c>
      <c r="AV154" s="15">
        <f t="shared" ca="1" si="170"/>
        <v>11.25</v>
      </c>
      <c r="AW154" s="15">
        <f t="shared" ca="1" si="170"/>
        <v>11.25</v>
      </c>
    </row>
    <row r="155" spans="2:49" x14ac:dyDescent="0.25">
      <c r="C155" s="27" t="s">
        <v>365</v>
      </c>
      <c r="D155" s="27"/>
      <c r="E155" s="68">
        <v>400</v>
      </c>
      <c r="F155" s="68">
        <v>400</v>
      </c>
      <c r="G155" s="68">
        <v>400</v>
      </c>
      <c r="H155" s="68">
        <v>400</v>
      </c>
      <c r="I155" s="68">
        <v>400</v>
      </c>
      <c r="J155" s="68">
        <v>400</v>
      </c>
      <c r="K155" s="68">
        <v>400</v>
      </c>
      <c r="L155" s="68">
        <v>400</v>
      </c>
      <c r="M155" s="68">
        <v>400</v>
      </c>
      <c r="N155" s="68">
        <v>400</v>
      </c>
      <c r="O155" s="68">
        <v>400</v>
      </c>
      <c r="P155" s="69">
        <v>400</v>
      </c>
      <c r="Q155" s="125">
        <f>Q148/Q154</f>
        <v>444.44444444444446</v>
      </c>
      <c r="R155" s="125">
        <f t="shared" ref="R155:AH155" si="171">R148/R154</f>
        <v>453.33333333333331</v>
      </c>
      <c r="S155" s="125">
        <f t="shared" si="171"/>
        <v>453.33333333333331</v>
      </c>
      <c r="T155" s="125">
        <f t="shared" si="171"/>
        <v>453.33333333333331</v>
      </c>
      <c r="U155" s="125">
        <f t="shared" si="171"/>
        <v>453.33333333333331</v>
      </c>
      <c r="V155" s="125">
        <f t="shared" si="171"/>
        <v>453.33333333333331</v>
      </c>
      <c r="W155" s="125">
        <f t="shared" si="171"/>
        <v>453.33333333333331</v>
      </c>
      <c r="X155" s="125">
        <f t="shared" si="171"/>
        <v>453.33333333333331</v>
      </c>
      <c r="Y155" s="125">
        <f t="shared" si="171"/>
        <v>453.33333333333331</v>
      </c>
      <c r="Z155" s="125">
        <f t="shared" si="171"/>
        <v>453.33333333333331</v>
      </c>
      <c r="AA155" s="125">
        <f t="shared" si="171"/>
        <v>453.33333333333331</v>
      </c>
      <c r="AB155" s="125">
        <f t="shared" si="171"/>
        <v>453.33333333333331</v>
      </c>
      <c r="AC155" s="125">
        <f t="shared" si="171"/>
        <v>453.33333333333331</v>
      </c>
      <c r="AD155" s="125">
        <f t="shared" si="171"/>
        <v>453.33333333333331</v>
      </c>
      <c r="AE155" s="125">
        <f t="shared" si="171"/>
        <v>453.33333333333331</v>
      </c>
      <c r="AF155" s="125">
        <f t="shared" si="171"/>
        <v>453.33333333333331</v>
      </c>
      <c r="AG155" s="125">
        <f t="shared" si="171"/>
        <v>453.33333333333331</v>
      </c>
      <c r="AH155" s="125">
        <f t="shared" si="171"/>
        <v>453.33333333333331</v>
      </c>
      <c r="AJ155" s="342" cm="1">
        <f t="array" aca="1" ref="AJ155" ca="1">INDEX($E155:$AH155,1,MATCH(AJ$3&amp;AJ$4&amp;AJ$5&amp;AJ$6,$E$3:$AH$3&amp;$E$4:$AH$4&amp;$E$5:$AH$5&amp;$E$6:$AH$6,1))</f>
        <v>400</v>
      </c>
      <c r="AK155" s="342" cm="1">
        <f t="array" aca="1" ref="AK155" ca="1">INDEX($E155:$AH155,1,MATCH(AK$3&amp;AK$4&amp;AK$5&amp;AK$6,$E$3:$AH$3&amp;$E$4:$AH$4&amp;$E$5:$AH$5&amp;$E$6:$AH$6,1))</f>
        <v>400</v>
      </c>
      <c r="AL155" s="342" cm="1">
        <f t="array" aca="1" ref="AL155" ca="1">INDEX($E155:$AH155,1,MATCH(AL$3&amp;AL$4&amp;AL$5&amp;AL$6,$E$3:$AH$3&amp;$E$4:$AH$4&amp;$E$5:$AH$5&amp;$E$6:$AH$6,1))</f>
        <v>400</v>
      </c>
      <c r="AM155" s="344" cm="1">
        <f t="array" aca="1" ref="AM155" ca="1">INDEX($E155:$AH155,1,MATCH(AM$3&amp;AM$4&amp;AM$5&amp;AM$6,$E$3:$AH$3&amp;$E$4:$AH$4&amp;$E$5:$AH$5&amp;$E$6:$AH$6,1))</f>
        <v>400</v>
      </c>
      <c r="AN155" s="342" cm="1">
        <f t="array" aca="1" ref="AN155" ca="1">INDEX($E155:$AH155,1,MATCH(AN$3&amp;AN$4&amp;AN$5&amp;AN$6,$E$3:$AH$3&amp;$E$4:$AH$4&amp;$E$5:$AH$5&amp;$E$6:$AH$6,1))</f>
        <v>453.33333333333331</v>
      </c>
      <c r="AO155" s="342" cm="1">
        <f t="array" aca="1" ref="AO155" ca="1">INDEX($E155:$AH155,1,MATCH(AO$3&amp;AO$4&amp;AO$5&amp;AO$6,$E$3:$AH$3&amp;$E$4:$AH$4&amp;$E$5:$AH$5&amp;$E$6:$AH$6,1))</f>
        <v>453.33333333333331</v>
      </c>
      <c r="AP155" s="342" cm="1">
        <f t="array" aca="1" ref="AP155" ca="1">INDEX($E155:$AH155,1,MATCH(AP$3&amp;AP$4&amp;AP$5&amp;AP$6,$E$3:$AH$3&amp;$E$4:$AH$4&amp;$E$5:$AH$5&amp;$E$6:$AH$6,1))</f>
        <v>453.33333333333331</v>
      </c>
      <c r="AQ155" s="342" cm="1">
        <f t="array" aca="1" ref="AQ155" ca="1">INDEX($E155:$AH155,1,MATCH(AQ$3&amp;AQ$4&amp;AQ$5&amp;AQ$6,$E$3:$AH$3&amp;$E$4:$AH$4&amp;$E$5:$AH$5&amp;$E$6:$AH$6,1))</f>
        <v>453.33333333333331</v>
      </c>
      <c r="AR155" s="342" cm="1">
        <f t="array" aca="1" ref="AR155" ca="1">INDEX($E155:$AH155,1,MATCH(AR$3&amp;AR$4&amp;AR$5&amp;AR$6,$E$3:$AH$3&amp;$E$4:$AH$4&amp;$E$5:$AH$5&amp;$E$6:$AH$6,1))</f>
        <v>453.33333333333331</v>
      </c>
      <c r="AS155" s="342" cm="1">
        <f t="array" aca="1" ref="AS155" ca="1">INDEX($E155:$AH155,1,MATCH(AS$3&amp;AS$4&amp;AS$5&amp;AS$6,$E$3:$AH$3&amp;$E$4:$AH$4&amp;$E$5:$AH$5&amp;$E$6:$AH$6,1))</f>
        <v>453.33333333333331</v>
      </c>
      <c r="AT155" s="13"/>
      <c r="AU155" s="342">
        <f t="shared" ref="AU155:AW155" ca="1" si="172">INDEX($E155:$AH155,MATCH(AU$5,$E$5:$AH$5,1))</f>
        <v>400</v>
      </c>
      <c r="AV155" s="342">
        <f t="shared" ca="1" si="172"/>
        <v>453.33333333333331</v>
      </c>
      <c r="AW155" s="342">
        <f t="shared" ca="1" si="172"/>
        <v>453.33333333333331</v>
      </c>
    </row>
    <row r="156" spans="2:49" x14ac:dyDescent="0.25">
      <c r="B156" t="s">
        <v>231</v>
      </c>
      <c r="C156" s="11" t="str">
        <f>"Total "&amp;MID(C143,1,LEN(C143)-LEN(" Department"))&amp;" Headcount"</f>
        <v>Total Customer Support Headcount</v>
      </c>
      <c r="D156" s="11"/>
      <c r="E156" s="83">
        <f>E148+E155</f>
        <v>4900</v>
      </c>
      <c r="F156" s="83">
        <f t="shared" ref="F156:P156" si="173">F148+F155</f>
        <v>4900</v>
      </c>
      <c r="G156" s="83">
        <f t="shared" si="173"/>
        <v>4900</v>
      </c>
      <c r="H156" s="83">
        <f t="shared" si="173"/>
        <v>4900</v>
      </c>
      <c r="I156" s="83">
        <f t="shared" si="173"/>
        <v>4900</v>
      </c>
      <c r="J156" s="83">
        <f t="shared" si="173"/>
        <v>4900</v>
      </c>
      <c r="K156" s="120">
        <f t="shared" si="173"/>
        <v>4900</v>
      </c>
      <c r="L156" s="120">
        <f t="shared" si="173"/>
        <v>4900</v>
      </c>
      <c r="M156" s="120">
        <f t="shared" si="173"/>
        <v>4900</v>
      </c>
      <c r="N156" s="120">
        <f t="shared" si="173"/>
        <v>4900</v>
      </c>
      <c r="O156" s="120">
        <f t="shared" si="173"/>
        <v>4900</v>
      </c>
      <c r="P156" s="122">
        <f t="shared" si="173"/>
        <v>4900</v>
      </c>
      <c r="Q156" s="120">
        <f t="shared" ref="Q156" si="174">Q148+Q155</f>
        <v>5444.4444444444443</v>
      </c>
      <c r="R156" s="120">
        <f t="shared" ref="R156" si="175">R148+R155</f>
        <v>5553.333333333333</v>
      </c>
      <c r="S156" s="120">
        <f t="shared" ref="S156" si="176">S148+S155</f>
        <v>5553.333333333333</v>
      </c>
      <c r="T156" s="120">
        <f t="shared" ref="T156" si="177">T148+T155</f>
        <v>5553.333333333333</v>
      </c>
      <c r="U156" s="120">
        <f t="shared" ref="U156" si="178">U148+U155</f>
        <v>5553.333333333333</v>
      </c>
      <c r="V156" s="120">
        <f t="shared" ref="V156" si="179">V148+V155</f>
        <v>5553.333333333333</v>
      </c>
      <c r="W156" s="120">
        <f t="shared" ref="W156" si="180">W148+W155</f>
        <v>5553.333333333333</v>
      </c>
      <c r="X156" s="120">
        <f t="shared" ref="X156" si="181">X148+X155</f>
        <v>5553.333333333333</v>
      </c>
      <c r="Y156" s="120">
        <f t="shared" ref="Y156" si="182">Y148+Y155</f>
        <v>5553.333333333333</v>
      </c>
      <c r="Z156" s="120">
        <f t="shared" ref="Z156" si="183">Z148+Z155</f>
        <v>5553.333333333333</v>
      </c>
      <c r="AA156" s="120">
        <f t="shared" ref="AA156" si="184">AA148+AA155</f>
        <v>5553.333333333333</v>
      </c>
      <c r="AB156" s="120">
        <f t="shared" ref="AB156" si="185">AB148+AB155</f>
        <v>5553.333333333333</v>
      </c>
      <c r="AC156" s="83">
        <f t="shared" ref="AC156" si="186">AC148+AC155</f>
        <v>5553.333333333333</v>
      </c>
      <c r="AD156" s="83">
        <f t="shared" ref="AD156" si="187">AD148+AD155</f>
        <v>5553.333333333333</v>
      </c>
      <c r="AE156" s="83">
        <f t="shared" ref="AE156" si="188">AE148+AE155</f>
        <v>5553.333333333333</v>
      </c>
      <c r="AF156" s="83">
        <f t="shared" ref="AF156" si="189">AF148+AF155</f>
        <v>5553.333333333333</v>
      </c>
      <c r="AG156" s="83">
        <f t="shared" ref="AG156" si="190">AG148+AG155</f>
        <v>5553.333333333333</v>
      </c>
      <c r="AH156" s="83">
        <f t="shared" ref="AH156:AW156" si="191">AH148+AH155</f>
        <v>5553.333333333333</v>
      </c>
      <c r="AJ156" s="83">
        <f t="shared" ca="1" si="191"/>
        <v>4900</v>
      </c>
      <c r="AK156" s="83">
        <f t="shared" ca="1" si="191"/>
        <v>4900</v>
      </c>
      <c r="AL156" s="83">
        <f t="shared" ca="1" si="191"/>
        <v>4900</v>
      </c>
      <c r="AM156" s="158">
        <f t="shared" ca="1" si="191"/>
        <v>4900</v>
      </c>
      <c r="AN156" s="83">
        <f t="shared" ca="1" si="191"/>
        <v>5553.333333333333</v>
      </c>
      <c r="AO156" s="83">
        <f t="shared" ca="1" si="191"/>
        <v>5553.333333333333</v>
      </c>
      <c r="AP156" s="83">
        <f t="shared" ca="1" si="191"/>
        <v>5553.333333333333</v>
      </c>
      <c r="AQ156" s="83">
        <f t="shared" ca="1" si="191"/>
        <v>5553.333333333333</v>
      </c>
      <c r="AR156" s="83">
        <f t="shared" ca="1" si="191"/>
        <v>5553.333333333333</v>
      </c>
      <c r="AS156" s="83">
        <f t="shared" ca="1" si="191"/>
        <v>5553.333333333333</v>
      </c>
      <c r="AT156" s="13"/>
      <c r="AU156" s="83">
        <f t="shared" ca="1" si="191"/>
        <v>4900</v>
      </c>
      <c r="AV156" s="83">
        <f t="shared" ca="1" si="191"/>
        <v>5553.333333333333</v>
      </c>
      <c r="AW156" s="83">
        <f t="shared" ca="1" si="191"/>
        <v>5553.333333333333</v>
      </c>
    </row>
    <row r="157" spans="2:49" x14ac:dyDescent="0.25">
      <c r="P157" s="8"/>
      <c r="AM157" s="8"/>
      <c r="AT157" s="13"/>
    </row>
    <row r="158" spans="2:49" x14ac:dyDescent="0.25">
      <c r="C158" s="30" t="s">
        <v>326</v>
      </c>
      <c r="D158" s="30"/>
      <c r="E158" s="45" t="str">
        <f t="shared" ref="E158:AH158" si="192">E$9</f>
        <v>Jul-20A</v>
      </c>
      <c r="F158" s="45" t="str">
        <f t="shared" si="192"/>
        <v>Aug-20A</v>
      </c>
      <c r="G158" s="45" t="str">
        <f t="shared" si="192"/>
        <v>Sep-20A</v>
      </c>
      <c r="H158" s="45" t="str">
        <f t="shared" si="192"/>
        <v>Oct-20A</v>
      </c>
      <c r="I158" s="45" t="str">
        <f t="shared" si="192"/>
        <v>Nov-20A</v>
      </c>
      <c r="J158" s="45" t="str">
        <f t="shared" si="192"/>
        <v>Dec-20A</v>
      </c>
      <c r="K158" s="45" t="str">
        <f t="shared" si="192"/>
        <v>Jan-21A</v>
      </c>
      <c r="L158" s="45" t="str">
        <f t="shared" si="192"/>
        <v>Feb-21A</v>
      </c>
      <c r="M158" s="45" t="str">
        <f t="shared" si="192"/>
        <v>Mar-21A</v>
      </c>
      <c r="N158" s="45" t="str">
        <f t="shared" si="192"/>
        <v>Apr-21A</v>
      </c>
      <c r="O158" s="45" t="str">
        <f t="shared" si="192"/>
        <v>May-21A</v>
      </c>
      <c r="P158" s="46" t="str">
        <f t="shared" si="192"/>
        <v>Jun-21A</v>
      </c>
      <c r="Q158" s="45" t="str">
        <f t="shared" si="192"/>
        <v>Jul-21F</v>
      </c>
      <c r="R158" s="45" t="str">
        <f t="shared" si="192"/>
        <v>Aug-21F</v>
      </c>
      <c r="S158" s="45" t="str">
        <f t="shared" si="192"/>
        <v>Sep-21F</v>
      </c>
      <c r="T158" s="45" t="str">
        <f t="shared" si="192"/>
        <v>Oct-21F</v>
      </c>
      <c r="U158" s="45" t="str">
        <f t="shared" si="192"/>
        <v>Nov-21F</v>
      </c>
      <c r="V158" s="45" t="str">
        <f t="shared" si="192"/>
        <v>Dec-21F</v>
      </c>
      <c r="W158" s="45" t="str">
        <f t="shared" si="192"/>
        <v>Jan-22F</v>
      </c>
      <c r="X158" s="45" t="str">
        <f t="shared" si="192"/>
        <v>Feb-22F</v>
      </c>
      <c r="Y158" s="45" t="str">
        <f t="shared" si="192"/>
        <v>Mar-22F</v>
      </c>
      <c r="Z158" s="45" t="str">
        <f t="shared" si="192"/>
        <v>Apr-22F</v>
      </c>
      <c r="AA158" s="45" t="str">
        <f t="shared" si="192"/>
        <v>May-22F</v>
      </c>
      <c r="AB158" s="45" t="str">
        <f t="shared" si="192"/>
        <v>Jun-22F</v>
      </c>
      <c r="AC158" s="45" t="str">
        <f t="shared" si="192"/>
        <v>Jul-22F</v>
      </c>
      <c r="AD158" s="45" t="str">
        <f t="shared" si="192"/>
        <v>Aug-22F</v>
      </c>
      <c r="AE158" s="45" t="str">
        <f t="shared" si="192"/>
        <v>Sep-22F</v>
      </c>
      <c r="AF158" s="45" t="str">
        <f t="shared" si="192"/>
        <v>Oct-22F</v>
      </c>
      <c r="AG158" s="45" t="str">
        <f t="shared" si="192"/>
        <v>Nov-22F</v>
      </c>
      <c r="AH158" s="45" t="str">
        <f t="shared" si="192"/>
        <v>Dec-22F</v>
      </c>
      <c r="AJ158" s="45" t="str">
        <f ca="1">AJ$10</f>
        <v>Q3'20A</v>
      </c>
      <c r="AK158" s="45" t="str">
        <f t="shared" ref="AK158:AW158" ca="1" si="193">AK$10</f>
        <v>Q4'20A</v>
      </c>
      <c r="AL158" s="45" t="str">
        <f t="shared" ca="1" si="193"/>
        <v>Q1'21A</v>
      </c>
      <c r="AM158" s="46" t="str">
        <f t="shared" ca="1" si="193"/>
        <v>Q2'21A</v>
      </c>
      <c r="AN158" s="45" t="str">
        <f t="shared" ca="1" si="193"/>
        <v>Q3'21F</v>
      </c>
      <c r="AO158" s="45" t="str">
        <f t="shared" ca="1" si="193"/>
        <v>Q4'21F</v>
      </c>
      <c r="AP158" s="45" t="str">
        <f t="shared" ca="1" si="193"/>
        <v>Q1'22F</v>
      </c>
      <c r="AQ158" s="45" t="str">
        <f t="shared" ca="1" si="193"/>
        <v>Q2'22F</v>
      </c>
      <c r="AR158" s="45" t="str">
        <f t="shared" ca="1" si="193"/>
        <v>Q3'22F</v>
      </c>
      <c r="AS158" s="45" t="str">
        <f t="shared" ca="1" si="193"/>
        <v>Q4'22F</v>
      </c>
      <c r="AT158" s="13"/>
      <c r="AU158" s="45" t="str">
        <f t="shared" ca="1" si="193"/>
        <v>FY20</v>
      </c>
      <c r="AV158" s="45" t="str">
        <f t="shared" ca="1" si="193"/>
        <v>FY21</v>
      </c>
      <c r="AW158" s="45" t="str">
        <f t="shared" ca="1" si="193"/>
        <v>FY22</v>
      </c>
    </row>
    <row r="159" spans="2:49" x14ac:dyDescent="0.25">
      <c r="C159" s="1" t="s">
        <v>366</v>
      </c>
      <c r="E159" s="80">
        <f>Revenue!E76</f>
        <v>28616.456274663593</v>
      </c>
      <c r="F159" s="80">
        <f>Revenue!F76</f>
        <v>26260.020262840615</v>
      </c>
      <c r="G159" s="80">
        <f>Revenue!G76</f>
        <v>24173.212698973177</v>
      </c>
      <c r="H159" s="80">
        <f>Revenue!H76</f>
        <v>26053.80072012241</v>
      </c>
      <c r="I159" s="80">
        <f>Revenue!I76</f>
        <v>26422.543079257015</v>
      </c>
      <c r="J159" s="80">
        <f>Revenue!J76</f>
        <v>31047.805174079222</v>
      </c>
      <c r="K159" s="80">
        <f>Revenue!K76</f>
        <v>28892.338114251346</v>
      </c>
      <c r="L159" s="80">
        <f>Revenue!L76</f>
        <v>24895.518592664201</v>
      </c>
      <c r="M159" s="80">
        <f>Revenue!M76</f>
        <v>22652.416776981081</v>
      </c>
      <c r="N159" s="80">
        <f>Revenue!N76</f>
        <v>32527.604585197358</v>
      </c>
      <c r="O159" s="80">
        <f>Revenue!O76</f>
        <v>30734.115940177697</v>
      </c>
      <c r="P159" s="82">
        <f>Revenue!P76</f>
        <v>33483.13529545044</v>
      </c>
      <c r="Q159" s="80">
        <f>Revenue!Q76</f>
        <v>29931.75458916941</v>
      </c>
      <c r="R159" s="80">
        <f>Revenue!R76</f>
        <v>27472.999552825444</v>
      </c>
      <c r="S159" s="80">
        <f>Revenue!S76</f>
        <v>25291.178748042243</v>
      </c>
      <c r="T159" s="80">
        <f>Revenue!T76</f>
        <v>27263.080447106935</v>
      </c>
      <c r="U159" s="80">
        <f>Revenue!U76</f>
        <v>27650.419854652046</v>
      </c>
      <c r="V159" s="80">
        <f>Revenue!V76</f>
        <v>32485.868906545886</v>
      </c>
      <c r="W159" s="80">
        <f>Revenue!W76</f>
        <v>30228.854810635868</v>
      </c>
      <c r="X159" s="80">
        <f>Revenue!X76</f>
        <v>26045.799515936113</v>
      </c>
      <c r="Y159" s="80">
        <f>Revenue!Y76</f>
        <v>23698.239013327449</v>
      </c>
      <c r="Z159" s="80">
        <f>Revenue!Z76</f>
        <v>34033.419272527877</v>
      </c>
      <c r="AA159" s="80">
        <f>Revenue!AA76</f>
        <v>32151.069632365277</v>
      </c>
      <c r="AB159" s="80">
        <f>Revenue!AB76</f>
        <v>35030.918496891143</v>
      </c>
      <c r="AC159" s="80">
        <f>Revenue!AC76</f>
        <v>31312.351599661612</v>
      </c>
      <c r="AD159" s="80">
        <f>Revenue!AD76</f>
        <v>28746.514543116213</v>
      </c>
      <c r="AE159" s="80">
        <f>Revenue!AE76</f>
        <v>26465.075963693344</v>
      </c>
      <c r="AF159" s="80">
        <f>Revenue!AF76</f>
        <v>28532.944085974421</v>
      </c>
      <c r="AG159" s="80">
        <f>Revenue!AG76</f>
        <v>28939.888712782515</v>
      </c>
      <c r="AH159" s="80">
        <f>Revenue!AH76</f>
        <v>33995.897628308609</v>
      </c>
      <c r="AJ159" s="83" cm="1">
        <f t="array" aca="1" ref="AJ159" ca="1">SUMPRODUCT(($E159:$AH159)*(AJ$3&amp;AJ$4&amp;AJ$5&amp;AJ$6=$E$3:$AH$3&amp;$E$4:$AH$4&amp;$E$5:$AH$5&amp;$E$6:$AH$6))</f>
        <v>79049.689236477381</v>
      </c>
      <c r="AK159" s="83" cm="1">
        <f t="array" aca="1" ref="AK159" ca="1">SUMPRODUCT(($E159:$AH159)*(AK$3=$E$3:$AH$3)*(AK$4=$E$4:$AH$4)*(AK$5=$E$5:$AH$5)*(AK$6=$E$6:$AH$6))</f>
        <v>83524.14897345865</v>
      </c>
      <c r="AL159" s="83" cm="1">
        <f t="array" aca="1" ref="AL159" ca="1">SUMPRODUCT(($E159:$AH159)*(AL$3=$E$3:$AH$3)*(AL$4=$E$4:$AH$4)*(AL$5=$E$5:$AH$5)*(AL$6=$E$6:$AH$6))</f>
        <v>76440.273483896628</v>
      </c>
      <c r="AM159" s="158" cm="1">
        <f t="array" aca="1" ref="AM159" ca="1">SUMPRODUCT(($E159:$AH159)*(AM$3=$E$3:$AH$3)*(AM$4=$E$4:$AH$4)*(AM$5=$E$5:$AH$5)*(AM$6=$E$6:$AH$6))</f>
        <v>96744.855820825498</v>
      </c>
      <c r="AN159" s="83" cm="1">
        <f t="array" aca="1" ref="AN159" ca="1">SUMPRODUCT(($E159:$AH159)*(AN$3=$E$3:$AH$3)*(AN$4=$E$4:$AH$4)*(AN$5=$E$5:$AH$5)*(AN$6=$E$6:$AH$6))</f>
        <v>82695.932890037104</v>
      </c>
      <c r="AO159" s="83" cm="1">
        <f t="array" aca="1" ref="AO159" ca="1">SUMPRODUCT(($E159:$AH159)*(AO$3=$E$3:$AH$3)*(AO$4=$E$4:$AH$4)*(AO$5=$E$5:$AH$5)*(AO$6=$E$6:$AH$6))</f>
        <v>87399.369208304866</v>
      </c>
      <c r="AP159" s="83" cm="1">
        <f t="array" aca="1" ref="AP159" ca="1">SUMPRODUCT(($E159:$AH159)*(AP$3=$E$3:$AH$3)*(AP$4=$E$4:$AH$4)*(AP$5=$E$5:$AH$5)*(AP$6=$E$6:$AH$6))</f>
        <v>79972.893339899427</v>
      </c>
      <c r="AQ159" s="83" cm="1">
        <f t="array" aca="1" ref="AQ159" ca="1">SUMPRODUCT(($E159:$AH159)*(AQ$3=$E$3:$AH$3)*(AQ$4=$E$4:$AH$4)*(AQ$5=$E$5:$AH$5)*(AQ$6=$E$6:$AH$6))</f>
        <v>101215.40740178429</v>
      </c>
      <c r="AR159" s="83" cm="1">
        <f t="array" aca="1" ref="AR159" ca="1">SUMPRODUCT(($E159:$AH159)*(AR$3=$E$3:$AH$3)*(AR$4=$E$4:$AH$4)*(AR$5=$E$5:$AH$5)*(AR$6=$E$6:$AH$6))</f>
        <v>86523.942106471164</v>
      </c>
      <c r="AS159" s="83" cm="1">
        <f t="array" aca="1" ref="AS159" ca="1">SUMPRODUCT(($E159:$AH159)*(AS$3=$E$3:$AH$3)*(AS$4=$E$4:$AH$4)*(AS$5=$E$5:$AH$5)*(AS$6=$E$6:$AH$6))</f>
        <v>91468.730427065544</v>
      </c>
      <c r="AT159" s="13"/>
      <c r="AU159" s="83" cm="1">
        <f t="array" aca="1" ref="AU159" ca="1">SUMPRODUCT(($E159:$AH159)*(AU$5=$E$5:$AH$5))</f>
        <v>162573.83820993605</v>
      </c>
      <c r="AV159" s="83" cm="1">
        <f t="array" aca="1" ref="AV159" ca="1">SUMPRODUCT(($E159:$AH159)*(AV$5=$E$5:$AH$5))</f>
        <v>343280.43140306399</v>
      </c>
      <c r="AW159" s="83" cm="1">
        <f t="array" aca="1" ref="AW159" ca="1">SUMPRODUCT(($E159:$AH159)*(AW$5=$E$5:$AH$5))</f>
        <v>359180.97327522049</v>
      </c>
    </row>
    <row r="160" spans="2:49" x14ac:dyDescent="0.25">
      <c r="C160" s="23" t="s">
        <v>372</v>
      </c>
      <c r="D160" s="27"/>
      <c r="E160" s="125">
        <f>E159*1000/E161</f>
        <v>38155.275032884791</v>
      </c>
      <c r="F160" s="209">
        <f t="shared" ref="F160:P160" si="194">F159*1000/F161</f>
        <v>35013.360350454153</v>
      </c>
      <c r="G160" s="209">
        <f t="shared" si="194"/>
        <v>32230.950265297568</v>
      </c>
      <c r="H160" s="209">
        <f t="shared" si="194"/>
        <v>34738.400960163213</v>
      </c>
      <c r="I160" s="209">
        <f t="shared" si="194"/>
        <v>35230.057439009353</v>
      </c>
      <c r="J160" s="209">
        <f t="shared" si="194"/>
        <v>41397.073565438965</v>
      </c>
      <c r="K160" s="209">
        <f t="shared" si="194"/>
        <v>38523.117485668459</v>
      </c>
      <c r="L160" s="209">
        <f t="shared" si="194"/>
        <v>33194.024790218937</v>
      </c>
      <c r="M160" s="209">
        <f t="shared" si="194"/>
        <v>30203.222369308111</v>
      </c>
      <c r="N160" s="209">
        <f t="shared" si="194"/>
        <v>43370.13944692981</v>
      </c>
      <c r="O160" s="209">
        <f t="shared" si="194"/>
        <v>40978.821253570262</v>
      </c>
      <c r="P160" s="211">
        <f t="shared" si="194"/>
        <v>44644.180393933922</v>
      </c>
      <c r="Q160" s="68">
        <f>E160</f>
        <v>38155.275032884791</v>
      </c>
      <c r="R160" s="68">
        <f t="shared" ref="R160:AH160" si="195">F160</f>
        <v>35013.360350454153</v>
      </c>
      <c r="S160" s="68">
        <f t="shared" si="195"/>
        <v>32230.950265297568</v>
      </c>
      <c r="T160" s="68">
        <f t="shared" si="195"/>
        <v>34738.400960163213</v>
      </c>
      <c r="U160" s="68">
        <f t="shared" si="195"/>
        <v>35230.057439009353</v>
      </c>
      <c r="V160" s="68">
        <f t="shared" si="195"/>
        <v>41397.073565438965</v>
      </c>
      <c r="W160" s="68">
        <f t="shared" si="195"/>
        <v>38523.117485668459</v>
      </c>
      <c r="X160" s="68">
        <f t="shared" si="195"/>
        <v>33194.024790218937</v>
      </c>
      <c r="Y160" s="68">
        <f t="shared" si="195"/>
        <v>30203.222369308111</v>
      </c>
      <c r="Z160" s="68">
        <f t="shared" si="195"/>
        <v>43370.13944692981</v>
      </c>
      <c r="AA160" s="68">
        <f t="shared" si="195"/>
        <v>40978.821253570262</v>
      </c>
      <c r="AB160" s="68">
        <f t="shared" si="195"/>
        <v>44644.180393933922</v>
      </c>
      <c r="AC160" s="68">
        <f t="shared" si="195"/>
        <v>38155.275032884791</v>
      </c>
      <c r="AD160" s="68">
        <f t="shared" si="195"/>
        <v>35013.360350454153</v>
      </c>
      <c r="AE160" s="68">
        <f t="shared" si="195"/>
        <v>32230.950265297568</v>
      </c>
      <c r="AF160" s="68">
        <f t="shared" si="195"/>
        <v>34738.400960163213</v>
      </c>
      <c r="AG160" s="68">
        <f t="shared" si="195"/>
        <v>35230.057439009353</v>
      </c>
      <c r="AH160" s="68">
        <f t="shared" si="195"/>
        <v>41397.073565438965</v>
      </c>
      <c r="AJ160" s="209">
        <f t="shared" ref="AJ160:AW160" ca="1" si="196">AJ159*1000/AJ161</f>
        <v>105399.58564863649</v>
      </c>
      <c r="AK160" s="209">
        <f t="shared" ca="1" si="196"/>
        <v>111365.53196461152</v>
      </c>
      <c r="AL160" s="209">
        <f t="shared" ca="1" si="196"/>
        <v>101920.3646451955</v>
      </c>
      <c r="AM160" s="211">
        <f t="shared" ca="1" si="196"/>
        <v>128993.141094434</v>
      </c>
      <c r="AN160" s="209">
        <f t="shared" ca="1" si="196"/>
        <v>105387.27857148586</v>
      </c>
      <c r="AO160" s="209">
        <f t="shared" ca="1" si="196"/>
        <v>111373.90620818878</v>
      </c>
      <c r="AP160" s="209">
        <f t="shared" ca="1" si="196"/>
        <v>101924.83414921859</v>
      </c>
      <c r="AQ160" s="209">
        <f t="shared" ca="1" si="196"/>
        <v>128991.16268081263</v>
      </c>
      <c r="AR160" s="209">
        <f t="shared" ca="1" si="196"/>
        <v>105374.67863749799</v>
      </c>
      <c r="AS160" s="209">
        <f t="shared" ca="1" si="196"/>
        <v>111382.1968705266</v>
      </c>
      <c r="AT160" s="13"/>
      <c r="AU160" s="209">
        <f t="shared" ca="1" si="196"/>
        <v>216765.11761324806</v>
      </c>
      <c r="AV160" s="209">
        <f t="shared" ca="1" si="196"/>
        <v>437445.7495118684</v>
      </c>
      <c r="AW160" s="209">
        <f t="shared" ca="1" si="196"/>
        <v>437377.51350323873</v>
      </c>
    </row>
    <row r="161" spans="2:49" x14ac:dyDescent="0.25">
      <c r="B161" t="s">
        <v>231</v>
      </c>
      <c r="C161" s="11" t="str">
        <f>"Total "&amp;MID(C158,1,LEN(C158)-LEN(" Department"))&amp;" Headcount"</f>
        <v>Total Accounting Headcount</v>
      </c>
      <c r="D161" s="11"/>
      <c r="E161" s="65">
        <v>750</v>
      </c>
      <c r="F161" s="65">
        <v>750</v>
      </c>
      <c r="G161" s="65">
        <v>750</v>
      </c>
      <c r="H161" s="65">
        <v>750</v>
      </c>
      <c r="I161" s="65">
        <v>750</v>
      </c>
      <c r="J161" s="65">
        <v>750</v>
      </c>
      <c r="K161" s="65">
        <v>750</v>
      </c>
      <c r="L161" s="65">
        <v>750</v>
      </c>
      <c r="M161" s="65">
        <v>750</v>
      </c>
      <c r="N161" s="65">
        <v>750</v>
      </c>
      <c r="O161" s="65">
        <v>750</v>
      </c>
      <c r="P161" s="67">
        <v>750</v>
      </c>
      <c r="Q161" s="83">
        <f>Q159*1000/Q160</f>
        <v>784.47225353171223</v>
      </c>
      <c r="R161" s="83">
        <f t="shared" ref="R161:AH161" si="197">R159*1000/R160</f>
        <v>784.64332694274219</v>
      </c>
      <c r="S161" s="83">
        <f t="shared" si="197"/>
        <v>784.68610263944845</v>
      </c>
      <c r="T161" s="83">
        <f t="shared" si="197"/>
        <v>784.81103601663426</v>
      </c>
      <c r="U161" s="83">
        <f t="shared" si="197"/>
        <v>784.85310171636092</v>
      </c>
      <c r="V161" s="83">
        <f t="shared" si="197"/>
        <v>784.73829448821846</v>
      </c>
      <c r="W161" s="83">
        <f t="shared" si="197"/>
        <v>784.69388729719867</v>
      </c>
      <c r="X161" s="83">
        <f t="shared" si="197"/>
        <v>784.65325252184721</v>
      </c>
      <c r="Y161" s="83">
        <f t="shared" si="197"/>
        <v>784.62618072862017</v>
      </c>
      <c r="Z161" s="83">
        <f t="shared" si="197"/>
        <v>784.72007944943584</v>
      </c>
      <c r="AA161" s="83">
        <f t="shared" si="197"/>
        <v>784.57770743135109</v>
      </c>
      <c r="AB161" s="83">
        <f t="shared" si="197"/>
        <v>784.6693160851712</v>
      </c>
      <c r="AC161" s="83">
        <f t="shared" si="197"/>
        <v>820.6559007286545</v>
      </c>
      <c r="AD161" s="83">
        <f t="shared" si="197"/>
        <v>821.01558534764706</v>
      </c>
      <c r="AE161" s="83">
        <f t="shared" si="197"/>
        <v>821.10753005590936</v>
      </c>
      <c r="AF161" s="83">
        <f t="shared" si="197"/>
        <v>821.3660760809056</v>
      </c>
      <c r="AG161" s="83">
        <f t="shared" si="197"/>
        <v>821.45448564435503</v>
      </c>
      <c r="AH161" s="83">
        <f t="shared" si="197"/>
        <v>821.21499662455972</v>
      </c>
      <c r="AJ161" s="341" cm="1">
        <f t="array" aca="1" ref="AJ161" ca="1">INDEX($E161:$AH161,1,MATCH(AJ$3&amp;AJ$4&amp;AJ$5&amp;AJ$6,$E$3:$AH$3&amp;$E$4:$AH$4&amp;$E$5:$AH$5&amp;$E$6:$AH$6,1))</f>
        <v>750</v>
      </c>
      <c r="AK161" s="341" cm="1">
        <f t="array" aca="1" ref="AK161" ca="1">INDEX($E161:$AH161,1,MATCH(AK$3&amp;AK$4&amp;AK$5&amp;AK$6,$E$3:$AH$3&amp;$E$4:$AH$4&amp;$E$5:$AH$5&amp;$E$6:$AH$6,1))</f>
        <v>750</v>
      </c>
      <c r="AL161" s="341" cm="1">
        <f t="array" aca="1" ref="AL161" ca="1">INDEX($E161:$AH161,1,MATCH(AL$3&amp;AL$4&amp;AL$5&amp;AL$6,$E$3:$AH$3&amp;$E$4:$AH$4&amp;$E$5:$AH$5&amp;$E$6:$AH$6,1))</f>
        <v>750</v>
      </c>
      <c r="AM161" s="343" cm="1">
        <f t="array" aca="1" ref="AM161" ca="1">INDEX($E161:$AH161,1,MATCH(AM$3&amp;AM$4&amp;AM$5&amp;AM$6,$E$3:$AH$3&amp;$E$4:$AH$4&amp;$E$5:$AH$5&amp;$E$6:$AH$6,1))</f>
        <v>750</v>
      </c>
      <c r="AN161" s="341" cm="1">
        <f t="array" aca="1" ref="AN161" ca="1">INDEX($E161:$AH161,1,MATCH(AN$3&amp;AN$4&amp;AN$5&amp;AN$6,$E$3:$AH$3&amp;$E$4:$AH$4&amp;$E$5:$AH$5&amp;$E$6:$AH$6,1))</f>
        <v>784.68610263944845</v>
      </c>
      <c r="AO161" s="341" cm="1">
        <f t="array" aca="1" ref="AO161" ca="1">INDEX($E161:$AH161,1,MATCH(AO$3&amp;AO$4&amp;AO$5&amp;AO$6,$E$3:$AH$3&amp;$E$4:$AH$4&amp;$E$5:$AH$5&amp;$E$6:$AH$6,1))</f>
        <v>784.73829448821846</v>
      </c>
      <c r="AP161" s="341" cm="1">
        <f t="array" aca="1" ref="AP161" ca="1">INDEX($E161:$AH161,1,MATCH(AP$3&amp;AP$4&amp;AP$5&amp;AP$6,$E$3:$AH$3&amp;$E$4:$AH$4&amp;$E$5:$AH$5&amp;$E$6:$AH$6,1))</f>
        <v>784.62618072862017</v>
      </c>
      <c r="AQ161" s="341" cm="1">
        <f t="array" aca="1" ref="AQ161" ca="1">INDEX($E161:$AH161,1,MATCH(AQ$3&amp;AQ$4&amp;AQ$5&amp;AQ$6,$E$3:$AH$3&amp;$E$4:$AH$4&amp;$E$5:$AH$5&amp;$E$6:$AH$6,1))</f>
        <v>784.6693160851712</v>
      </c>
      <c r="AR161" s="341" cm="1">
        <f t="array" aca="1" ref="AR161" ca="1">INDEX($E161:$AH161,1,MATCH(AR$3&amp;AR$4&amp;AR$5&amp;AR$6,$E$3:$AH$3&amp;$E$4:$AH$4&amp;$E$5:$AH$5&amp;$E$6:$AH$6,1))</f>
        <v>821.10753005590936</v>
      </c>
      <c r="AS161" s="341" cm="1">
        <f t="array" aca="1" ref="AS161" ca="1">INDEX($E161:$AH161,1,MATCH(AS$3&amp;AS$4&amp;AS$5&amp;AS$6,$E$3:$AH$3&amp;$E$4:$AH$4&amp;$E$5:$AH$5&amp;$E$6:$AH$6,1))</f>
        <v>821.21499662455972</v>
      </c>
      <c r="AT161" s="13"/>
      <c r="AU161" s="341">
        <f t="shared" ref="AU161:AW161" ca="1" si="198">INDEX($E161:$AH161,MATCH(AU$5,$E$5:$AH$5,1))</f>
        <v>750</v>
      </c>
      <c r="AV161" s="341">
        <f t="shared" ca="1" si="198"/>
        <v>784.73829448821846</v>
      </c>
      <c r="AW161" s="341">
        <f t="shared" ca="1" si="198"/>
        <v>821.21499662455972</v>
      </c>
    </row>
    <row r="162" spans="2:49" x14ac:dyDescent="0.25">
      <c r="P162" s="8"/>
      <c r="AM162" s="8"/>
      <c r="AT162" s="13"/>
    </row>
    <row r="163" spans="2:49" x14ac:dyDescent="0.25">
      <c r="C163" s="30" t="s">
        <v>327</v>
      </c>
      <c r="D163" s="30"/>
      <c r="E163" s="45" t="str">
        <f t="shared" ref="E163:AH163" si="199">E$9</f>
        <v>Jul-20A</v>
      </c>
      <c r="F163" s="45" t="str">
        <f t="shared" si="199"/>
        <v>Aug-20A</v>
      </c>
      <c r="G163" s="45" t="str">
        <f t="shared" si="199"/>
        <v>Sep-20A</v>
      </c>
      <c r="H163" s="45" t="str">
        <f t="shared" si="199"/>
        <v>Oct-20A</v>
      </c>
      <c r="I163" s="45" t="str">
        <f t="shared" si="199"/>
        <v>Nov-20A</v>
      </c>
      <c r="J163" s="45" t="str">
        <f t="shared" si="199"/>
        <v>Dec-20A</v>
      </c>
      <c r="K163" s="45" t="str">
        <f t="shared" si="199"/>
        <v>Jan-21A</v>
      </c>
      <c r="L163" s="45" t="str">
        <f t="shared" si="199"/>
        <v>Feb-21A</v>
      </c>
      <c r="M163" s="45" t="str">
        <f t="shared" si="199"/>
        <v>Mar-21A</v>
      </c>
      <c r="N163" s="45" t="str">
        <f t="shared" si="199"/>
        <v>Apr-21A</v>
      </c>
      <c r="O163" s="45" t="str">
        <f t="shared" si="199"/>
        <v>May-21A</v>
      </c>
      <c r="P163" s="46" t="str">
        <f t="shared" si="199"/>
        <v>Jun-21A</v>
      </c>
      <c r="Q163" s="45" t="str">
        <f t="shared" si="199"/>
        <v>Jul-21F</v>
      </c>
      <c r="R163" s="45" t="str">
        <f t="shared" si="199"/>
        <v>Aug-21F</v>
      </c>
      <c r="S163" s="45" t="str">
        <f t="shared" si="199"/>
        <v>Sep-21F</v>
      </c>
      <c r="T163" s="45" t="str">
        <f t="shared" si="199"/>
        <v>Oct-21F</v>
      </c>
      <c r="U163" s="45" t="str">
        <f t="shared" si="199"/>
        <v>Nov-21F</v>
      </c>
      <c r="V163" s="45" t="str">
        <f t="shared" si="199"/>
        <v>Dec-21F</v>
      </c>
      <c r="W163" s="45" t="str">
        <f t="shared" si="199"/>
        <v>Jan-22F</v>
      </c>
      <c r="X163" s="45" t="str">
        <f t="shared" si="199"/>
        <v>Feb-22F</v>
      </c>
      <c r="Y163" s="45" t="str">
        <f t="shared" si="199"/>
        <v>Mar-22F</v>
      </c>
      <c r="Z163" s="45" t="str">
        <f t="shared" si="199"/>
        <v>Apr-22F</v>
      </c>
      <c r="AA163" s="45" t="str">
        <f t="shared" si="199"/>
        <v>May-22F</v>
      </c>
      <c r="AB163" s="45" t="str">
        <f t="shared" si="199"/>
        <v>Jun-22F</v>
      </c>
      <c r="AC163" s="45" t="str">
        <f t="shared" si="199"/>
        <v>Jul-22F</v>
      </c>
      <c r="AD163" s="45" t="str">
        <f t="shared" si="199"/>
        <v>Aug-22F</v>
      </c>
      <c r="AE163" s="45" t="str">
        <f t="shared" si="199"/>
        <v>Sep-22F</v>
      </c>
      <c r="AF163" s="45" t="str">
        <f t="shared" si="199"/>
        <v>Oct-22F</v>
      </c>
      <c r="AG163" s="45" t="str">
        <f t="shared" si="199"/>
        <v>Nov-22F</v>
      </c>
      <c r="AH163" s="45" t="str">
        <f t="shared" si="199"/>
        <v>Dec-22F</v>
      </c>
      <c r="AJ163" s="45" t="str">
        <f ca="1">AJ$10</f>
        <v>Q3'20A</v>
      </c>
      <c r="AK163" s="45" t="str">
        <f t="shared" ref="AK163:AW163" ca="1" si="200">AK$10</f>
        <v>Q4'20A</v>
      </c>
      <c r="AL163" s="45" t="str">
        <f t="shared" ca="1" si="200"/>
        <v>Q1'21A</v>
      </c>
      <c r="AM163" s="46" t="str">
        <f t="shared" ca="1" si="200"/>
        <v>Q2'21A</v>
      </c>
      <c r="AN163" s="45" t="str">
        <f t="shared" ca="1" si="200"/>
        <v>Q3'21F</v>
      </c>
      <c r="AO163" s="45" t="str">
        <f t="shared" ca="1" si="200"/>
        <v>Q4'21F</v>
      </c>
      <c r="AP163" s="45" t="str">
        <f t="shared" ca="1" si="200"/>
        <v>Q1'22F</v>
      </c>
      <c r="AQ163" s="45" t="str">
        <f t="shared" ca="1" si="200"/>
        <v>Q2'22F</v>
      </c>
      <c r="AR163" s="45" t="str">
        <f t="shared" ca="1" si="200"/>
        <v>Q3'22F</v>
      </c>
      <c r="AS163" s="45" t="str">
        <f t="shared" ca="1" si="200"/>
        <v>Q4'22F</v>
      </c>
      <c r="AT163" s="13"/>
      <c r="AU163" s="45" t="str">
        <f t="shared" ca="1" si="200"/>
        <v>FY20</v>
      </c>
      <c r="AV163" s="45" t="str">
        <f t="shared" ca="1" si="200"/>
        <v>FY21</v>
      </c>
      <c r="AW163" s="45" t="str">
        <f t="shared" ca="1" si="200"/>
        <v>FY22</v>
      </c>
    </row>
    <row r="164" spans="2:49" x14ac:dyDescent="0.25">
      <c r="C164" t="s">
        <v>319</v>
      </c>
      <c r="E164" s="185">
        <f>E161</f>
        <v>750</v>
      </c>
      <c r="F164" s="185">
        <f t="shared" ref="F164:AH164" si="201">F161</f>
        <v>750</v>
      </c>
      <c r="G164" s="185">
        <f t="shared" si="201"/>
        <v>750</v>
      </c>
      <c r="H164" s="185">
        <f t="shared" si="201"/>
        <v>750</v>
      </c>
      <c r="I164" s="185">
        <f t="shared" si="201"/>
        <v>750</v>
      </c>
      <c r="J164" s="185">
        <f t="shared" si="201"/>
        <v>750</v>
      </c>
      <c r="K164" s="185">
        <f t="shared" si="201"/>
        <v>750</v>
      </c>
      <c r="L164" s="185">
        <f t="shared" si="201"/>
        <v>750</v>
      </c>
      <c r="M164" s="185">
        <f t="shared" si="201"/>
        <v>750</v>
      </c>
      <c r="N164" s="185">
        <f t="shared" si="201"/>
        <v>750</v>
      </c>
      <c r="O164" s="185">
        <f t="shared" si="201"/>
        <v>750</v>
      </c>
      <c r="P164" s="186">
        <f t="shared" si="201"/>
        <v>750</v>
      </c>
      <c r="Q164" s="185">
        <f t="shared" si="201"/>
        <v>784.47225353171223</v>
      </c>
      <c r="R164" s="185">
        <f t="shared" si="201"/>
        <v>784.64332694274219</v>
      </c>
      <c r="S164" s="185">
        <f t="shared" si="201"/>
        <v>784.68610263944845</v>
      </c>
      <c r="T164" s="185">
        <f t="shared" si="201"/>
        <v>784.81103601663426</v>
      </c>
      <c r="U164" s="185">
        <f t="shared" si="201"/>
        <v>784.85310171636092</v>
      </c>
      <c r="V164" s="185">
        <f t="shared" si="201"/>
        <v>784.73829448821846</v>
      </c>
      <c r="W164" s="185">
        <f t="shared" si="201"/>
        <v>784.69388729719867</v>
      </c>
      <c r="X164" s="185">
        <f t="shared" si="201"/>
        <v>784.65325252184721</v>
      </c>
      <c r="Y164" s="185">
        <f t="shared" si="201"/>
        <v>784.62618072862017</v>
      </c>
      <c r="Z164" s="185">
        <f t="shared" si="201"/>
        <v>784.72007944943584</v>
      </c>
      <c r="AA164" s="185">
        <f t="shared" si="201"/>
        <v>784.57770743135109</v>
      </c>
      <c r="AB164" s="185">
        <f t="shared" si="201"/>
        <v>784.6693160851712</v>
      </c>
      <c r="AC164" s="185">
        <f t="shared" si="201"/>
        <v>820.6559007286545</v>
      </c>
      <c r="AD164" s="185">
        <f t="shared" si="201"/>
        <v>821.01558534764706</v>
      </c>
      <c r="AE164" s="185">
        <f t="shared" si="201"/>
        <v>821.10753005590936</v>
      </c>
      <c r="AF164" s="185">
        <f t="shared" si="201"/>
        <v>821.3660760809056</v>
      </c>
      <c r="AG164" s="185">
        <f t="shared" si="201"/>
        <v>821.45448564435503</v>
      </c>
      <c r="AH164" s="185">
        <f t="shared" si="201"/>
        <v>821.21499662455972</v>
      </c>
      <c r="AJ164" s="341" cm="1">
        <f t="array" aca="1" ref="AJ164" ca="1">INDEX($E164:$AH164,1,MATCH(AJ$3&amp;AJ$4&amp;AJ$5&amp;AJ$6,$E$3:$AH$3&amp;$E$4:$AH$4&amp;$E$5:$AH$5&amp;$E$6:$AH$6,1))</f>
        <v>750</v>
      </c>
      <c r="AK164" s="341" cm="1">
        <f t="array" aca="1" ref="AK164" ca="1">INDEX($E164:$AH164,1,MATCH(AK$3&amp;AK$4&amp;AK$5&amp;AK$6,$E$3:$AH$3&amp;$E$4:$AH$4&amp;$E$5:$AH$5&amp;$E$6:$AH$6,1))</f>
        <v>750</v>
      </c>
      <c r="AL164" s="341" cm="1">
        <f t="array" aca="1" ref="AL164" ca="1">INDEX($E164:$AH164,1,MATCH(AL$3&amp;AL$4&amp;AL$5&amp;AL$6,$E$3:$AH$3&amp;$E$4:$AH$4&amp;$E$5:$AH$5&amp;$E$6:$AH$6,1))</f>
        <v>750</v>
      </c>
      <c r="AM164" s="343" cm="1">
        <f t="array" aca="1" ref="AM164" ca="1">INDEX($E164:$AH164,1,MATCH(AM$3&amp;AM$4&amp;AM$5&amp;AM$6,$E$3:$AH$3&amp;$E$4:$AH$4&amp;$E$5:$AH$5&amp;$E$6:$AH$6,1))</f>
        <v>750</v>
      </c>
      <c r="AN164" s="341" cm="1">
        <f t="array" aca="1" ref="AN164" ca="1">INDEX($E164:$AH164,1,MATCH(AN$3&amp;AN$4&amp;AN$5&amp;AN$6,$E$3:$AH$3&amp;$E$4:$AH$4&amp;$E$5:$AH$5&amp;$E$6:$AH$6,1))</f>
        <v>784.68610263944845</v>
      </c>
      <c r="AO164" s="341" cm="1">
        <f t="array" aca="1" ref="AO164" ca="1">INDEX($E164:$AH164,1,MATCH(AO$3&amp;AO$4&amp;AO$5&amp;AO$6,$E$3:$AH$3&amp;$E$4:$AH$4&amp;$E$5:$AH$5&amp;$E$6:$AH$6,1))</f>
        <v>784.73829448821846</v>
      </c>
      <c r="AP164" s="341" cm="1">
        <f t="array" aca="1" ref="AP164" ca="1">INDEX($E164:$AH164,1,MATCH(AP$3&amp;AP$4&amp;AP$5&amp;AP$6,$E$3:$AH$3&amp;$E$4:$AH$4&amp;$E$5:$AH$5&amp;$E$6:$AH$6,1))</f>
        <v>784.62618072862017</v>
      </c>
      <c r="AQ164" s="341" cm="1">
        <f t="array" aca="1" ref="AQ164" ca="1">INDEX($E164:$AH164,1,MATCH(AQ$3&amp;AQ$4&amp;AQ$5&amp;AQ$6,$E$3:$AH$3&amp;$E$4:$AH$4&amp;$E$5:$AH$5&amp;$E$6:$AH$6,1))</f>
        <v>784.6693160851712</v>
      </c>
      <c r="AR164" s="341" cm="1">
        <f t="array" aca="1" ref="AR164" ca="1">INDEX($E164:$AH164,1,MATCH(AR$3&amp;AR$4&amp;AR$5&amp;AR$6,$E$3:$AH$3&amp;$E$4:$AH$4&amp;$E$5:$AH$5&amp;$E$6:$AH$6,1))</f>
        <v>821.10753005590936</v>
      </c>
      <c r="AS164" s="341" cm="1">
        <f t="array" aca="1" ref="AS164" ca="1">INDEX($E164:$AH164,1,MATCH(AS$3&amp;AS$4&amp;AS$5&amp;AS$6,$E$3:$AH$3&amp;$E$4:$AH$4&amp;$E$5:$AH$5&amp;$E$6:$AH$6,1))</f>
        <v>821.21499662455972</v>
      </c>
      <c r="AT164" s="13"/>
      <c r="AU164" s="341">
        <f t="shared" ref="AU164:AW164" ca="1" si="202">INDEX($E164:$AH164,MATCH(AU$5,$E$5:$AH$5,1))</f>
        <v>750</v>
      </c>
      <c r="AV164" s="341">
        <f t="shared" ca="1" si="202"/>
        <v>784.73829448821846</v>
      </c>
      <c r="AW164" s="341">
        <f t="shared" ca="1" si="202"/>
        <v>821.21499662455972</v>
      </c>
    </row>
    <row r="165" spans="2:49" x14ac:dyDescent="0.25">
      <c r="C165" s="27" t="s">
        <v>373</v>
      </c>
      <c r="D165" s="27"/>
      <c r="E165" s="169">
        <f>E164/E166</f>
        <v>1.875</v>
      </c>
      <c r="F165" s="169">
        <f t="shared" ref="F165:P165" si="203">F164/F166</f>
        <v>1.875</v>
      </c>
      <c r="G165" s="169">
        <f t="shared" si="203"/>
        <v>1.875</v>
      </c>
      <c r="H165" s="169">
        <f t="shared" si="203"/>
        <v>1.875</v>
      </c>
      <c r="I165" s="169">
        <f t="shared" si="203"/>
        <v>1.875</v>
      </c>
      <c r="J165" s="169">
        <f t="shared" si="203"/>
        <v>1.875</v>
      </c>
      <c r="K165" s="169">
        <f t="shared" si="203"/>
        <v>1.875</v>
      </c>
      <c r="L165" s="169">
        <f t="shared" si="203"/>
        <v>1.875</v>
      </c>
      <c r="M165" s="169">
        <f t="shared" si="203"/>
        <v>1.875</v>
      </c>
      <c r="N165" s="169">
        <f t="shared" si="203"/>
        <v>1.875</v>
      </c>
      <c r="O165" s="169">
        <f t="shared" si="203"/>
        <v>1.875</v>
      </c>
      <c r="P165" s="214">
        <f t="shared" si="203"/>
        <v>1.875</v>
      </c>
      <c r="Q165" s="188">
        <f>P165</f>
        <v>1.875</v>
      </c>
      <c r="R165" s="188">
        <f t="shared" ref="R165:AH165" si="204">Q165</f>
        <v>1.875</v>
      </c>
      <c r="S165" s="188">
        <f t="shared" si="204"/>
        <v>1.875</v>
      </c>
      <c r="T165" s="188">
        <f t="shared" si="204"/>
        <v>1.875</v>
      </c>
      <c r="U165" s="188">
        <f t="shared" si="204"/>
        <v>1.875</v>
      </c>
      <c r="V165" s="188">
        <f t="shared" si="204"/>
        <v>1.875</v>
      </c>
      <c r="W165" s="188">
        <f t="shared" si="204"/>
        <v>1.875</v>
      </c>
      <c r="X165" s="188">
        <f t="shared" si="204"/>
        <v>1.875</v>
      </c>
      <c r="Y165" s="188">
        <f t="shared" si="204"/>
        <v>1.875</v>
      </c>
      <c r="Z165" s="188">
        <f t="shared" si="204"/>
        <v>1.875</v>
      </c>
      <c r="AA165" s="188">
        <f t="shared" si="204"/>
        <v>1.875</v>
      </c>
      <c r="AB165" s="188">
        <f t="shared" si="204"/>
        <v>1.875</v>
      </c>
      <c r="AC165" s="188">
        <f t="shared" si="204"/>
        <v>1.875</v>
      </c>
      <c r="AD165" s="188">
        <f t="shared" si="204"/>
        <v>1.875</v>
      </c>
      <c r="AE165" s="188">
        <f t="shared" si="204"/>
        <v>1.875</v>
      </c>
      <c r="AF165" s="188">
        <f t="shared" si="204"/>
        <v>1.875</v>
      </c>
      <c r="AG165" s="188">
        <f t="shared" si="204"/>
        <v>1.875</v>
      </c>
      <c r="AH165" s="188">
        <f t="shared" si="204"/>
        <v>1.875</v>
      </c>
      <c r="AJ165" s="29">
        <f t="shared" ref="AJ165:AW165" ca="1" si="205">AJ164/AJ166</f>
        <v>1.875</v>
      </c>
      <c r="AK165" s="29">
        <f t="shared" ca="1" si="205"/>
        <v>1.875</v>
      </c>
      <c r="AL165" s="29">
        <f t="shared" ca="1" si="205"/>
        <v>1.875</v>
      </c>
      <c r="AM165" s="240">
        <f t="shared" ca="1" si="205"/>
        <v>1.875</v>
      </c>
      <c r="AN165" s="29">
        <f t="shared" ca="1" si="205"/>
        <v>1.875</v>
      </c>
      <c r="AO165" s="29">
        <f t="shared" ca="1" si="205"/>
        <v>1.875</v>
      </c>
      <c r="AP165" s="29">
        <f t="shared" ca="1" si="205"/>
        <v>1.875</v>
      </c>
      <c r="AQ165" s="29">
        <f t="shared" ca="1" si="205"/>
        <v>1.875</v>
      </c>
      <c r="AR165" s="29">
        <f t="shared" ca="1" si="205"/>
        <v>1.875</v>
      </c>
      <c r="AS165" s="29">
        <f t="shared" ca="1" si="205"/>
        <v>1.875</v>
      </c>
      <c r="AT165" s="13"/>
      <c r="AU165" s="29">
        <f t="shared" ca="1" si="205"/>
        <v>1.875</v>
      </c>
      <c r="AV165" s="29">
        <f t="shared" ca="1" si="205"/>
        <v>1.875</v>
      </c>
      <c r="AW165" s="29">
        <f t="shared" ca="1" si="205"/>
        <v>1.875</v>
      </c>
    </row>
    <row r="166" spans="2:49" x14ac:dyDescent="0.25">
      <c r="B166" t="s">
        <v>231</v>
      </c>
      <c r="C166" s="11" t="str">
        <f>"Total "&amp;MID(C163,1,LEN(C163)-LEN(" Department"))&amp;" Headcount"</f>
        <v>Total Finance Headcount</v>
      </c>
      <c r="D166" s="11"/>
      <c r="E166" s="65">
        <v>400</v>
      </c>
      <c r="F166" s="65">
        <v>400</v>
      </c>
      <c r="G166" s="65">
        <v>400</v>
      </c>
      <c r="H166" s="65">
        <v>400</v>
      </c>
      <c r="I166" s="65">
        <v>400</v>
      </c>
      <c r="J166" s="65">
        <v>400</v>
      </c>
      <c r="K166" s="65">
        <v>400</v>
      </c>
      <c r="L166" s="65">
        <v>400</v>
      </c>
      <c r="M166" s="65">
        <v>400</v>
      </c>
      <c r="N166" s="65">
        <v>400</v>
      </c>
      <c r="O166" s="65">
        <v>400</v>
      </c>
      <c r="P166" s="67">
        <v>400</v>
      </c>
      <c r="Q166" s="189">
        <f>Q164/Q165</f>
        <v>418.38520188357984</v>
      </c>
      <c r="R166" s="189">
        <f t="shared" ref="R166:AH166" si="206">R164/R165</f>
        <v>418.47644103612919</v>
      </c>
      <c r="S166" s="189">
        <f t="shared" si="206"/>
        <v>418.49925474103918</v>
      </c>
      <c r="T166" s="189">
        <f t="shared" si="206"/>
        <v>418.5658858755383</v>
      </c>
      <c r="U166" s="189">
        <f t="shared" si="206"/>
        <v>418.5883209153925</v>
      </c>
      <c r="V166" s="189">
        <f t="shared" si="206"/>
        <v>418.52709039371649</v>
      </c>
      <c r="W166" s="189">
        <f t="shared" si="206"/>
        <v>418.50340655850596</v>
      </c>
      <c r="X166" s="189">
        <f t="shared" si="206"/>
        <v>418.4817346783185</v>
      </c>
      <c r="Y166" s="189">
        <f t="shared" si="206"/>
        <v>418.46729638859745</v>
      </c>
      <c r="Z166" s="189">
        <f t="shared" si="206"/>
        <v>418.51737570636578</v>
      </c>
      <c r="AA166" s="189">
        <f t="shared" si="206"/>
        <v>418.44144396338726</v>
      </c>
      <c r="AB166" s="189">
        <f t="shared" si="206"/>
        <v>418.4903019120913</v>
      </c>
      <c r="AC166" s="189">
        <f t="shared" si="206"/>
        <v>437.6831470552824</v>
      </c>
      <c r="AD166" s="189">
        <f t="shared" si="206"/>
        <v>437.87497885207841</v>
      </c>
      <c r="AE166" s="189">
        <f t="shared" si="206"/>
        <v>437.92401602981835</v>
      </c>
      <c r="AF166" s="189">
        <f t="shared" si="206"/>
        <v>438.06190724314968</v>
      </c>
      <c r="AG166" s="189">
        <f t="shared" si="206"/>
        <v>438.10905901032271</v>
      </c>
      <c r="AH166" s="189">
        <f t="shared" si="206"/>
        <v>437.98133153309851</v>
      </c>
      <c r="AJ166" s="341" cm="1">
        <f t="array" aca="1" ref="AJ166" ca="1">INDEX($E166:$AH166,1,MATCH(AJ$3&amp;AJ$4&amp;AJ$5&amp;AJ$6,$E$3:$AH$3&amp;$E$4:$AH$4&amp;$E$5:$AH$5&amp;$E$6:$AH$6,1))</f>
        <v>400</v>
      </c>
      <c r="AK166" s="341" cm="1">
        <f t="array" aca="1" ref="AK166" ca="1">INDEX($E166:$AH166,1,MATCH(AK$3&amp;AK$4&amp;AK$5&amp;AK$6,$E$3:$AH$3&amp;$E$4:$AH$4&amp;$E$5:$AH$5&amp;$E$6:$AH$6,1))</f>
        <v>400</v>
      </c>
      <c r="AL166" s="341" cm="1">
        <f t="array" aca="1" ref="AL166" ca="1">INDEX($E166:$AH166,1,MATCH(AL$3&amp;AL$4&amp;AL$5&amp;AL$6,$E$3:$AH$3&amp;$E$4:$AH$4&amp;$E$5:$AH$5&amp;$E$6:$AH$6,1))</f>
        <v>400</v>
      </c>
      <c r="AM166" s="343" cm="1">
        <f t="array" aca="1" ref="AM166" ca="1">INDEX($E166:$AH166,1,MATCH(AM$3&amp;AM$4&amp;AM$5&amp;AM$6,$E$3:$AH$3&amp;$E$4:$AH$4&amp;$E$5:$AH$5&amp;$E$6:$AH$6,1))</f>
        <v>400</v>
      </c>
      <c r="AN166" s="341" cm="1">
        <f t="array" aca="1" ref="AN166" ca="1">INDEX($E166:$AH166,1,MATCH(AN$3&amp;AN$4&amp;AN$5&amp;AN$6,$E$3:$AH$3&amp;$E$4:$AH$4&amp;$E$5:$AH$5&amp;$E$6:$AH$6,1))</f>
        <v>418.49925474103918</v>
      </c>
      <c r="AO166" s="341" cm="1">
        <f t="array" aca="1" ref="AO166" ca="1">INDEX($E166:$AH166,1,MATCH(AO$3&amp;AO$4&amp;AO$5&amp;AO$6,$E$3:$AH$3&amp;$E$4:$AH$4&amp;$E$5:$AH$5&amp;$E$6:$AH$6,1))</f>
        <v>418.52709039371649</v>
      </c>
      <c r="AP166" s="341" cm="1">
        <f t="array" aca="1" ref="AP166" ca="1">INDEX($E166:$AH166,1,MATCH(AP$3&amp;AP$4&amp;AP$5&amp;AP$6,$E$3:$AH$3&amp;$E$4:$AH$4&amp;$E$5:$AH$5&amp;$E$6:$AH$6,1))</f>
        <v>418.46729638859745</v>
      </c>
      <c r="AQ166" s="341" cm="1">
        <f t="array" aca="1" ref="AQ166" ca="1">INDEX($E166:$AH166,1,MATCH(AQ$3&amp;AQ$4&amp;AQ$5&amp;AQ$6,$E$3:$AH$3&amp;$E$4:$AH$4&amp;$E$5:$AH$5&amp;$E$6:$AH$6,1))</f>
        <v>418.4903019120913</v>
      </c>
      <c r="AR166" s="341" cm="1">
        <f t="array" aca="1" ref="AR166" ca="1">INDEX($E166:$AH166,1,MATCH(AR$3&amp;AR$4&amp;AR$5&amp;AR$6,$E$3:$AH$3&amp;$E$4:$AH$4&amp;$E$5:$AH$5&amp;$E$6:$AH$6,1))</f>
        <v>437.92401602981835</v>
      </c>
      <c r="AS166" s="341" cm="1">
        <f t="array" aca="1" ref="AS166" ca="1">INDEX($E166:$AH166,1,MATCH(AS$3&amp;AS$4&amp;AS$5&amp;AS$6,$E$3:$AH$3&amp;$E$4:$AH$4&amp;$E$5:$AH$5&amp;$E$6:$AH$6,1))</f>
        <v>437.98133153309851</v>
      </c>
      <c r="AT166" s="13"/>
      <c r="AU166" s="341">
        <f t="shared" ref="AU166:AW166" ca="1" si="207">INDEX($E166:$AH166,MATCH(AU$5,$E$5:$AH$5,1))</f>
        <v>400</v>
      </c>
      <c r="AV166" s="341">
        <f t="shared" ca="1" si="207"/>
        <v>418.52709039371649</v>
      </c>
      <c r="AW166" s="341">
        <f t="shared" ca="1" si="207"/>
        <v>437.98133153309851</v>
      </c>
    </row>
    <row r="167" spans="2:49" x14ac:dyDescent="0.25">
      <c r="P167" s="8"/>
      <c r="AM167" s="8"/>
      <c r="AT167" s="13"/>
    </row>
    <row r="168" spans="2:49" x14ac:dyDescent="0.25">
      <c r="C168" s="30" t="s">
        <v>328</v>
      </c>
      <c r="D168" s="30"/>
      <c r="E168" s="45" t="str">
        <f t="shared" ref="E168:AH168" si="208">E$9</f>
        <v>Jul-20A</v>
      </c>
      <c r="F168" s="45" t="str">
        <f t="shared" si="208"/>
        <v>Aug-20A</v>
      </c>
      <c r="G168" s="45" t="str">
        <f t="shared" si="208"/>
        <v>Sep-20A</v>
      </c>
      <c r="H168" s="45" t="str">
        <f t="shared" si="208"/>
        <v>Oct-20A</v>
      </c>
      <c r="I168" s="45" t="str">
        <f t="shared" si="208"/>
        <v>Nov-20A</v>
      </c>
      <c r="J168" s="45" t="str">
        <f t="shared" si="208"/>
        <v>Dec-20A</v>
      </c>
      <c r="K168" s="45" t="str">
        <f t="shared" si="208"/>
        <v>Jan-21A</v>
      </c>
      <c r="L168" s="45" t="str">
        <f t="shared" si="208"/>
        <v>Feb-21A</v>
      </c>
      <c r="M168" s="45" t="str">
        <f t="shared" si="208"/>
        <v>Mar-21A</v>
      </c>
      <c r="N168" s="45" t="str">
        <f t="shared" si="208"/>
        <v>Apr-21A</v>
      </c>
      <c r="O168" s="45" t="str">
        <f t="shared" si="208"/>
        <v>May-21A</v>
      </c>
      <c r="P168" s="46" t="str">
        <f t="shared" si="208"/>
        <v>Jun-21A</v>
      </c>
      <c r="Q168" s="45" t="str">
        <f t="shared" si="208"/>
        <v>Jul-21F</v>
      </c>
      <c r="R168" s="45" t="str">
        <f t="shared" si="208"/>
        <v>Aug-21F</v>
      </c>
      <c r="S168" s="45" t="str">
        <f t="shared" si="208"/>
        <v>Sep-21F</v>
      </c>
      <c r="T168" s="45" t="str">
        <f t="shared" si="208"/>
        <v>Oct-21F</v>
      </c>
      <c r="U168" s="45" t="str">
        <f t="shared" si="208"/>
        <v>Nov-21F</v>
      </c>
      <c r="V168" s="45" t="str">
        <f t="shared" si="208"/>
        <v>Dec-21F</v>
      </c>
      <c r="W168" s="45" t="str">
        <f t="shared" si="208"/>
        <v>Jan-22F</v>
      </c>
      <c r="X168" s="45" t="str">
        <f t="shared" si="208"/>
        <v>Feb-22F</v>
      </c>
      <c r="Y168" s="45" t="str">
        <f t="shared" si="208"/>
        <v>Mar-22F</v>
      </c>
      <c r="Z168" s="45" t="str">
        <f t="shared" si="208"/>
        <v>Apr-22F</v>
      </c>
      <c r="AA168" s="45" t="str">
        <f t="shared" si="208"/>
        <v>May-22F</v>
      </c>
      <c r="AB168" s="45" t="str">
        <f t="shared" si="208"/>
        <v>Jun-22F</v>
      </c>
      <c r="AC168" s="45" t="str">
        <f t="shared" si="208"/>
        <v>Jul-22F</v>
      </c>
      <c r="AD168" s="45" t="str">
        <f t="shared" si="208"/>
        <v>Aug-22F</v>
      </c>
      <c r="AE168" s="45" t="str">
        <f t="shared" si="208"/>
        <v>Sep-22F</v>
      </c>
      <c r="AF168" s="45" t="str">
        <f t="shared" si="208"/>
        <v>Oct-22F</v>
      </c>
      <c r="AG168" s="45" t="str">
        <f t="shared" si="208"/>
        <v>Nov-22F</v>
      </c>
      <c r="AH168" s="45" t="str">
        <f t="shared" si="208"/>
        <v>Dec-22F</v>
      </c>
      <c r="AJ168" s="45" t="str">
        <f ca="1">AJ$10</f>
        <v>Q3'20A</v>
      </c>
      <c r="AK168" s="45" t="str">
        <f t="shared" ref="AK168:AW168" ca="1" si="209">AK$10</f>
        <v>Q4'20A</v>
      </c>
      <c r="AL168" s="45" t="str">
        <f t="shared" ca="1" si="209"/>
        <v>Q1'21A</v>
      </c>
      <c r="AM168" s="46" t="str">
        <f t="shared" ca="1" si="209"/>
        <v>Q2'21A</v>
      </c>
      <c r="AN168" s="45" t="str">
        <f t="shared" ca="1" si="209"/>
        <v>Q3'21F</v>
      </c>
      <c r="AO168" s="45" t="str">
        <f t="shared" ca="1" si="209"/>
        <v>Q4'21F</v>
      </c>
      <c r="AP168" s="45" t="str">
        <f t="shared" ca="1" si="209"/>
        <v>Q1'22F</v>
      </c>
      <c r="AQ168" s="45" t="str">
        <f t="shared" ca="1" si="209"/>
        <v>Q2'22F</v>
      </c>
      <c r="AR168" s="45" t="str">
        <f t="shared" ca="1" si="209"/>
        <v>Q3'22F</v>
      </c>
      <c r="AS168" s="45" t="str">
        <f t="shared" ca="1" si="209"/>
        <v>Q4'22F</v>
      </c>
      <c r="AT168" s="13"/>
      <c r="AU168" s="45" t="str">
        <f t="shared" ca="1" si="209"/>
        <v>FY20</v>
      </c>
      <c r="AV168" s="45" t="str">
        <f t="shared" ca="1" si="209"/>
        <v>FY21</v>
      </c>
      <c r="AW168" s="45" t="str">
        <f t="shared" ca="1" si="209"/>
        <v>FY22</v>
      </c>
    </row>
    <row r="169" spans="2:49" x14ac:dyDescent="0.25">
      <c r="C169" t="s">
        <v>374</v>
      </c>
      <c r="E169" s="65">
        <v>100</v>
      </c>
      <c r="F169" s="65">
        <v>100</v>
      </c>
      <c r="G169" s="65">
        <v>100</v>
      </c>
      <c r="H169" s="65">
        <v>100</v>
      </c>
      <c r="I169" s="65">
        <v>100</v>
      </c>
      <c r="J169" s="65">
        <v>100</v>
      </c>
      <c r="K169" s="65">
        <v>100</v>
      </c>
      <c r="L169" s="65">
        <v>100</v>
      </c>
      <c r="M169" s="65">
        <v>100</v>
      </c>
      <c r="N169" s="65">
        <v>100</v>
      </c>
      <c r="O169" s="65">
        <v>100</v>
      </c>
      <c r="P169" s="67">
        <v>100</v>
      </c>
      <c r="Q169" s="65">
        <v>80</v>
      </c>
      <c r="R169" s="65">
        <v>80</v>
      </c>
      <c r="S169" s="65">
        <v>80</v>
      </c>
      <c r="T169" s="65">
        <v>80</v>
      </c>
      <c r="U169" s="65">
        <v>80</v>
      </c>
      <c r="V169" s="65">
        <v>80</v>
      </c>
      <c r="W169" s="65">
        <v>80</v>
      </c>
      <c r="X169" s="65">
        <v>80</v>
      </c>
      <c r="Y169" s="65">
        <v>80</v>
      </c>
      <c r="Z169" s="65">
        <v>80</v>
      </c>
      <c r="AA169" s="65">
        <v>80</v>
      </c>
      <c r="AB169" s="65">
        <v>80</v>
      </c>
      <c r="AC169" s="65">
        <v>80</v>
      </c>
      <c r="AD169" s="65">
        <v>80</v>
      </c>
      <c r="AE169" s="65">
        <v>80</v>
      </c>
      <c r="AF169" s="65">
        <v>80</v>
      </c>
      <c r="AG169" s="65">
        <v>80</v>
      </c>
      <c r="AH169" s="65">
        <v>80</v>
      </c>
      <c r="AJ169" s="341" cm="1">
        <f t="array" aca="1" ref="AJ169" ca="1">INDEX($E169:$AH169,1,MATCH(AJ$3&amp;AJ$4&amp;AJ$5&amp;AJ$6,$E$3:$AH$3&amp;$E$4:$AH$4&amp;$E$5:$AH$5&amp;$E$6:$AH$6,1))</f>
        <v>100</v>
      </c>
      <c r="AK169" s="341" cm="1">
        <f t="array" aca="1" ref="AK169" ca="1">INDEX($E169:$AH169,1,MATCH(AK$3&amp;AK$4&amp;AK$5&amp;AK$6,$E$3:$AH$3&amp;$E$4:$AH$4&amp;$E$5:$AH$5&amp;$E$6:$AH$6,1))</f>
        <v>100</v>
      </c>
      <c r="AL169" s="341" cm="1">
        <f t="array" aca="1" ref="AL169" ca="1">INDEX($E169:$AH169,1,MATCH(AL$3&amp;AL$4&amp;AL$5&amp;AL$6,$E$3:$AH$3&amp;$E$4:$AH$4&amp;$E$5:$AH$5&amp;$E$6:$AH$6,1))</f>
        <v>100</v>
      </c>
      <c r="AM169" s="343" cm="1">
        <f t="array" aca="1" ref="AM169" ca="1">INDEX($E169:$AH169,1,MATCH(AM$3&amp;AM$4&amp;AM$5&amp;AM$6,$E$3:$AH$3&amp;$E$4:$AH$4&amp;$E$5:$AH$5&amp;$E$6:$AH$6,1))</f>
        <v>100</v>
      </c>
      <c r="AN169" s="341" cm="1">
        <f t="array" aca="1" ref="AN169" ca="1">INDEX($E169:$AH169,1,MATCH(AN$3&amp;AN$4&amp;AN$5&amp;AN$6,$E$3:$AH$3&amp;$E$4:$AH$4&amp;$E$5:$AH$5&amp;$E$6:$AH$6,1))</f>
        <v>80</v>
      </c>
      <c r="AO169" s="341" cm="1">
        <f t="array" aca="1" ref="AO169" ca="1">INDEX($E169:$AH169,1,MATCH(AO$3&amp;AO$4&amp;AO$5&amp;AO$6,$E$3:$AH$3&amp;$E$4:$AH$4&amp;$E$5:$AH$5&amp;$E$6:$AH$6,1))</f>
        <v>80</v>
      </c>
      <c r="AP169" s="341" cm="1">
        <f t="array" aca="1" ref="AP169" ca="1">INDEX($E169:$AH169,1,MATCH(AP$3&amp;AP$4&amp;AP$5&amp;AP$6,$E$3:$AH$3&amp;$E$4:$AH$4&amp;$E$5:$AH$5&amp;$E$6:$AH$6,1))</f>
        <v>80</v>
      </c>
      <c r="AQ169" s="341" cm="1">
        <f t="array" aca="1" ref="AQ169" ca="1">INDEX($E169:$AH169,1,MATCH(AQ$3&amp;AQ$4&amp;AQ$5&amp;AQ$6,$E$3:$AH$3&amp;$E$4:$AH$4&amp;$E$5:$AH$5&amp;$E$6:$AH$6,1))</f>
        <v>80</v>
      </c>
      <c r="AR169" s="341" cm="1">
        <f t="array" aca="1" ref="AR169" ca="1">INDEX($E169:$AH169,1,MATCH(AR$3&amp;AR$4&amp;AR$5&amp;AR$6,$E$3:$AH$3&amp;$E$4:$AH$4&amp;$E$5:$AH$5&amp;$E$6:$AH$6,1))</f>
        <v>80</v>
      </c>
      <c r="AS169" s="341" cm="1">
        <f t="array" aca="1" ref="AS169" ca="1">INDEX($E169:$AH169,1,MATCH(AS$3&amp;AS$4&amp;AS$5&amp;AS$6,$E$3:$AH$3&amp;$E$4:$AH$4&amp;$E$5:$AH$5&amp;$E$6:$AH$6,1))</f>
        <v>80</v>
      </c>
      <c r="AT169" s="13"/>
      <c r="AU169" s="341">
        <f t="shared" ref="AU169:AW172" ca="1" si="210">INDEX($E169:$AH169,MATCH(AU$5,$E$5:$AH$5,1))</f>
        <v>100</v>
      </c>
      <c r="AV169" s="341">
        <f t="shared" ca="1" si="210"/>
        <v>80</v>
      </c>
      <c r="AW169" s="341">
        <f t="shared" ca="1" si="210"/>
        <v>80</v>
      </c>
    </row>
    <row r="170" spans="2:49" x14ac:dyDescent="0.25">
      <c r="C170" t="s">
        <v>375</v>
      </c>
      <c r="E170" s="65">
        <v>100</v>
      </c>
      <c r="F170" s="65">
        <v>100</v>
      </c>
      <c r="G170" s="65">
        <v>100</v>
      </c>
      <c r="H170" s="65">
        <v>100</v>
      </c>
      <c r="I170" s="65">
        <v>100</v>
      </c>
      <c r="J170" s="65">
        <v>100</v>
      </c>
      <c r="K170" s="65">
        <v>100</v>
      </c>
      <c r="L170" s="65">
        <v>100</v>
      </c>
      <c r="M170" s="65">
        <v>100</v>
      </c>
      <c r="N170" s="65">
        <v>100</v>
      </c>
      <c r="O170" s="65">
        <v>100</v>
      </c>
      <c r="P170" s="67">
        <v>100</v>
      </c>
      <c r="Q170" s="65">
        <v>80</v>
      </c>
      <c r="R170" s="65">
        <v>80</v>
      </c>
      <c r="S170" s="65">
        <v>80</v>
      </c>
      <c r="T170" s="65">
        <v>80</v>
      </c>
      <c r="U170" s="65">
        <v>80</v>
      </c>
      <c r="V170" s="65">
        <v>80</v>
      </c>
      <c r="W170" s="65">
        <v>80</v>
      </c>
      <c r="X170" s="65">
        <v>80</v>
      </c>
      <c r="Y170" s="65">
        <v>80</v>
      </c>
      <c r="Z170" s="65">
        <v>80</v>
      </c>
      <c r="AA170" s="65">
        <v>80</v>
      </c>
      <c r="AB170" s="65">
        <v>80</v>
      </c>
      <c r="AC170" s="65">
        <v>80</v>
      </c>
      <c r="AD170" s="65">
        <v>80</v>
      </c>
      <c r="AE170" s="65">
        <v>80</v>
      </c>
      <c r="AF170" s="65">
        <v>80</v>
      </c>
      <c r="AG170" s="65">
        <v>80</v>
      </c>
      <c r="AH170" s="65">
        <v>80</v>
      </c>
      <c r="AJ170" s="341" cm="1">
        <f t="array" aca="1" ref="AJ170" ca="1">INDEX($E170:$AH170,1,MATCH(AJ$3&amp;AJ$4&amp;AJ$5&amp;AJ$6,$E$3:$AH$3&amp;$E$4:$AH$4&amp;$E$5:$AH$5&amp;$E$6:$AH$6,1))</f>
        <v>100</v>
      </c>
      <c r="AK170" s="341" cm="1">
        <f t="array" aca="1" ref="AK170" ca="1">INDEX($E170:$AH170,1,MATCH(AK$3&amp;AK$4&amp;AK$5&amp;AK$6,$E$3:$AH$3&amp;$E$4:$AH$4&amp;$E$5:$AH$5&amp;$E$6:$AH$6,1))</f>
        <v>100</v>
      </c>
      <c r="AL170" s="341" cm="1">
        <f t="array" aca="1" ref="AL170" ca="1">INDEX($E170:$AH170,1,MATCH(AL$3&amp;AL$4&amp;AL$5&amp;AL$6,$E$3:$AH$3&amp;$E$4:$AH$4&amp;$E$5:$AH$5&amp;$E$6:$AH$6,1))</f>
        <v>100</v>
      </c>
      <c r="AM170" s="343" cm="1">
        <f t="array" aca="1" ref="AM170" ca="1">INDEX($E170:$AH170,1,MATCH(AM$3&amp;AM$4&amp;AM$5&amp;AM$6,$E$3:$AH$3&amp;$E$4:$AH$4&amp;$E$5:$AH$5&amp;$E$6:$AH$6,1))</f>
        <v>100</v>
      </c>
      <c r="AN170" s="341" cm="1">
        <f t="array" aca="1" ref="AN170" ca="1">INDEX($E170:$AH170,1,MATCH(AN$3&amp;AN$4&amp;AN$5&amp;AN$6,$E$3:$AH$3&amp;$E$4:$AH$4&amp;$E$5:$AH$5&amp;$E$6:$AH$6,1))</f>
        <v>80</v>
      </c>
      <c r="AO170" s="341" cm="1">
        <f t="array" aca="1" ref="AO170" ca="1">INDEX($E170:$AH170,1,MATCH(AO$3&amp;AO$4&amp;AO$5&amp;AO$6,$E$3:$AH$3&amp;$E$4:$AH$4&amp;$E$5:$AH$5&amp;$E$6:$AH$6,1))</f>
        <v>80</v>
      </c>
      <c r="AP170" s="341" cm="1">
        <f t="array" aca="1" ref="AP170" ca="1">INDEX($E170:$AH170,1,MATCH(AP$3&amp;AP$4&amp;AP$5&amp;AP$6,$E$3:$AH$3&amp;$E$4:$AH$4&amp;$E$5:$AH$5&amp;$E$6:$AH$6,1))</f>
        <v>80</v>
      </c>
      <c r="AQ170" s="341" cm="1">
        <f t="array" aca="1" ref="AQ170" ca="1">INDEX($E170:$AH170,1,MATCH(AQ$3&amp;AQ$4&amp;AQ$5&amp;AQ$6,$E$3:$AH$3&amp;$E$4:$AH$4&amp;$E$5:$AH$5&amp;$E$6:$AH$6,1))</f>
        <v>80</v>
      </c>
      <c r="AR170" s="341" cm="1">
        <f t="array" aca="1" ref="AR170" ca="1">INDEX($E170:$AH170,1,MATCH(AR$3&amp;AR$4&amp;AR$5&amp;AR$6,$E$3:$AH$3&amp;$E$4:$AH$4&amp;$E$5:$AH$5&amp;$E$6:$AH$6,1))</f>
        <v>80</v>
      </c>
      <c r="AS170" s="341" cm="1">
        <f t="array" aca="1" ref="AS170" ca="1">INDEX($E170:$AH170,1,MATCH(AS$3&amp;AS$4&amp;AS$5&amp;AS$6,$E$3:$AH$3&amp;$E$4:$AH$4&amp;$E$5:$AH$5&amp;$E$6:$AH$6,1))</f>
        <v>80</v>
      </c>
      <c r="AT170" s="13"/>
      <c r="AU170" s="341">
        <f t="shared" ca="1" si="210"/>
        <v>100</v>
      </c>
      <c r="AV170" s="341">
        <f t="shared" ca="1" si="210"/>
        <v>80</v>
      </c>
      <c r="AW170" s="341">
        <f t="shared" ca="1" si="210"/>
        <v>80</v>
      </c>
    </row>
    <row r="171" spans="2:49" x14ac:dyDescent="0.25">
      <c r="C171" t="s">
        <v>376</v>
      </c>
      <c r="E171" s="65">
        <v>50</v>
      </c>
      <c r="F171" s="65">
        <v>50</v>
      </c>
      <c r="G171" s="65">
        <v>50</v>
      </c>
      <c r="H171" s="65">
        <v>50</v>
      </c>
      <c r="I171" s="65">
        <v>50</v>
      </c>
      <c r="J171" s="65">
        <v>50</v>
      </c>
      <c r="K171" s="65">
        <v>50</v>
      </c>
      <c r="L171" s="65">
        <v>50</v>
      </c>
      <c r="M171" s="65">
        <v>50</v>
      </c>
      <c r="N171" s="65">
        <v>50</v>
      </c>
      <c r="O171" s="65">
        <v>50</v>
      </c>
      <c r="P171" s="67">
        <v>50</v>
      </c>
      <c r="Q171" s="65">
        <v>30</v>
      </c>
      <c r="R171" s="65">
        <v>30</v>
      </c>
      <c r="S171" s="65">
        <v>30</v>
      </c>
      <c r="T171" s="65">
        <v>30</v>
      </c>
      <c r="U171" s="65">
        <v>30</v>
      </c>
      <c r="V171" s="65">
        <v>30</v>
      </c>
      <c r="W171" s="65">
        <v>30</v>
      </c>
      <c r="X171" s="65">
        <v>30</v>
      </c>
      <c r="Y171" s="65">
        <v>30</v>
      </c>
      <c r="Z171" s="65">
        <v>30</v>
      </c>
      <c r="AA171" s="65">
        <v>30</v>
      </c>
      <c r="AB171" s="65">
        <v>30</v>
      </c>
      <c r="AC171" s="65">
        <v>30</v>
      </c>
      <c r="AD171" s="65">
        <v>30</v>
      </c>
      <c r="AE171" s="65">
        <v>30</v>
      </c>
      <c r="AF171" s="65">
        <v>30</v>
      </c>
      <c r="AG171" s="65">
        <v>30</v>
      </c>
      <c r="AH171" s="65">
        <v>30</v>
      </c>
      <c r="AJ171" s="341" cm="1">
        <f t="array" aca="1" ref="AJ171" ca="1">INDEX($E171:$AH171,1,MATCH(AJ$3&amp;AJ$4&amp;AJ$5&amp;AJ$6,$E$3:$AH$3&amp;$E$4:$AH$4&amp;$E$5:$AH$5&amp;$E$6:$AH$6,1))</f>
        <v>50</v>
      </c>
      <c r="AK171" s="341" cm="1">
        <f t="array" aca="1" ref="AK171" ca="1">INDEX($E171:$AH171,1,MATCH(AK$3&amp;AK$4&amp;AK$5&amp;AK$6,$E$3:$AH$3&amp;$E$4:$AH$4&amp;$E$5:$AH$5&amp;$E$6:$AH$6,1))</f>
        <v>50</v>
      </c>
      <c r="AL171" s="341" cm="1">
        <f t="array" aca="1" ref="AL171" ca="1">INDEX($E171:$AH171,1,MATCH(AL$3&amp;AL$4&amp;AL$5&amp;AL$6,$E$3:$AH$3&amp;$E$4:$AH$4&amp;$E$5:$AH$5&amp;$E$6:$AH$6,1))</f>
        <v>50</v>
      </c>
      <c r="AM171" s="343" cm="1">
        <f t="array" aca="1" ref="AM171" ca="1">INDEX($E171:$AH171,1,MATCH(AM$3&amp;AM$4&amp;AM$5&amp;AM$6,$E$3:$AH$3&amp;$E$4:$AH$4&amp;$E$5:$AH$5&amp;$E$6:$AH$6,1))</f>
        <v>50</v>
      </c>
      <c r="AN171" s="341" cm="1">
        <f t="array" aca="1" ref="AN171" ca="1">INDEX($E171:$AH171,1,MATCH(AN$3&amp;AN$4&amp;AN$5&amp;AN$6,$E$3:$AH$3&amp;$E$4:$AH$4&amp;$E$5:$AH$5&amp;$E$6:$AH$6,1))</f>
        <v>30</v>
      </c>
      <c r="AO171" s="341" cm="1">
        <f t="array" aca="1" ref="AO171" ca="1">INDEX($E171:$AH171,1,MATCH(AO$3&amp;AO$4&amp;AO$5&amp;AO$6,$E$3:$AH$3&amp;$E$4:$AH$4&amp;$E$5:$AH$5&amp;$E$6:$AH$6,1))</f>
        <v>30</v>
      </c>
      <c r="AP171" s="341" cm="1">
        <f t="array" aca="1" ref="AP171" ca="1">INDEX($E171:$AH171,1,MATCH(AP$3&amp;AP$4&amp;AP$5&amp;AP$6,$E$3:$AH$3&amp;$E$4:$AH$4&amp;$E$5:$AH$5&amp;$E$6:$AH$6,1))</f>
        <v>30</v>
      </c>
      <c r="AQ171" s="341" cm="1">
        <f t="array" aca="1" ref="AQ171" ca="1">INDEX($E171:$AH171,1,MATCH(AQ$3&amp;AQ$4&amp;AQ$5&amp;AQ$6,$E$3:$AH$3&amp;$E$4:$AH$4&amp;$E$5:$AH$5&amp;$E$6:$AH$6,1))</f>
        <v>30</v>
      </c>
      <c r="AR171" s="341" cm="1">
        <f t="array" aca="1" ref="AR171" ca="1">INDEX($E171:$AH171,1,MATCH(AR$3&amp;AR$4&amp;AR$5&amp;AR$6,$E$3:$AH$3&amp;$E$4:$AH$4&amp;$E$5:$AH$5&amp;$E$6:$AH$6,1))</f>
        <v>30</v>
      </c>
      <c r="AS171" s="341" cm="1">
        <f t="array" aca="1" ref="AS171" ca="1">INDEX($E171:$AH171,1,MATCH(AS$3&amp;AS$4&amp;AS$5&amp;AS$6,$E$3:$AH$3&amp;$E$4:$AH$4&amp;$E$5:$AH$5&amp;$E$6:$AH$6,1))</f>
        <v>30</v>
      </c>
      <c r="AT171" s="13"/>
      <c r="AU171" s="341">
        <f t="shared" ca="1" si="210"/>
        <v>50</v>
      </c>
      <c r="AV171" s="341">
        <f t="shared" ca="1" si="210"/>
        <v>30</v>
      </c>
      <c r="AW171" s="341">
        <f t="shared" ca="1" si="210"/>
        <v>30</v>
      </c>
    </row>
    <row r="172" spans="2:49" x14ac:dyDescent="0.25">
      <c r="C172" s="27" t="s">
        <v>377</v>
      </c>
      <c r="D172" s="27"/>
      <c r="E172" s="68">
        <v>75</v>
      </c>
      <c r="F172" s="68">
        <v>75</v>
      </c>
      <c r="G172" s="68">
        <v>75</v>
      </c>
      <c r="H172" s="68">
        <v>75</v>
      </c>
      <c r="I172" s="68">
        <v>75</v>
      </c>
      <c r="J172" s="68">
        <v>75</v>
      </c>
      <c r="K172" s="68">
        <v>75</v>
      </c>
      <c r="L172" s="68">
        <v>75</v>
      </c>
      <c r="M172" s="68">
        <v>75</v>
      </c>
      <c r="N172" s="68">
        <v>75</v>
      </c>
      <c r="O172" s="68">
        <v>75</v>
      </c>
      <c r="P172" s="69">
        <v>75</v>
      </c>
      <c r="Q172" s="68">
        <v>70</v>
      </c>
      <c r="R172" s="68">
        <v>70</v>
      </c>
      <c r="S172" s="68">
        <v>70</v>
      </c>
      <c r="T172" s="68">
        <v>70</v>
      </c>
      <c r="U172" s="68">
        <v>70</v>
      </c>
      <c r="V172" s="68">
        <v>70</v>
      </c>
      <c r="W172" s="68">
        <v>70</v>
      </c>
      <c r="X172" s="68">
        <v>70</v>
      </c>
      <c r="Y172" s="68">
        <v>70</v>
      </c>
      <c r="Z172" s="68">
        <v>70</v>
      </c>
      <c r="AA172" s="68">
        <v>70</v>
      </c>
      <c r="AB172" s="68">
        <v>70</v>
      </c>
      <c r="AC172" s="68">
        <v>70</v>
      </c>
      <c r="AD172" s="68">
        <v>70</v>
      </c>
      <c r="AE172" s="68">
        <v>70</v>
      </c>
      <c r="AF172" s="68">
        <v>70</v>
      </c>
      <c r="AG172" s="68">
        <v>70</v>
      </c>
      <c r="AH172" s="68">
        <v>70</v>
      </c>
      <c r="AJ172" s="342" cm="1">
        <f t="array" aca="1" ref="AJ172" ca="1">INDEX($E172:$AH172,1,MATCH(AJ$3&amp;AJ$4&amp;AJ$5&amp;AJ$6,$E$3:$AH$3&amp;$E$4:$AH$4&amp;$E$5:$AH$5&amp;$E$6:$AH$6,1))</f>
        <v>75</v>
      </c>
      <c r="AK172" s="342" cm="1">
        <f t="array" aca="1" ref="AK172" ca="1">INDEX($E172:$AH172,1,MATCH(AK$3&amp;AK$4&amp;AK$5&amp;AK$6,$E$3:$AH$3&amp;$E$4:$AH$4&amp;$E$5:$AH$5&amp;$E$6:$AH$6,1))</f>
        <v>75</v>
      </c>
      <c r="AL172" s="342" cm="1">
        <f t="array" aca="1" ref="AL172" ca="1">INDEX($E172:$AH172,1,MATCH(AL$3&amp;AL$4&amp;AL$5&amp;AL$6,$E$3:$AH$3&amp;$E$4:$AH$4&amp;$E$5:$AH$5&amp;$E$6:$AH$6,1))</f>
        <v>75</v>
      </c>
      <c r="AM172" s="344" cm="1">
        <f t="array" aca="1" ref="AM172" ca="1">INDEX($E172:$AH172,1,MATCH(AM$3&amp;AM$4&amp;AM$5&amp;AM$6,$E$3:$AH$3&amp;$E$4:$AH$4&amp;$E$5:$AH$5&amp;$E$6:$AH$6,1))</f>
        <v>75</v>
      </c>
      <c r="AN172" s="342" cm="1">
        <f t="array" aca="1" ref="AN172" ca="1">INDEX($E172:$AH172,1,MATCH(AN$3&amp;AN$4&amp;AN$5&amp;AN$6,$E$3:$AH$3&amp;$E$4:$AH$4&amp;$E$5:$AH$5&amp;$E$6:$AH$6,1))</f>
        <v>70</v>
      </c>
      <c r="AO172" s="342" cm="1">
        <f t="array" aca="1" ref="AO172" ca="1">INDEX($E172:$AH172,1,MATCH(AO$3&amp;AO$4&amp;AO$5&amp;AO$6,$E$3:$AH$3&amp;$E$4:$AH$4&amp;$E$5:$AH$5&amp;$E$6:$AH$6,1))</f>
        <v>70</v>
      </c>
      <c r="AP172" s="342" cm="1">
        <f t="array" aca="1" ref="AP172" ca="1">INDEX($E172:$AH172,1,MATCH(AP$3&amp;AP$4&amp;AP$5&amp;AP$6,$E$3:$AH$3&amp;$E$4:$AH$4&amp;$E$5:$AH$5&amp;$E$6:$AH$6,1))</f>
        <v>70</v>
      </c>
      <c r="AQ172" s="342" cm="1">
        <f t="array" aca="1" ref="AQ172" ca="1">INDEX($E172:$AH172,1,MATCH(AQ$3&amp;AQ$4&amp;AQ$5&amp;AQ$6,$E$3:$AH$3&amp;$E$4:$AH$4&amp;$E$5:$AH$5&amp;$E$6:$AH$6,1))</f>
        <v>70</v>
      </c>
      <c r="AR172" s="342" cm="1">
        <f t="array" aca="1" ref="AR172" ca="1">INDEX($E172:$AH172,1,MATCH(AR$3&amp;AR$4&amp;AR$5&amp;AR$6,$E$3:$AH$3&amp;$E$4:$AH$4&amp;$E$5:$AH$5&amp;$E$6:$AH$6,1))</f>
        <v>70</v>
      </c>
      <c r="AS172" s="342" cm="1">
        <f t="array" aca="1" ref="AS172" ca="1">INDEX($E172:$AH172,1,MATCH(AS$3&amp;AS$4&amp;AS$5&amp;AS$6,$E$3:$AH$3&amp;$E$4:$AH$4&amp;$E$5:$AH$5&amp;$E$6:$AH$6,1))</f>
        <v>70</v>
      </c>
      <c r="AT172" s="13"/>
      <c r="AU172" s="342">
        <f t="shared" ca="1" si="210"/>
        <v>75</v>
      </c>
      <c r="AV172" s="342">
        <f t="shared" ca="1" si="210"/>
        <v>70</v>
      </c>
      <c r="AW172" s="342">
        <f t="shared" ca="1" si="210"/>
        <v>70</v>
      </c>
    </row>
    <row r="173" spans="2:49" x14ac:dyDescent="0.25">
      <c r="B173" t="s">
        <v>231</v>
      </c>
      <c r="C173" s="11" t="str">
        <f>"Total "&amp;MID(C168,1,LEN(C168)-LEN(" Department"))&amp;" Headcount"</f>
        <v>Total Legal Headcount</v>
      </c>
      <c r="D173" s="11"/>
      <c r="E173" s="83">
        <f>SUM(E169:E172)</f>
        <v>325</v>
      </c>
      <c r="F173" s="83">
        <f t="shared" ref="F173:AW173" si="211">SUM(F169:F172)</f>
        <v>325</v>
      </c>
      <c r="G173" s="83">
        <f t="shared" si="211"/>
        <v>325</v>
      </c>
      <c r="H173" s="83">
        <f t="shared" si="211"/>
        <v>325</v>
      </c>
      <c r="I173" s="83">
        <f t="shared" si="211"/>
        <v>325</v>
      </c>
      <c r="J173" s="83">
        <f t="shared" si="211"/>
        <v>325</v>
      </c>
      <c r="K173" s="83">
        <f t="shared" si="211"/>
        <v>325</v>
      </c>
      <c r="L173" s="83">
        <f t="shared" si="211"/>
        <v>325</v>
      </c>
      <c r="M173" s="83">
        <f t="shared" si="211"/>
        <v>325</v>
      </c>
      <c r="N173" s="83">
        <f t="shared" si="211"/>
        <v>325</v>
      </c>
      <c r="O173" s="83">
        <f t="shared" si="211"/>
        <v>325</v>
      </c>
      <c r="P173" s="158">
        <f t="shared" si="211"/>
        <v>325</v>
      </c>
      <c r="Q173" s="83">
        <f t="shared" si="211"/>
        <v>260</v>
      </c>
      <c r="R173" s="83">
        <f t="shared" si="211"/>
        <v>260</v>
      </c>
      <c r="S173" s="83">
        <f t="shared" si="211"/>
        <v>260</v>
      </c>
      <c r="T173" s="83">
        <f t="shared" si="211"/>
        <v>260</v>
      </c>
      <c r="U173" s="83">
        <f t="shared" si="211"/>
        <v>260</v>
      </c>
      <c r="V173" s="83">
        <f t="shared" si="211"/>
        <v>260</v>
      </c>
      <c r="W173" s="83">
        <f t="shared" si="211"/>
        <v>260</v>
      </c>
      <c r="X173" s="83">
        <f t="shared" si="211"/>
        <v>260</v>
      </c>
      <c r="Y173" s="83">
        <f t="shared" si="211"/>
        <v>260</v>
      </c>
      <c r="Z173" s="83">
        <f t="shared" si="211"/>
        <v>260</v>
      </c>
      <c r="AA173" s="83">
        <f t="shared" si="211"/>
        <v>260</v>
      </c>
      <c r="AB173" s="83">
        <f t="shared" si="211"/>
        <v>260</v>
      </c>
      <c r="AC173" s="83">
        <f t="shared" si="211"/>
        <v>260</v>
      </c>
      <c r="AD173" s="83">
        <f t="shared" si="211"/>
        <v>260</v>
      </c>
      <c r="AE173" s="83">
        <f t="shared" si="211"/>
        <v>260</v>
      </c>
      <c r="AF173" s="83">
        <f t="shared" si="211"/>
        <v>260</v>
      </c>
      <c r="AG173" s="83">
        <f t="shared" si="211"/>
        <v>260</v>
      </c>
      <c r="AH173" s="83">
        <f t="shared" si="211"/>
        <v>260</v>
      </c>
      <c r="AJ173" s="83">
        <f t="shared" ca="1" si="211"/>
        <v>325</v>
      </c>
      <c r="AK173" s="83">
        <f t="shared" ca="1" si="211"/>
        <v>325</v>
      </c>
      <c r="AL173" s="83">
        <f t="shared" ca="1" si="211"/>
        <v>325</v>
      </c>
      <c r="AM173" s="158">
        <f t="shared" ca="1" si="211"/>
        <v>325</v>
      </c>
      <c r="AN173" s="83">
        <f t="shared" ca="1" si="211"/>
        <v>260</v>
      </c>
      <c r="AO173" s="83">
        <f t="shared" ca="1" si="211"/>
        <v>260</v>
      </c>
      <c r="AP173" s="83">
        <f t="shared" ca="1" si="211"/>
        <v>260</v>
      </c>
      <c r="AQ173" s="83">
        <f t="shared" ca="1" si="211"/>
        <v>260</v>
      </c>
      <c r="AR173" s="83">
        <f t="shared" ca="1" si="211"/>
        <v>260</v>
      </c>
      <c r="AS173" s="83">
        <f t="shared" ca="1" si="211"/>
        <v>260</v>
      </c>
      <c r="AT173" s="13"/>
      <c r="AU173" s="83">
        <f t="shared" ca="1" si="211"/>
        <v>325</v>
      </c>
      <c r="AV173" s="83">
        <f t="shared" ca="1" si="211"/>
        <v>260</v>
      </c>
      <c r="AW173" s="83">
        <f t="shared" ca="1" si="211"/>
        <v>260</v>
      </c>
    </row>
    <row r="174" spans="2:49" x14ac:dyDescent="0.25">
      <c r="P174" s="8"/>
      <c r="AM174" s="8"/>
      <c r="AT174" s="13"/>
    </row>
    <row r="175" spans="2:49" x14ac:dyDescent="0.25">
      <c r="C175" s="30" t="s">
        <v>329</v>
      </c>
      <c r="D175" s="30"/>
      <c r="E175" s="45" t="str">
        <f t="shared" ref="E175:AH175" si="212">E$9</f>
        <v>Jul-20A</v>
      </c>
      <c r="F175" s="45" t="str">
        <f t="shared" si="212"/>
        <v>Aug-20A</v>
      </c>
      <c r="G175" s="45" t="str">
        <f t="shared" si="212"/>
        <v>Sep-20A</v>
      </c>
      <c r="H175" s="45" t="str">
        <f t="shared" si="212"/>
        <v>Oct-20A</v>
      </c>
      <c r="I175" s="45" t="str">
        <f t="shared" si="212"/>
        <v>Nov-20A</v>
      </c>
      <c r="J175" s="45" t="str">
        <f t="shared" si="212"/>
        <v>Dec-20A</v>
      </c>
      <c r="K175" s="45" t="str">
        <f t="shared" si="212"/>
        <v>Jan-21A</v>
      </c>
      <c r="L175" s="45" t="str">
        <f t="shared" si="212"/>
        <v>Feb-21A</v>
      </c>
      <c r="M175" s="45" t="str">
        <f t="shared" si="212"/>
        <v>Mar-21A</v>
      </c>
      <c r="N175" s="45" t="str">
        <f t="shared" si="212"/>
        <v>Apr-21A</v>
      </c>
      <c r="O175" s="45" t="str">
        <f t="shared" si="212"/>
        <v>May-21A</v>
      </c>
      <c r="P175" s="46" t="str">
        <f t="shared" si="212"/>
        <v>Jun-21A</v>
      </c>
      <c r="Q175" s="45" t="str">
        <f t="shared" si="212"/>
        <v>Jul-21F</v>
      </c>
      <c r="R175" s="45" t="str">
        <f t="shared" si="212"/>
        <v>Aug-21F</v>
      </c>
      <c r="S175" s="45" t="str">
        <f t="shared" si="212"/>
        <v>Sep-21F</v>
      </c>
      <c r="T175" s="45" t="str">
        <f t="shared" si="212"/>
        <v>Oct-21F</v>
      </c>
      <c r="U175" s="45" t="str">
        <f t="shared" si="212"/>
        <v>Nov-21F</v>
      </c>
      <c r="V175" s="45" t="str">
        <f t="shared" si="212"/>
        <v>Dec-21F</v>
      </c>
      <c r="W175" s="45" t="str">
        <f t="shared" si="212"/>
        <v>Jan-22F</v>
      </c>
      <c r="X175" s="45" t="str">
        <f t="shared" si="212"/>
        <v>Feb-22F</v>
      </c>
      <c r="Y175" s="45" t="str">
        <f t="shared" si="212"/>
        <v>Mar-22F</v>
      </c>
      <c r="Z175" s="45" t="str">
        <f t="shared" si="212"/>
        <v>Apr-22F</v>
      </c>
      <c r="AA175" s="45" t="str">
        <f t="shared" si="212"/>
        <v>May-22F</v>
      </c>
      <c r="AB175" s="45" t="str">
        <f t="shared" si="212"/>
        <v>Jun-22F</v>
      </c>
      <c r="AC175" s="45" t="str">
        <f t="shared" si="212"/>
        <v>Jul-22F</v>
      </c>
      <c r="AD175" s="45" t="str">
        <f t="shared" si="212"/>
        <v>Aug-22F</v>
      </c>
      <c r="AE175" s="45" t="str">
        <f t="shared" si="212"/>
        <v>Sep-22F</v>
      </c>
      <c r="AF175" s="45" t="str">
        <f t="shared" si="212"/>
        <v>Oct-22F</v>
      </c>
      <c r="AG175" s="45" t="str">
        <f t="shared" si="212"/>
        <v>Nov-22F</v>
      </c>
      <c r="AH175" s="45" t="str">
        <f t="shared" si="212"/>
        <v>Dec-22F</v>
      </c>
      <c r="AJ175" s="45" t="str">
        <f ca="1">AJ$10</f>
        <v>Q3'20A</v>
      </c>
      <c r="AK175" s="45" t="str">
        <f t="shared" ref="AK175:AW175" ca="1" si="213">AK$10</f>
        <v>Q4'20A</v>
      </c>
      <c r="AL175" s="45" t="str">
        <f t="shared" ca="1" si="213"/>
        <v>Q1'21A</v>
      </c>
      <c r="AM175" s="46" t="str">
        <f t="shared" ca="1" si="213"/>
        <v>Q2'21A</v>
      </c>
      <c r="AN175" s="45" t="str">
        <f t="shared" ca="1" si="213"/>
        <v>Q3'21F</v>
      </c>
      <c r="AO175" s="45" t="str">
        <f t="shared" ca="1" si="213"/>
        <v>Q4'21F</v>
      </c>
      <c r="AP175" s="45" t="str">
        <f t="shared" ca="1" si="213"/>
        <v>Q1'22F</v>
      </c>
      <c r="AQ175" s="45" t="str">
        <f t="shared" ca="1" si="213"/>
        <v>Q2'22F</v>
      </c>
      <c r="AR175" s="45" t="str">
        <f t="shared" ca="1" si="213"/>
        <v>Q3'22F</v>
      </c>
      <c r="AS175" s="45" t="str">
        <f t="shared" ca="1" si="213"/>
        <v>Q4'22F</v>
      </c>
      <c r="AT175" s="13"/>
      <c r="AU175" s="45" t="str">
        <f t="shared" ca="1" si="213"/>
        <v>FY20</v>
      </c>
      <c r="AV175" s="45" t="str">
        <f t="shared" ca="1" si="213"/>
        <v>FY21</v>
      </c>
      <c r="AW175" s="45" t="str">
        <f t="shared" ca="1" si="213"/>
        <v>FY22</v>
      </c>
    </row>
    <row r="176" spans="2:49" x14ac:dyDescent="0.25">
      <c r="C176" s="1" t="s">
        <v>378</v>
      </c>
      <c r="E176" s="176">
        <f t="shared" ref="E176:AH176" si="214">SUM(E23,E28,E30:E33)</f>
        <v>24375</v>
      </c>
      <c r="F176" s="176">
        <f t="shared" si="214"/>
        <v>24375</v>
      </c>
      <c r="G176" s="176">
        <f t="shared" si="214"/>
        <v>24375</v>
      </c>
      <c r="H176" s="176">
        <f t="shared" si="214"/>
        <v>24375</v>
      </c>
      <c r="I176" s="176">
        <f t="shared" si="214"/>
        <v>24375</v>
      </c>
      <c r="J176" s="176">
        <f t="shared" si="214"/>
        <v>24375</v>
      </c>
      <c r="K176" s="176">
        <f t="shared" si="214"/>
        <v>24375</v>
      </c>
      <c r="L176" s="176">
        <f t="shared" si="214"/>
        <v>24375</v>
      </c>
      <c r="M176" s="176">
        <f t="shared" si="214"/>
        <v>24375</v>
      </c>
      <c r="N176" s="176">
        <f t="shared" si="214"/>
        <v>24375</v>
      </c>
      <c r="O176" s="176">
        <f t="shared" si="214"/>
        <v>24375</v>
      </c>
      <c r="P176" s="210">
        <f t="shared" si="214"/>
        <v>24375</v>
      </c>
      <c r="Q176" s="176">
        <f t="shared" si="214"/>
        <v>25407.301899859736</v>
      </c>
      <c r="R176" s="176">
        <f t="shared" si="214"/>
        <v>25516.453101312203</v>
      </c>
      <c r="S176" s="176">
        <f t="shared" si="214"/>
        <v>26566.51869071382</v>
      </c>
      <c r="T176" s="176">
        <f t="shared" si="214"/>
        <v>26616.710255225506</v>
      </c>
      <c r="U176" s="176">
        <f t="shared" si="214"/>
        <v>26516.774755965085</v>
      </c>
      <c r="V176" s="176">
        <f t="shared" si="214"/>
        <v>26516.598718215268</v>
      </c>
      <c r="W176" s="176">
        <f t="shared" si="214"/>
        <v>26516.530627189037</v>
      </c>
      <c r="X176" s="176">
        <f t="shared" si="214"/>
        <v>26516.468320533499</v>
      </c>
      <c r="Y176" s="176">
        <f t="shared" si="214"/>
        <v>26516.42681045055</v>
      </c>
      <c r="Z176" s="176">
        <f t="shared" si="214"/>
        <v>26516.570788489131</v>
      </c>
      <c r="AA176" s="176">
        <f t="shared" si="214"/>
        <v>26516.352484728071</v>
      </c>
      <c r="AB176" s="176">
        <f t="shared" si="214"/>
        <v>26516.492951330594</v>
      </c>
      <c r="AC176" s="176">
        <f t="shared" si="214"/>
        <v>26571.672381117271</v>
      </c>
      <c r="AD176" s="176">
        <f t="shared" si="214"/>
        <v>26572.223897533058</v>
      </c>
      <c r="AE176" s="176">
        <f t="shared" si="214"/>
        <v>26572.364879419059</v>
      </c>
      <c r="AF176" s="176">
        <f t="shared" si="214"/>
        <v>26572.76131665739</v>
      </c>
      <c r="AG176" s="176">
        <f t="shared" si="214"/>
        <v>26572.896877988009</v>
      </c>
      <c r="AH176" s="176">
        <f t="shared" si="214"/>
        <v>26572.529661490989</v>
      </c>
      <c r="AJ176" s="341" cm="1">
        <f t="array" aca="1" ref="AJ176" ca="1">INDEX($E176:$AH176,1,MATCH(AJ$3&amp;AJ$4&amp;AJ$5&amp;AJ$6,$E$3:$AH$3&amp;$E$4:$AH$4&amp;$E$5:$AH$5&amp;$E$6:$AH$6,1))</f>
        <v>24375</v>
      </c>
      <c r="AK176" s="341" cm="1">
        <f t="array" aca="1" ref="AK176" ca="1">INDEX($E176:$AH176,1,MATCH(AK$3&amp;AK$4&amp;AK$5&amp;AK$6,$E$3:$AH$3&amp;$E$4:$AH$4&amp;$E$5:$AH$5&amp;$E$6:$AH$6,1))</f>
        <v>24375</v>
      </c>
      <c r="AL176" s="341" cm="1">
        <f t="array" aca="1" ref="AL176" ca="1">INDEX($E176:$AH176,1,MATCH(AL$3&amp;AL$4&amp;AL$5&amp;AL$6,$E$3:$AH$3&amp;$E$4:$AH$4&amp;$E$5:$AH$5&amp;$E$6:$AH$6,1))</f>
        <v>24375</v>
      </c>
      <c r="AM176" s="343" cm="1">
        <f t="array" aca="1" ref="AM176" ca="1">INDEX($E176:$AH176,1,MATCH(AM$3&amp;AM$4&amp;AM$5&amp;AM$6,$E$3:$AH$3&amp;$E$4:$AH$4&amp;$E$5:$AH$5&amp;$E$6:$AH$6,1))</f>
        <v>24375</v>
      </c>
      <c r="AN176" s="341" cm="1">
        <f t="array" aca="1" ref="AN176" ca="1">INDEX($E176:$AH176,1,MATCH(AN$3&amp;AN$4&amp;AN$5&amp;AN$6,$E$3:$AH$3&amp;$E$4:$AH$4&amp;$E$5:$AH$5&amp;$E$6:$AH$6,1))</f>
        <v>26566.51869071382</v>
      </c>
      <c r="AO176" s="341" cm="1">
        <f t="array" aca="1" ref="AO176" ca="1">INDEX($E176:$AH176,1,MATCH(AO$3&amp;AO$4&amp;AO$5&amp;AO$6,$E$3:$AH$3&amp;$E$4:$AH$4&amp;$E$5:$AH$5&amp;$E$6:$AH$6,1))</f>
        <v>26516.598718215268</v>
      </c>
      <c r="AP176" s="341" cm="1">
        <f t="array" aca="1" ref="AP176" ca="1">INDEX($E176:$AH176,1,MATCH(AP$3&amp;AP$4&amp;AP$5&amp;AP$6,$E$3:$AH$3&amp;$E$4:$AH$4&amp;$E$5:$AH$5&amp;$E$6:$AH$6,1))</f>
        <v>26516.42681045055</v>
      </c>
      <c r="AQ176" s="341" cm="1">
        <f t="array" aca="1" ref="AQ176" ca="1">INDEX($E176:$AH176,1,MATCH(AQ$3&amp;AQ$4&amp;AQ$5&amp;AQ$6,$E$3:$AH$3&amp;$E$4:$AH$4&amp;$E$5:$AH$5&amp;$E$6:$AH$6,1))</f>
        <v>26516.492951330594</v>
      </c>
      <c r="AR176" s="341" cm="1">
        <f t="array" aca="1" ref="AR176" ca="1">INDEX($E176:$AH176,1,MATCH(AR$3&amp;AR$4&amp;AR$5&amp;AR$6,$E$3:$AH$3&amp;$E$4:$AH$4&amp;$E$5:$AH$5&amp;$E$6:$AH$6,1))</f>
        <v>26572.364879419059</v>
      </c>
      <c r="AS176" s="341" cm="1">
        <f t="array" aca="1" ref="AS176" ca="1">INDEX($E176:$AH176,1,MATCH(AS$3&amp;AS$4&amp;AS$5&amp;AS$6,$E$3:$AH$3&amp;$E$4:$AH$4&amp;$E$5:$AH$5&amp;$E$6:$AH$6,1))</f>
        <v>26572.529661490989</v>
      </c>
      <c r="AT176" s="13"/>
      <c r="AU176" s="341">
        <f t="shared" ref="AU176:AW176" ca="1" si="215">INDEX($E176:$AH176,MATCH(AU$5,$E$5:$AH$5,1))</f>
        <v>24375</v>
      </c>
      <c r="AV176" s="341">
        <f t="shared" ca="1" si="215"/>
        <v>26516.598718215268</v>
      </c>
      <c r="AW176" s="341">
        <f t="shared" ca="1" si="215"/>
        <v>26572.529661490989</v>
      </c>
    </row>
    <row r="177" spans="1:49" x14ac:dyDescent="0.25">
      <c r="C177" s="23" t="s">
        <v>379</v>
      </c>
      <c r="D177" s="27"/>
      <c r="E177" s="125">
        <f>E176/E178</f>
        <v>32.5</v>
      </c>
      <c r="F177" s="209">
        <f t="shared" ref="F177:P177" si="216">F176/F178</f>
        <v>32.5</v>
      </c>
      <c r="G177" s="209">
        <f t="shared" si="216"/>
        <v>32.5</v>
      </c>
      <c r="H177" s="209">
        <f t="shared" si="216"/>
        <v>32.5</v>
      </c>
      <c r="I177" s="209">
        <f t="shared" si="216"/>
        <v>32.5</v>
      </c>
      <c r="J177" s="209">
        <f t="shared" si="216"/>
        <v>32.5</v>
      </c>
      <c r="K177" s="209">
        <f t="shared" si="216"/>
        <v>32.5</v>
      </c>
      <c r="L177" s="209">
        <f t="shared" si="216"/>
        <v>32.5</v>
      </c>
      <c r="M177" s="209">
        <f t="shared" si="216"/>
        <v>32.5</v>
      </c>
      <c r="N177" s="209">
        <f t="shared" si="216"/>
        <v>32.5</v>
      </c>
      <c r="O177" s="209">
        <f t="shared" si="216"/>
        <v>32.5</v>
      </c>
      <c r="P177" s="211">
        <f t="shared" si="216"/>
        <v>32.5</v>
      </c>
      <c r="Q177" s="68">
        <f>P177</f>
        <v>32.5</v>
      </c>
      <c r="R177" s="68">
        <f t="shared" ref="R177:AH177" si="217">Q177</f>
        <v>32.5</v>
      </c>
      <c r="S177" s="68">
        <f t="shared" si="217"/>
        <v>32.5</v>
      </c>
      <c r="T177" s="68">
        <f t="shared" si="217"/>
        <v>32.5</v>
      </c>
      <c r="U177" s="68">
        <f t="shared" si="217"/>
        <v>32.5</v>
      </c>
      <c r="V177" s="68">
        <f t="shared" si="217"/>
        <v>32.5</v>
      </c>
      <c r="W177" s="68">
        <f t="shared" si="217"/>
        <v>32.5</v>
      </c>
      <c r="X177" s="68">
        <f t="shared" si="217"/>
        <v>32.5</v>
      </c>
      <c r="Y177" s="68">
        <f t="shared" si="217"/>
        <v>32.5</v>
      </c>
      <c r="Z177" s="68">
        <f t="shared" si="217"/>
        <v>32.5</v>
      </c>
      <c r="AA177" s="68">
        <f t="shared" si="217"/>
        <v>32.5</v>
      </c>
      <c r="AB177" s="68">
        <f t="shared" si="217"/>
        <v>32.5</v>
      </c>
      <c r="AC177" s="68">
        <f t="shared" si="217"/>
        <v>32.5</v>
      </c>
      <c r="AD177" s="68">
        <f t="shared" si="217"/>
        <v>32.5</v>
      </c>
      <c r="AE177" s="68">
        <f t="shared" si="217"/>
        <v>32.5</v>
      </c>
      <c r="AF177" s="68">
        <f t="shared" si="217"/>
        <v>32.5</v>
      </c>
      <c r="AG177" s="68">
        <f t="shared" si="217"/>
        <v>32.5</v>
      </c>
      <c r="AH177" s="68">
        <f t="shared" si="217"/>
        <v>32.5</v>
      </c>
      <c r="AJ177" s="209">
        <f t="shared" ref="AJ177:AW177" ca="1" si="218">AJ176/AJ178</f>
        <v>32.5</v>
      </c>
      <c r="AK177" s="209">
        <f t="shared" ca="1" si="218"/>
        <v>32.5</v>
      </c>
      <c r="AL177" s="209">
        <f t="shared" ca="1" si="218"/>
        <v>32.5</v>
      </c>
      <c r="AM177" s="211">
        <f t="shared" ca="1" si="218"/>
        <v>32.5</v>
      </c>
      <c r="AN177" s="209">
        <f t="shared" ca="1" si="218"/>
        <v>32.5</v>
      </c>
      <c r="AO177" s="209">
        <f t="shared" ca="1" si="218"/>
        <v>32.5</v>
      </c>
      <c r="AP177" s="209">
        <f t="shared" ca="1" si="218"/>
        <v>32.5</v>
      </c>
      <c r="AQ177" s="209">
        <f t="shared" ca="1" si="218"/>
        <v>32.5</v>
      </c>
      <c r="AR177" s="209">
        <f t="shared" ca="1" si="218"/>
        <v>32.5</v>
      </c>
      <c r="AS177" s="209">
        <f t="shared" ca="1" si="218"/>
        <v>32.5</v>
      </c>
      <c r="AT177" s="13"/>
      <c r="AU177" s="209">
        <f t="shared" ca="1" si="218"/>
        <v>32.5</v>
      </c>
      <c r="AV177" s="209">
        <f t="shared" ca="1" si="218"/>
        <v>32.5</v>
      </c>
      <c r="AW177" s="209">
        <f t="shared" ca="1" si="218"/>
        <v>32.5</v>
      </c>
    </row>
    <row r="178" spans="1:49" x14ac:dyDescent="0.25">
      <c r="C178" t="s">
        <v>384</v>
      </c>
      <c r="E178" s="65">
        <v>750</v>
      </c>
      <c r="F178" s="65">
        <v>750</v>
      </c>
      <c r="G178" s="65">
        <v>750</v>
      </c>
      <c r="H178" s="65">
        <v>750</v>
      </c>
      <c r="I178" s="65">
        <v>750</v>
      </c>
      <c r="J178" s="65">
        <v>750</v>
      </c>
      <c r="K178" s="65">
        <v>750</v>
      </c>
      <c r="L178" s="65">
        <v>750</v>
      </c>
      <c r="M178" s="65">
        <v>750</v>
      </c>
      <c r="N178" s="65">
        <v>750</v>
      </c>
      <c r="O178" s="65">
        <v>750</v>
      </c>
      <c r="P178" s="67">
        <v>750</v>
      </c>
      <c r="Q178" s="83">
        <f>Q176/Q177</f>
        <v>781.76313538029956</v>
      </c>
      <c r="R178" s="83">
        <f t="shared" ref="R178:AH178" si="219">R176/R177</f>
        <v>785.12163388652937</v>
      </c>
      <c r="S178" s="83">
        <f t="shared" si="219"/>
        <v>817.43134432965599</v>
      </c>
      <c r="T178" s="83">
        <f t="shared" si="219"/>
        <v>818.97570016078475</v>
      </c>
      <c r="U178" s="83">
        <f t="shared" si="219"/>
        <v>815.90076172200258</v>
      </c>
      <c r="V178" s="83">
        <f t="shared" si="219"/>
        <v>815.89534517585435</v>
      </c>
      <c r="W178" s="83">
        <f t="shared" si="219"/>
        <v>815.89325006735498</v>
      </c>
      <c r="X178" s="83">
        <f t="shared" si="219"/>
        <v>815.89133293949226</v>
      </c>
      <c r="Y178" s="83">
        <f t="shared" si="219"/>
        <v>815.89005570617076</v>
      </c>
      <c r="Z178" s="83">
        <f t="shared" si="219"/>
        <v>815.89448579966552</v>
      </c>
      <c r="AA178" s="83">
        <f t="shared" si="219"/>
        <v>815.88776876086376</v>
      </c>
      <c r="AB178" s="83">
        <f t="shared" si="219"/>
        <v>815.89209081017214</v>
      </c>
      <c r="AC178" s="83">
        <f t="shared" si="219"/>
        <v>817.58991941899296</v>
      </c>
      <c r="AD178" s="83">
        <f t="shared" si="219"/>
        <v>817.60688915486332</v>
      </c>
      <c r="AE178" s="83">
        <f t="shared" si="219"/>
        <v>817.61122705904802</v>
      </c>
      <c r="AF178" s="83">
        <f t="shared" si="219"/>
        <v>817.62342512791975</v>
      </c>
      <c r="AG178" s="83">
        <f t="shared" si="219"/>
        <v>817.62759624578484</v>
      </c>
      <c r="AH178" s="83">
        <f t="shared" si="219"/>
        <v>817.61629727664581</v>
      </c>
      <c r="AJ178" s="341" cm="1">
        <f t="array" aca="1" ref="AJ178" ca="1">INDEX($E178:$AH178,1,MATCH(AJ$3&amp;AJ$4&amp;AJ$5&amp;AJ$6,$E$3:$AH$3&amp;$E$4:$AH$4&amp;$E$5:$AH$5&amp;$E$6:$AH$6,1))</f>
        <v>750</v>
      </c>
      <c r="AK178" s="341" cm="1">
        <f t="array" aca="1" ref="AK178" ca="1">INDEX($E178:$AH178,1,MATCH(AK$3&amp;AK$4&amp;AK$5&amp;AK$6,$E$3:$AH$3&amp;$E$4:$AH$4&amp;$E$5:$AH$5&amp;$E$6:$AH$6,1))</f>
        <v>750</v>
      </c>
      <c r="AL178" s="341" cm="1">
        <f t="array" aca="1" ref="AL178" ca="1">INDEX($E178:$AH178,1,MATCH(AL$3&amp;AL$4&amp;AL$5&amp;AL$6,$E$3:$AH$3&amp;$E$4:$AH$4&amp;$E$5:$AH$5&amp;$E$6:$AH$6,1))</f>
        <v>750</v>
      </c>
      <c r="AM178" s="343" cm="1">
        <f t="array" aca="1" ref="AM178" ca="1">INDEX($E178:$AH178,1,MATCH(AM$3&amp;AM$4&amp;AM$5&amp;AM$6,$E$3:$AH$3&amp;$E$4:$AH$4&amp;$E$5:$AH$5&amp;$E$6:$AH$6,1))</f>
        <v>750</v>
      </c>
      <c r="AN178" s="341" cm="1">
        <f t="array" aca="1" ref="AN178" ca="1">INDEX($E178:$AH178,1,MATCH(AN$3&amp;AN$4&amp;AN$5&amp;AN$6,$E$3:$AH$3&amp;$E$4:$AH$4&amp;$E$5:$AH$5&amp;$E$6:$AH$6,1))</f>
        <v>817.43134432965599</v>
      </c>
      <c r="AO178" s="341" cm="1">
        <f t="array" aca="1" ref="AO178" ca="1">INDEX($E178:$AH178,1,MATCH(AO$3&amp;AO$4&amp;AO$5&amp;AO$6,$E$3:$AH$3&amp;$E$4:$AH$4&amp;$E$5:$AH$5&amp;$E$6:$AH$6,1))</f>
        <v>815.89534517585435</v>
      </c>
      <c r="AP178" s="341" cm="1">
        <f t="array" aca="1" ref="AP178" ca="1">INDEX($E178:$AH178,1,MATCH(AP$3&amp;AP$4&amp;AP$5&amp;AP$6,$E$3:$AH$3&amp;$E$4:$AH$4&amp;$E$5:$AH$5&amp;$E$6:$AH$6,1))</f>
        <v>815.89005570617076</v>
      </c>
      <c r="AQ178" s="341" cm="1">
        <f t="array" aca="1" ref="AQ178" ca="1">INDEX($E178:$AH178,1,MATCH(AQ$3&amp;AQ$4&amp;AQ$5&amp;AQ$6,$E$3:$AH$3&amp;$E$4:$AH$4&amp;$E$5:$AH$5&amp;$E$6:$AH$6,1))</f>
        <v>815.89209081017214</v>
      </c>
      <c r="AR178" s="341" cm="1">
        <f t="array" aca="1" ref="AR178" ca="1">INDEX($E178:$AH178,1,MATCH(AR$3&amp;AR$4&amp;AR$5&amp;AR$6,$E$3:$AH$3&amp;$E$4:$AH$4&amp;$E$5:$AH$5&amp;$E$6:$AH$6,1))</f>
        <v>817.61122705904802</v>
      </c>
      <c r="AS178" s="341" cm="1">
        <f t="array" aca="1" ref="AS178" ca="1">INDEX($E178:$AH178,1,MATCH(AS$3&amp;AS$4&amp;AS$5&amp;AS$6,$E$3:$AH$3&amp;$E$4:$AH$4&amp;$E$5:$AH$5&amp;$E$6:$AH$6,1))</f>
        <v>817.61629727664581</v>
      </c>
      <c r="AT178" s="13"/>
      <c r="AU178" s="341">
        <f t="shared" ref="AU178:AW178" ca="1" si="220">INDEX($E178:$AH178,MATCH(AU$5,$E$5:$AH$5,1))</f>
        <v>750</v>
      </c>
      <c r="AV178" s="341">
        <f t="shared" ca="1" si="220"/>
        <v>815.89534517585435</v>
      </c>
      <c r="AW178" s="341">
        <f t="shared" ca="1" si="220"/>
        <v>817.61629727664581</v>
      </c>
    </row>
    <row r="179" spans="1:49" x14ac:dyDescent="0.25">
      <c r="P179" s="8"/>
      <c r="AM179" s="8"/>
      <c r="AT179" s="13"/>
    </row>
    <row r="180" spans="1:49" x14ac:dyDescent="0.25">
      <c r="C180" s="1" t="s">
        <v>378</v>
      </c>
      <c r="E180" s="176">
        <f t="shared" ref="E180:AH180" si="221">SUM(E23,E28,E30:E33)</f>
        <v>24375</v>
      </c>
      <c r="F180" s="176">
        <f t="shared" si="221"/>
        <v>24375</v>
      </c>
      <c r="G180" s="176">
        <f t="shared" si="221"/>
        <v>24375</v>
      </c>
      <c r="H180" s="176">
        <f t="shared" si="221"/>
        <v>24375</v>
      </c>
      <c r="I180" s="176">
        <f t="shared" si="221"/>
        <v>24375</v>
      </c>
      <c r="J180" s="176">
        <f t="shared" si="221"/>
        <v>24375</v>
      </c>
      <c r="K180" s="176">
        <f t="shared" si="221"/>
        <v>24375</v>
      </c>
      <c r="L180" s="176">
        <f t="shared" si="221"/>
        <v>24375</v>
      </c>
      <c r="M180" s="176">
        <f t="shared" si="221"/>
        <v>24375</v>
      </c>
      <c r="N180" s="176">
        <f t="shared" si="221"/>
        <v>24375</v>
      </c>
      <c r="O180" s="176">
        <f t="shared" si="221"/>
        <v>24375</v>
      </c>
      <c r="P180" s="210">
        <f t="shared" si="221"/>
        <v>24375</v>
      </c>
      <c r="Q180" s="176">
        <f t="shared" si="221"/>
        <v>25407.301899859736</v>
      </c>
      <c r="R180" s="176">
        <f t="shared" si="221"/>
        <v>25516.453101312203</v>
      </c>
      <c r="S180" s="176">
        <f t="shared" si="221"/>
        <v>26566.51869071382</v>
      </c>
      <c r="T180" s="176">
        <f t="shared" si="221"/>
        <v>26616.710255225506</v>
      </c>
      <c r="U180" s="176">
        <f t="shared" si="221"/>
        <v>26516.774755965085</v>
      </c>
      <c r="V180" s="176">
        <f t="shared" si="221"/>
        <v>26516.598718215268</v>
      </c>
      <c r="W180" s="176">
        <f t="shared" si="221"/>
        <v>26516.530627189037</v>
      </c>
      <c r="X180" s="176">
        <f t="shared" si="221"/>
        <v>26516.468320533499</v>
      </c>
      <c r="Y180" s="176">
        <f t="shared" si="221"/>
        <v>26516.42681045055</v>
      </c>
      <c r="Z180" s="176">
        <f t="shared" si="221"/>
        <v>26516.570788489131</v>
      </c>
      <c r="AA180" s="176">
        <f t="shared" si="221"/>
        <v>26516.352484728071</v>
      </c>
      <c r="AB180" s="176">
        <f t="shared" si="221"/>
        <v>26516.492951330594</v>
      </c>
      <c r="AC180" s="176">
        <f t="shared" si="221"/>
        <v>26571.672381117271</v>
      </c>
      <c r="AD180" s="176">
        <f t="shared" si="221"/>
        <v>26572.223897533058</v>
      </c>
      <c r="AE180" s="176">
        <f t="shared" si="221"/>
        <v>26572.364879419059</v>
      </c>
      <c r="AF180" s="176">
        <f t="shared" si="221"/>
        <v>26572.76131665739</v>
      </c>
      <c r="AG180" s="176">
        <f t="shared" si="221"/>
        <v>26572.896877988009</v>
      </c>
      <c r="AH180" s="176">
        <f t="shared" si="221"/>
        <v>26572.529661490989</v>
      </c>
      <c r="AJ180" s="341" cm="1">
        <f t="array" aca="1" ref="AJ180" ca="1">INDEX($E180:$AH180,1,MATCH(AJ$3&amp;AJ$4&amp;AJ$5&amp;AJ$6,$E$3:$AH$3&amp;$E$4:$AH$4&amp;$E$5:$AH$5&amp;$E$6:$AH$6,1))</f>
        <v>24375</v>
      </c>
      <c r="AK180" s="341" cm="1">
        <f t="array" aca="1" ref="AK180" ca="1">INDEX($E180:$AH180,1,MATCH(AK$3&amp;AK$4&amp;AK$5&amp;AK$6,$E$3:$AH$3&amp;$E$4:$AH$4&amp;$E$5:$AH$5&amp;$E$6:$AH$6,1))</f>
        <v>24375</v>
      </c>
      <c r="AL180" s="341" cm="1">
        <f t="array" aca="1" ref="AL180" ca="1">INDEX($E180:$AH180,1,MATCH(AL$3&amp;AL$4&amp;AL$5&amp;AL$6,$E$3:$AH$3&amp;$E$4:$AH$4&amp;$E$5:$AH$5&amp;$E$6:$AH$6,1))</f>
        <v>24375</v>
      </c>
      <c r="AM180" s="343" cm="1">
        <f t="array" aca="1" ref="AM180" ca="1">INDEX($E180:$AH180,1,MATCH(AM$3&amp;AM$4&amp;AM$5&amp;AM$6,$E$3:$AH$3&amp;$E$4:$AH$4&amp;$E$5:$AH$5&amp;$E$6:$AH$6,1))</f>
        <v>24375</v>
      </c>
      <c r="AN180" s="341" cm="1">
        <f t="array" aca="1" ref="AN180" ca="1">INDEX($E180:$AH180,1,MATCH(AN$3&amp;AN$4&amp;AN$5&amp;AN$6,$E$3:$AH$3&amp;$E$4:$AH$4&amp;$E$5:$AH$5&amp;$E$6:$AH$6,1))</f>
        <v>26566.51869071382</v>
      </c>
      <c r="AO180" s="341" cm="1">
        <f t="array" aca="1" ref="AO180" ca="1">INDEX($E180:$AH180,1,MATCH(AO$3&amp;AO$4&amp;AO$5&amp;AO$6,$E$3:$AH$3&amp;$E$4:$AH$4&amp;$E$5:$AH$5&amp;$E$6:$AH$6,1))</f>
        <v>26516.598718215268</v>
      </c>
      <c r="AP180" s="341" cm="1">
        <f t="array" aca="1" ref="AP180" ca="1">INDEX($E180:$AH180,1,MATCH(AP$3&amp;AP$4&amp;AP$5&amp;AP$6,$E$3:$AH$3&amp;$E$4:$AH$4&amp;$E$5:$AH$5&amp;$E$6:$AH$6,1))</f>
        <v>26516.42681045055</v>
      </c>
      <c r="AQ180" s="341" cm="1">
        <f t="array" aca="1" ref="AQ180" ca="1">INDEX($E180:$AH180,1,MATCH(AQ$3&amp;AQ$4&amp;AQ$5&amp;AQ$6,$E$3:$AH$3&amp;$E$4:$AH$4&amp;$E$5:$AH$5&amp;$E$6:$AH$6,1))</f>
        <v>26516.492951330594</v>
      </c>
      <c r="AR180" s="341" cm="1">
        <f t="array" aca="1" ref="AR180" ca="1">INDEX($E180:$AH180,1,MATCH(AR$3&amp;AR$4&amp;AR$5&amp;AR$6,$E$3:$AH$3&amp;$E$4:$AH$4&amp;$E$5:$AH$5&amp;$E$6:$AH$6,1))</f>
        <v>26572.364879419059</v>
      </c>
      <c r="AS180" s="341" cm="1">
        <f t="array" aca="1" ref="AS180" ca="1">INDEX($E180:$AH180,1,MATCH(AS$3&amp;AS$4&amp;AS$5&amp;AS$6,$E$3:$AH$3&amp;$E$4:$AH$4&amp;$E$5:$AH$5&amp;$E$6:$AH$6,1))</f>
        <v>26572.529661490989</v>
      </c>
      <c r="AT180" s="13"/>
      <c r="AU180" s="341">
        <f t="shared" ref="AU180:AW180" ca="1" si="222">INDEX($E180:$AH180,MATCH(AU$5,$E$5:$AH$5,1))</f>
        <v>24375</v>
      </c>
      <c r="AV180" s="341">
        <f t="shared" ca="1" si="222"/>
        <v>26516.598718215268</v>
      </c>
      <c r="AW180" s="341">
        <f t="shared" ca="1" si="222"/>
        <v>26572.529661490989</v>
      </c>
    </row>
    <row r="181" spans="1:49" x14ac:dyDescent="0.25">
      <c r="C181" s="1" t="s">
        <v>380</v>
      </c>
      <c r="E181" s="174">
        <f>25/12/100</f>
        <v>2.0833333333333336E-2</v>
      </c>
      <c r="F181" s="174">
        <f t="shared" ref="F181:P181" si="223">25/12/100</f>
        <v>2.0833333333333336E-2</v>
      </c>
      <c r="G181" s="174">
        <f t="shared" si="223"/>
        <v>2.0833333333333336E-2</v>
      </c>
      <c r="H181" s="174">
        <f t="shared" si="223"/>
        <v>2.0833333333333336E-2</v>
      </c>
      <c r="I181" s="174">
        <f t="shared" si="223"/>
        <v>2.0833333333333336E-2</v>
      </c>
      <c r="J181" s="174">
        <f t="shared" si="223"/>
        <v>2.0833333333333336E-2</v>
      </c>
      <c r="K181" s="174">
        <f t="shared" si="223"/>
        <v>2.0833333333333336E-2</v>
      </c>
      <c r="L181" s="174">
        <f t="shared" si="223"/>
        <v>2.0833333333333336E-2</v>
      </c>
      <c r="M181" s="174">
        <f t="shared" si="223"/>
        <v>2.0833333333333336E-2</v>
      </c>
      <c r="N181" s="174">
        <f t="shared" si="223"/>
        <v>2.0833333333333336E-2</v>
      </c>
      <c r="O181" s="174">
        <f t="shared" si="223"/>
        <v>2.0833333333333336E-2</v>
      </c>
      <c r="P181" s="219">
        <f t="shared" si="223"/>
        <v>2.0833333333333336E-2</v>
      </c>
      <c r="Q181" s="57">
        <f>AVERAGE(K181:P181)</f>
        <v>2.0833333333333339E-2</v>
      </c>
      <c r="R181" s="57">
        <f>Q181</f>
        <v>2.0833333333333339E-2</v>
      </c>
      <c r="S181" s="57">
        <f t="shared" ref="S181:AH181" si="224">R181</f>
        <v>2.0833333333333339E-2</v>
      </c>
      <c r="T181" s="57">
        <f t="shared" si="224"/>
        <v>2.0833333333333339E-2</v>
      </c>
      <c r="U181" s="57">
        <f t="shared" si="224"/>
        <v>2.0833333333333339E-2</v>
      </c>
      <c r="V181" s="57">
        <f t="shared" si="224"/>
        <v>2.0833333333333339E-2</v>
      </c>
      <c r="W181" s="57">
        <f t="shared" si="224"/>
        <v>2.0833333333333339E-2</v>
      </c>
      <c r="X181" s="57">
        <f t="shared" si="224"/>
        <v>2.0833333333333339E-2</v>
      </c>
      <c r="Y181" s="57">
        <f t="shared" si="224"/>
        <v>2.0833333333333339E-2</v>
      </c>
      <c r="Z181" s="57">
        <f t="shared" si="224"/>
        <v>2.0833333333333339E-2</v>
      </c>
      <c r="AA181" s="57">
        <f t="shared" si="224"/>
        <v>2.0833333333333339E-2</v>
      </c>
      <c r="AB181" s="57">
        <f t="shared" si="224"/>
        <v>2.0833333333333339E-2</v>
      </c>
      <c r="AC181" s="57">
        <f t="shared" si="224"/>
        <v>2.0833333333333339E-2</v>
      </c>
      <c r="AD181" s="57">
        <f t="shared" si="224"/>
        <v>2.0833333333333339E-2</v>
      </c>
      <c r="AE181" s="57">
        <f t="shared" si="224"/>
        <v>2.0833333333333339E-2</v>
      </c>
      <c r="AF181" s="57">
        <f t="shared" si="224"/>
        <v>2.0833333333333339E-2</v>
      </c>
      <c r="AG181" s="57">
        <f t="shared" si="224"/>
        <v>2.0833333333333339E-2</v>
      </c>
      <c r="AH181" s="57">
        <f t="shared" si="224"/>
        <v>2.0833333333333339E-2</v>
      </c>
      <c r="AJ181" s="174">
        <f t="shared" ref="AJ181:AW181" si="225">25/12/100</f>
        <v>2.0833333333333336E-2</v>
      </c>
      <c r="AK181" s="174">
        <f t="shared" si="225"/>
        <v>2.0833333333333336E-2</v>
      </c>
      <c r="AL181" s="174">
        <f t="shared" si="225"/>
        <v>2.0833333333333336E-2</v>
      </c>
      <c r="AM181" s="219">
        <f t="shared" si="225"/>
        <v>2.0833333333333336E-2</v>
      </c>
      <c r="AN181" s="174">
        <f t="shared" si="225"/>
        <v>2.0833333333333336E-2</v>
      </c>
      <c r="AO181" s="174">
        <f t="shared" si="225"/>
        <v>2.0833333333333336E-2</v>
      </c>
      <c r="AP181" s="174">
        <f t="shared" si="225"/>
        <v>2.0833333333333336E-2</v>
      </c>
      <c r="AQ181" s="174">
        <f t="shared" si="225"/>
        <v>2.0833333333333336E-2</v>
      </c>
      <c r="AR181" s="174">
        <f t="shared" si="225"/>
        <v>2.0833333333333336E-2</v>
      </c>
      <c r="AS181" s="174">
        <f t="shared" si="225"/>
        <v>2.0833333333333336E-2</v>
      </c>
      <c r="AT181" s="13"/>
      <c r="AU181" s="174">
        <f t="shared" si="225"/>
        <v>2.0833333333333336E-2</v>
      </c>
      <c r="AV181" s="174">
        <f t="shared" si="225"/>
        <v>2.0833333333333336E-2</v>
      </c>
      <c r="AW181" s="174">
        <f t="shared" si="225"/>
        <v>2.0833333333333336E-2</v>
      </c>
    </row>
    <row r="182" spans="1:49" x14ac:dyDescent="0.25">
      <c r="C182" t="s">
        <v>382</v>
      </c>
      <c r="E182" s="83">
        <f>E180*E181</f>
        <v>507.81250000000006</v>
      </c>
      <c r="F182" s="83">
        <f t="shared" ref="F182:P182" si="226">F180*F181</f>
        <v>507.81250000000006</v>
      </c>
      <c r="G182" s="83">
        <f t="shared" si="226"/>
        <v>507.81250000000006</v>
      </c>
      <c r="H182" s="83">
        <f t="shared" si="226"/>
        <v>507.81250000000006</v>
      </c>
      <c r="I182" s="83">
        <f t="shared" si="226"/>
        <v>507.81250000000006</v>
      </c>
      <c r="J182" s="83">
        <f t="shared" si="226"/>
        <v>507.81250000000006</v>
      </c>
      <c r="K182" s="83">
        <f t="shared" si="226"/>
        <v>507.81250000000006</v>
      </c>
      <c r="L182" s="83">
        <f t="shared" si="226"/>
        <v>507.81250000000006</v>
      </c>
      <c r="M182" s="83">
        <f t="shared" si="226"/>
        <v>507.81250000000006</v>
      </c>
      <c r="N182" s="83">
        <f t="shared" si="226"/>
        <v>507.81250000000006</v>
      </c>
      <c r="O182" s="83">
        <f t="shared" si="226"/>
        <v>507.81250000000006</v>
      </c>
      <c r="P182" s="158">
        <f t="shared" si="226"/>
        <v>507.81250000000006</v>
      </c>
      <c r="Q182" s="176">
        <f t="shared" ref="Q182" si="227">Q180*Q181</f>
        <v>529.31878958041136</v>
      </c>
      <c r="R182" s="176">
        <f t="shared" ref="R182" si="228">R180*R181</f>
        <v>531.59277294400442</v>
      </c>
      <c r="S182" s="176">
        <f t="shared" ref="S182" si="229">S180*S181</f>
        <v>553.46913938987143</v>
      </c>
      <c r="T182" s="176">
        <f t="shared" ref="T182" si="230">T180*T181</f>
        <v>554.51479698386481</v>
      </c>
      <c r="U182" s="176">
        <f t="shared" ref="U182" si="231">U180*U181</f>
        <v>552.43280741593946</v>
      </c>
      <c r="V182" s="176">
        <f t="shared" ref="V182" si="232">V180*V181</f>
        <v>552.42913996281823</v>
      </c>
      <c r="W182" s="176">
        <f t="shared" ref="W182" si="233">W180*W181</f>
        <v>552.42772139977171</v>
      </c>
      <c r="X182" s="176">
        <f t="shared" ref="X182" si="234">X180*X181</f>
        <v>552.42642334444804</v>
      </c>
      <c r="Y182" s="176">
        <f t="shared" ref="Y182" si="235">Y180*Y181</f>
        <v>552.42555855105331</v>
      </c>
      <c r="Z182" s="176">
        <f t="shared" ref="Z182" si="236">Z180*Z181</f>
        <v>552.42855809352375</v>
      </c>
      <c r="AA182" s="176">
        <f t="shared" ref="AA182" si="237">AA180*AA181</f>
        <v>552.42401009850164</v>
      </c>
      <c r="AB182" s="176">
        <f t="shared" ref="AB182" si="238">AB180*AB181</f>
        <v>552.42693648605416</v>
      </c>
      <c r="AC182" s="176">
        <f t="shared" ref="AC182" si="239">AC180*AC181</f>
        <v>553.57650793994333</v>
      </c>
      <c r="AD182" s="176">
        <f t="shared" ref="AD182" si="240">AD180*AD181</f>
        <v>553.5879978652722</v>
      </c>
      <c r="AE182" s="176">
        <f t="shared" ref="AE182" si="241">AE180*AE181</f>
        <v>553.59093498789719</v>
      </c>
      <c r="AF182" s="176">
        <f t="shared" ref="AF182" si="242">AF180*AF181</f>
        <v>553.59919409702911</v>
      </c>
      <c r="AG182" s="176">
        <f t="shared" ref="AG182" si="243">AG180*AG181</f>
        <v>553.60201829141704</v>
      </c>
      <c r="AH182" s="176">
        <f t="shared" ref="AH182" si="244">AH180*AH181</f>
        <v>553.5943679477291</v>
      </c>
      <c r="AJ182" s="83" cm="1">
        <f t="array" aca="1" ref="AJ182" ca="1">SUMPRODUCT(($E182:$AH182)*(AJ$3&amp;AJ$4&amp;AJ$5&amp;AJ$6=$E$3:$AH$3&amp;$E$4:$AH$4&amp;$E$5:$AH$5&amp;$E$6:$AH$6))</f>
        <v>1523.4375000000002</v>
      </c>
      <c r="AK182" s="83" cm="1">
        <f t="array" aca="1" ref="AK182" ca="1">SUMPRODUCT(($E182:$AH182)*(AK$3=$E$3:$AH$3)*(AK$4=$E$4:$AH$4)*(AK$5=$E$5:$AH$5)*(AK$6=$E$6:$AH$6))</f>
        <v>1523.4375000000002</v>
      </c>
      <c r="AL182" s="83" cm="1">
        <f t="array" aca="1" ref="AL182" ca="1">SUMPRODUCT(($E182:$AH182)*(AL$3=$E$3:$AH$3)*(AL$4=$E$4:$AH$4)*(AL$5=$E$5:$AH$5)*(AL$6=$E$6:$AH$6))</f>
        <v>1523.4375000000002</v>
      </c>
      <c r="AM182" s="158" cm="1">
        <f t="array" aca="1" ref="AM182" ca="1">SUMPRODUCT(($E182:$AH182)*(AM$3=$E$3:$AH$3)*(AM$4=$E$4:$AH$4)*(AM$5=$E$5:$AH$5)*(AM$6=$E$6:$AH$6))</f>
        <v>1523.4375000000002</v>
      </c>
      <c r="AN182" s="83" cm="1">
        <f t="array" aca="1" ref="AN182" ca="1">SUMPRODUCT(($E182:$AH182)*(AN$3=$E$3:$AH$3)*(AN$4=$E$4:$AH$4)*(AN$5=$E$5:$AH$5)*(AN$6=$E$6:$AH$6))</f>
        <v>1614.3807019142873</v>
      </c>
      <c r="AO182" s="83" cm="1">
        <f t="array" aca="1" ref="AO182" ca="1">SUMPRODUCT(($E182:$AH182)*(AO$3=$E$3:$AH$3)*(AO$4=$E$4:$AH$4)*(AO$5=$E$5:$AH$5)*(AO$6=$E$6:$AH$6))</f>
        <v>1659.3767443626225</v>
      </c>
      <c r="AP182" s="83" cm="1">
        <f t="array" aca="1" ref="AP182" ca="1">SUMPRODUCT(($E182:$AH182)*(AP$3=$E$3:$AH$3)*(AP$4=$E$4:$AH$4)*(AP$5=$E$5:$AH$5)*(AP$6=$E$6:$AH$6))</f>
        <v>1657.2797032952731</v>
      </c>
      <c r="AQ182" s="83" cm="1">
        <f t="array" aca="1" ref="AQ182" ca="1">SUMPRODUCT(($E182:$AH182)*(AQ$3=$E$3:$AH$3)*(AQ$4=$E$4:$AH$4)*(AQ$5=$E$5:$AH$5)*(AQ$6=$E$6:$AH$6))</f>
        <v>1657.2795046780798</v>
      </c>
      <c r="AR182" s="83" cm="1">
        <f t="array" aca="1" ref="AR182" ca="1">SUMPRODUCT(($E182:$AH182)*(AR$3=$E$3:$AH$3)*(AR$4=$E$4:$AH$4)*(AR$5=$E$5:$AH$5)*(AR$6=$E$6:$AH$6))</f>
        <v>1660.7554407931125</v>
      </c>
      <c r="AS182" s="83" cm="1">
        <f t="array" aca="1" ref="AS182" ca="1">SUMPRODUCT(($E182:$AH182)*(AS$3=$E$3:$AH$3)*(AS$4=$E$4:$AH$4)*(AS$5=$E$5:$AH$5)*(AS$6=$E$6:$AH$6))</f>
        <v>1660.7955803361751</v>
      </c>
      <c r="AT182" s="13"/>
      <c r="AU182" s="83" cm="1">
        <f t="array" aca="1" ref="AU182" ca="1">SUMPRODUCT(($E182:$AH182)*(AU$5=$E$5:$AH$5))</f>
        <v>3046.8750000000005</v>
      </c>
      <c r="AV182" s="83" cm="1">
        <f t="array" aca="1" ref="AV182" ca="1">SUMPRODUCT(($E182:$AH182)*(AV$5=$E$5:$AH$5))</f>
        <v>6320.6324462769089</v>
      </c>
      <c r="AW182" s="83" cm="1">
        <f t="array" aca="1" ref="AW182" ca="1">SUMPRODUCT(($E182:$AH182)*(AW$5=$E$5:$AH$5))</f>
        <v>6636.1102291026418</v>
      </c>
    </row>
    <row r="183" spans="1:49" x14ac:dyDescent="0.25">
      <c r="C183" s="1" t="s">
        <v>383</v>
      </c>
      <c r="E183" s="113">
        <f>E182/E184</f>
        <v>1.8465909090909094</v>
      </c>
      <c r="F183" s="113">
        <f t="shared" ref="F183:P183" si="245">F182/F184</f>
        <v>1.8465909090909094</v>
      </c>
      <c r="G183" s="113">
        <f t="shared" si="245"/>
        <v>1.8465909090909094</v>
      </c>
      <c r="H183" s="113">
        <f t="shared" si="245"/>
        <v>1.8465909090909094</v>
      </c>
      <c r="I183" s="113">
        <f t="shared" si="245"/>
        <v>1.8465909090909094</v>
      </c>
      <c r="J183" s="113">
        <f t="shared" si="245"/>
        <v>1.8465909090909094</v>
      </c>
      <c r="K183" s="113">
        <f t="shared" si="245"/>
        <v>1.8465909090909094</v>
      </c>
      <c r="L183" s="113">
        <f t="shared" si="245"/>
        <v>1.8465909090909094</v>
      </c>
      <c r="M183" s="113">
        <f t="shared" si="245"/>
        <v>1.8465909090909094</v>
      </c>
      <c r="N183" s="113">
        <f t="shared" si="245"/>
        <v>1.8465909090909094</v>
      </c>
      <c r="O183" s="113">
        <f t="shared" si="245"/>
        <v>1.8465909090909094</v>
      </c>
      <c r="P183" s="115">
        <f t="shared" si="245"/>
        <v>1.8465909090909094</v>
      </c>
      <c r="Q183" s="127">
        <f>AVERAGE(K183:P183)</f>
        <v>1.8465909090909094</v>
      </c>
      <c r="R183" s="127">
        <f t="shared" ref="R183:AH183" si="246">AVERAGE(L183:Q183)</f>
        <v>1.8465909090909094</v>
      </c>
      <c r="S183" s="127">
        <f t="shared" si="246"/>
        <v>1.8465909090909094</v>
      </c>
      <c r="T183" s="127">
        <f t="shared" si="246"/>
        <v>1.8465909090909094</v>
      </c>
      <c r="U183" s="127">
        <f t="shared" si="246"/>
        <v>1.8465909090909094</v>
      </c>
      <c r="V183" s="127">
        <f t="shared" si="246"/>
        <v>1.8465909090909094</v>
      </c>
      <c r="W183" s="127">
        <f t="shared" si="246"/>
        <v>1.8465909090909094</v>
      </c>
      <c r="X183" s="127">
        <f t="shared" si="246"/>
        <v>1.8465909090909094</v>
      </c>
      <c r="Y183" s="127">
        <f t="shared" si="246"/>
        <v>1.8465909090909094</v>
      </c>
      <c r="Z183" s="127">
        <f t="shared" si="246"/>
        <v>1.8465909090909094</v>
      </c>
      <c r="AA183" s="127">
        <f t="shared" si="246"/>
        <v>1.8465909090909094</v>
      </c>
      <c r="AB183" s="127">
        <f t="shared" si="246"/>
        <v>1.8465909090909094</v>
      </c>
      <c r="AC183" s="127">
        <f t="shared" si="246"/>
        <v>1.8465909090909094</v>
      </c>
      <c r="AD183" s="127">
        <f t="shared" si="246"/>
        <v>1.8465909090909094</v>
      </c>
      <c r="AE183" s="127">
        <f t="shared" si="246"/>
        <v>1.8465909090909094</v>
      </c>
      <c r="AF183" s="127">
        <f t="shared" si="246"/>
        <v>1.8465909090909094</v>
      </c>
      <c r="AG183" s="127">
        <f t="shared" si="246"/>
        <v>1.8465909090909094</v>
      </c>
      <c r="AH183" s="127">
        <f t="shared" si="246"/>
        <v>1.8465909090909094</v>
      </c>
      <c r="AJ183" s="143">
        <f t="shared" ref="AJ183:AW183" ca="1" si="247">AJ182/AJ184</f>
        <v>5.5397727272727284</v>
      </c>
      <c r="AK183" s="143">
        <f t="shared" ca="1" si="247"/>
        <v>5.5397727272727284</v>
      </c>
      <c r="AL183" s="143">
        <f t="shared" ca="1" si="247"/>
        <v>5.5397727272727284</v>
      </c>
      <c r="AM183" s="144">
        <f t="shared" ca="1" si="247"/>
        <v>5.5397727272727284</v>
      </c>
      <c r="AN183" s="143">
        <f t="shared" ca="1" si="247"/>
        <v>5.3862094845125501</v>
      </c>
      <c r="AO183" s="143">
        <f t="shared" ca="1" si="247"/>
        <v>5.5467566593303292</v>
      </c>
      <c r="AP183" s="143">
        <f t="shared" ca="1" si="247"/>
        <v>5.5397828477610283</v>
      </c>
      <c r="AQ183" s="143">
        <f t="shared" ca="1" si="247"/>
        <v>5.5397683657999615</v>
      </c>
      <c r="AR183" s="143">
        <f t="shared" ca="1" si="247"/>
        <v>5.5397148063106814</v>
      </c>
      <c r="AS183" s="143">
        <f t="shared" ca="1" si="247"/>
        <v>5.5398143443480867</v>
      </c>
      <c r="AT183" s="13"/>
      <c r="AU183" s="143">
        <f t="shared" ca="1" si="247"/>
        <v>11.079545454545457</v>
      </c>
      <c r="AV183" s="143">
        <f t="shared" ca="1" si="247"/>
        <v>21.127818159240377</v>
      </c>
      <c r="AW183" s="143">
        <f t="shared" ca="1" si="247"/>
        <v>22.135667431398403</v>
      </c>
    </row>
    <row r="184" spans="1:49" x14ac:dyDescent="0.25">
      <c r="C184" s="27" t="s">
        <v>381</v>
      </c>
      <c r="D184" s="27"/>
      <c r="E184" s="68">
        <v>275</v>
      </c>
      <c r="F184" s="68">
        <v>275</v>
      </c>
      <c r="G184" s="68">
        <v>275</v>
      </c>
      <c r="H184" s="68">
        <v>275</v>
      </c>
      <c r="I184" s="68">
        <v>275</v>
      </c>
      <c r="J184" s="68">
        <v>275</v>
      </c>
      <c r="K184" s="68">
        <v>275</v>
      </c>
      <c r="L184" s="68">
        <v>275</v>
      </c>
      <c r="M184" s="68">
        <v>275</v>
      </c>
      <c r="N184" s="68">
        <v>275</v>
      </c>
      <c r="O184" s="68">
        <v>275</v>
      </c>
      <c r="P184" s="69">
        <v>275</v>
      </c>
      <c r="Q184" s="218">
        <f>Q182/Q183</f>
        <v>286.6464829727766</v>
      </c>
      <c r="R184" s="218">
        <f t="shared" ref="R184:AH184" si="248">R182/R183</f>
        <v>287.87793242506081</v>
      </c>
      <c r="S184" s="218">
        <f t="shared" si="248"/>
        <v>299.72482625420724</v>
      </c>
      <c r="T184" s="218">
        <f t="shared" si="248"/>
        <v>300.29109005895441</v>
      </c>
      <c r="U184" s="218">
        <f t="shared" si="248"/>
        <v>299.16361263140101</v>
      </c>
      <c r="V184" s="218">
        <f t="shared" si="248"/>
        <v>299.16162656448</v>
      </c>
      <c r="W184" s="218">
        <f t="shared" si="248"/>
        <v>299.16085835803017</v>
      </c>
      <c r="X184" s="218">
        <f t="shared" si="248"/>
        <v>299.16015541114717</v>
      </c>
      <c r="Y184" s="218">
        <f t="shared" si="248"/>
        <v>299.15968709226269</v>
      </c>
      <c r="Z184" s="218">
        <f t="shared" si="248"/>
        <v>299.16131145987742</v>
      </c>
      <c r="AA184" s="218">
        <f t="shared" si="248"/>
        <v>299.15884854565007</v>
      </c>
      <c r="AB184" s="218">
        <f t="shared" si="248"/>
        <v>299.16043329706315</v>
      </c>
      <c r="AC184" s="218">
        <f t="shared" si="248"/>
        <v>299.78297045363081</v>
      </c>
      <c r="AD184" s="218">
        <f t="shared" si="248"/>
        <v>299.78919269011658</v>
      </c>
      <c r="AE184" s="218">
        <f t="shared" si="248"/>
        <v>299.79078325498426</v>
      </c>
      <c r="AF184" s="218">
        <f t="shared" si="248"/>
        <v>299.79525588023728</v>
      </c>
      <c r="AG184" s="218">
        <f t="shared" si="248"/>
        <v>299.79678529012119</v>
      </c>
      <c r="AH184" s="218">
        <f t="shared" si="248"/>
        <v>299.79264233477016</v>
      </c>
      <c r="AJ184" s="342" cm="1">
        <f t="array" aca="1" ref="AJ184" ca="1">INDEX($E184:$AH184,1,MATCH(AJ$3&amp;AJ$4&amp;AJ$5&amp;AJ$6,$E$3:$AH$3&amp;$E$4:$AH$4&amp;$E$5:$AH$5&amp;$E$6:$AH$6,1))</f>
        <v>275</v>
      </c>
      <c r="AK184" s="342" cm="1">
        <f t="array" aca="1" ref="AK184" ca="1">INDEX($E184:$AH184,1,MATCH(AK$3&amp;AK$4&amp;AK$5&amp;AK$6,$E$3:$AH$3&amp;$E$4:$AH$4&amp;$E$5:$AH$5&amp;$E$6:$AH$6,1))</f>
        <v>275</v>
      </c>
      <c r="AL184" s="342" cm="1">
        <f t="array" aca="1" ref="AL184" ca="1">INDEX($E184:$AH184,1,MATCH(AL$3&amp;AL$4&amp;AL$5&amp;AL$6,$E$3:$AH$3&amp;$E$4:$AH$4&amp;$E$5:$AH$5&amp;$E$6:$AH$6,1))</f>
        <v>275</v>
      </c>
      <c r="AM184" s="344" cm="1">
        <f t="array" aca="1" ref="AM184" ca="1">INDEX($E184:$AH184,1,MATCH(AM$3&amp;AM$4&amp;AM$5&amp;AM$6,$E$3:$AH$3&amp;$E$4:$AH$4&amp;$E$5:$AH$5&amp;$E$6:$AH$6,1))</f>
        <v>275</v>
      </c>
      <c r="AN184" s="342" cm="1">
        <f t="array" aca="1" ref="AN184" ca="1">INDEX($E184:$AH184,1,MATCH(AN$3&amp;AN$4&amp;AN$5&amp;AN$6,$E$3:$AH$3&amp;$E$4:$AH$4&amp;$E$5:$AH$5&amp;$E$6:$AH$6,1))</f>
        <v>299.72482625420724</v>
      </c>
      <c r="AO184" s="342" cm="1">
        <f t="array" aca="1" ref="AO184" ca="1">INDEX($E184:$AH184,1,MATCH(AO$3&amp;AO$4&amp;AO$5&amp;AO$6,$E$3:$AH$3&amp;$E$4:$AH$4&amp;$E$5:$AH$5&amp;$E$6:$AH$6,1))</f>
        <v>299.16162656448</v>
      </c>
      <c r="AP184" s="342" cm="1">
        <f t="array" aca="1" ref="AP184" ca="1">INDEX($E184:$AH184,1,MATCH(AP$3&amp;AP$4&amp;AP$5&amp;AP$6,$E$3:$AH$3&amp;$E$4:$AH$4&amp;$E$5:$AH$5&amp;$E$6:$AH$6,1))</f>
        <v>299.15968709226269</v>
      </c>
      <c r="AQ184" s="342" cm="1">
        <f t="array" aca="1" ref="AQ184" ca="1">INDEX($E184:$AH184,1,MATCH(AQ$3&amp;AQ$4&amp;AQ$5&amp;AQ$6,$E$3:$AH$3&amp;$E$4:$AH$4&amp;$E$5:$AH$5&amp;$E$6:$AH$6,1))</f>
        <v>299.16043329706315</v>
      </c>
      <c r="AR184" s="342" cm="1">
        <f t="array" aca="1" ref="AR184" ca="1">INDEX($E184:$AH184,1,MATCH(AR$3&amp;AR$4&amp;AR$5&amp;AR$6,$E$3:$AH$3&amp;$E$4:$AH$4&amp;$E$5:$AH$5&amp;$E$6:$AH$6,1))</f>
        <v>299.79078325498426</v>
      </c>
      <c r="AS184" s="342" cm="1">
        <f t="array" aca="1" ref="AS184" ca="1">INDEX($E184:$AH184,1,MATCH(AS$3&amp;AS$4&amp;AS$5&amp;AS$6,$E$3:$AH$3&amp;$E$4:$AH$4&amp;$E$5:$AH$5&amp;$E$6:$AH$6,1))</f>
        <v>299.79264233477016</v>
      </c>
      <c r="AT184" s="13"/>
      <c r="AU184" s="342">
        <f t="shared" ref="AU184:AW184" ca="1" si="249">INDEX($E184:$AH184,MATCH(AU$5,$E$5:$AH$5,1))</f>
        <v>275</v>
      </c>
      <c r="AV184" s="342">
        <f t="shared" ca="1" si="249"/>
        <v>299.16162656448</v>
      </c>
      <c r="AW184" s="342">
        <f t="shared" ca="1" si="249"/>
        <v>299.79264233477016</v>
      </c>
    </row>
    <row r="185" spans="1:49" x14ac:dyDescent="0.25">
      <c r="B185" t="s">
        <v>231</v>
      </c>
      <c r="C185" s="11" t="str">
        <f>"Total "&amp;MID(C175,1,LEN(C175)-LEN(" Department"))&amp;" Headcount"</f>
        <v>Total Human Resources Headcount</v>
      </c>
      <c r="D185" s="11"/>
      <c r="E185" s="83">
        <f t="shared" ref="E185:AH185" si="250">E178+E184</f>
        <v>1025</v>
      </c>
      <c r="F185" s="83">
        <f t="shared" si="250"/>
        <v>1025</v>
      </c>
      <c r="G185" s="83">
        <f t="shared" si="250"/>
        <v>1025</v>
      </c>
      <c r="H185" s="83">
        <f t="shared" si="250"/>
        <v>1025</v>
      </c>
      <c r="I185" s="83">
        <f t="shared" si="250"/>
        <v>1025</v>
      </c>
      <c r="J185" s="83">
        <f t="shared" si="250"/>
        <v>1025</v>
      </c>
      <c r="K185" s="83">
        <f t="shared" si="250"/>
        <v>1025</v>
      </c>
      <c r="L185" s="83">
        <f t="shared" si="250"/>
        <v>1025</v>
      </c>
      <c r="M185" s="83">
        <f t="shared" si="250"/>
        <v>1025</v>
      </c>
      <c r="N185" s="83">
        <f t="shared" si="250"/>
        <v>1025</v>
      </c>
      <c r="O185" s="83">
        <f t="shared" si="250"/>
        <v>1025</v>
      </c>
      <c r="P185" s="158">
        <f t="shared" si="250"/>
        <v>1025</v>
      </c>
      <c r="Q185" s="83">
        <f t="shared" si="250"/>
        <v>1068.4096183530762</v>
      </c>
      <c r="R185" s="83">
        <f t="shared" si="250"/>
        <v>1072.9995663115901</v>
      </c>
      <c r="S185" s="83">
        <f t="shared" si="250"/>
        <v>1117.1561705838633</v>
      </c>
      <c r="T185" s="83">
        <f t="shared" si="250"/>
        <v>1119.2667902197391</v>
      </c>
      <c r="U185" s="83">
        <f t="shared" si="250"/>
        <v>1115.0643743534035</v>
      </c>
      <c r="V185" s="83">
        <f t="shared" si="250"/>
        <v>1115.0569717403343</v>
      </c>
      <c r="W185" s="83">
        <f t="shared" si="250"/>
        <v>1115.054108425385</v>
      </c>
      <c r="X185" s="83">
        <f t="shared" si="250"/>
        <v>1115.0514883506394</v>
      </c>
      <c r="Y185" s="83">
        <f t="shared" si="250"/>
        <v>1115.0497427984335</v>
      </c>
      <c r="Z185" s="83">
        <f t="shared" si="250"/>
        <v>1115.0557972595429</v>
      </c>
      <c r="AA185" s="83">
        <f t="shared" si="250"/>
        <v>1115.0466173065138</v>
      </c>
      <c r="AB185" s="83">
        <f t="shared" si="250"/>
        <v>1115.0525241072353</v>
      </c>
      <c r="AC185" s="83">
        <f t="shared" si="250"/>
        <v>1117.3728898726238</v>
      </c>
      <c r="AD185" s="83">
        <f t="shared" si="250"/>
        <v>1117.39608184498</v>
      </c>
      <c r="AE185" s="83">
        <f t="shared" si="250"/>
        <v>1117.4020103140324</v>
      </c>
      <c r="AF185" s="83">
        <f t="shared" si="250"/>
        <v>1117.4186810081569</v>
      </c>
      <c r="AG185" s="83">
        <f t="shared" si="250"/>
        <v>1117.4243815359059</v>
      </c>
      <c r="AH185" s="83">
        <f t="shared" si="250"/>
        <v>1117.4089396114159</v>
      </c>
      <c r="AJ185" s="83">
        <f t="shared" ref="AJ185:AW185" ca="1" si="251">AJ178+AJ184</f>
        <v>1025</v>
      </c>
      <c r="AK185" s="83">
        <f t="shared" ca="1" si="251"/>
        <v>1025</v>
      </c>
      <c r="AL185" s="83">
        <f t="shared" ca="1" si="251"/>
        <v>1025</v>
      </c>
      <c r="AM185" s="158">
        <f t="shared" ca="1" si="251"/>
        <v>1025</v>
      </c>
      <c r="AN185" s="83">
        <f t="shared" ca="1" si="251"/>
        <v>1117.1561705838633</v>
      </c>
      <c r="AO185" s="83">
        <f t="shared" ca="1" si="251"/>
        <v>1115.0569717403343</v>
      </c>
      <c r="AP185" s="83">
        <f t="shared" ca="1" si="251"/>
        <v>1115.0497427984335</v>
      </c>
      <c r="AQ185" s="83">
        <f t="shared" ca="1" si="251"/>
        <v>1115.0525241072353</v>
      </c>
      <c r="AR185" s="83">
        <f t="shared" ca="1" si="251"/>
        <v>1117.4020103140324</v>
      </c>
      <c r="AS185" s="83">
        <f t="shared" ca="1" si="251"/>
        <v>1117.4089396114159</v>
      </c>
      <c r="AT185" s="13"/>
      <c r="AU185" s="83">
        <f t="shared" ca="1" si="251"/>
        <v>1025</v>
      </c>
      <c r="AV185" s="83">
        <f t="shared" ca="1" si="251"/>
        <v>1115.0569717403343</v>
      </c>
      <c r="AW185" s="83">
        <f t="shared" ca="1" si="251"/>
        <v>1117.4089396114159</v>
      </c>
    </row>
    <row r="186" spans="1:49" x14ac:dyDescent="0.25">
      <c r="P186" s="8"/>
      <c r="AM186" s="8"/>
      <c r="AT186" s="13"/>
    </row>
    <row r="187" spans="1:49" ht="15.75" thickBot="1" x14ac:dyDescent="0.3">
      <c r="A187" t="s">
        <v>231</v>
      </c>
      <c r="B187" t="s">
        <v>231</v>
      </c>
      <c r="C187" s="53" t="str">
        <f>"Total "&amp;C141</f>
        <v>Total General &amp; Administrative Headcount</v>
      </c>
      <c r="D187" s="105"/>
      <c r="E187" s="212">
        <f t="shared" ref="E187:AH187" si="252">E156+E161+E166+E173+E185</f>
        <v>7400</v>
      </c>
      <c r="F187" s="212">
        <f t="shared" si="252"/>
        <v>7400</v>
      </c>
      <c r="G187" s="212">
        <f t="shared" si="252"/>
        <v>7400</v>
      </c>
      <c r="H187" s="212">
        <f t="shared" si="252"/>
        <v>7400</v>
      </c>
      <c r="I187" s="212">
        <f t="shared" si="252"/>
        <v>7400</v>
      </c>
      <c r="J187" s="212">
        <f t="shared" si="252"/>
        <v>7400</v>
      </c>
      <c r="K187" s="212">
        <f t="shared" si="252"/>
        <v>7400</v>
      </c>
      <c r="L187" s="212">
        <f t="shared" si="252"/>
        <v>7400</v>
      </c>
      <c r="M187" s="212">
        <f t="shared" si="252"/>
        <v>7400</v>
      </c>
      <c r="N187" s="212">
        <f t="shared" si="252"/>
        <v>7400</v>
      </c>
      <c r="O187" s="212">
        <f t="shared" si="252"/>
        <v>7400</v>
      </c>
      <c r="P187" s="213">
        <f t="shared" si="252"/>
        <v>7400</v>
      </c>
      <c r="Q187" s="212">
        <f t="shared" si="252"/>
        <v>7975.7115182128127</v>
      </c>
      <c r="R187" s="212">
        <f t="shared" si="252"/>
        <v>8089.4526676237947</v>
      </c>
      <c r="S187" s="212">
        <f t="shared" si="252"/>
        <v>8133.6748612976835</v>
      </c>
      <c r="T187" s="212">
        <f t="shared" si="252"/>
        <v>8135.9770454452455</v>
      </c>
      <c r="U187" s="212">
        <f t="shared" si="252"/>
        <v>8131.8391303184908</v>
      </c>
      <c r="V187" s="212">
        <f t="shared" si="252"/>
        <v>8131.6556899556017</v>
      </c>
      <c r="W187" s="212">
        <f t="shared" si="252"/>
        <v>8131.5847356144222</v>
      </c>
      <c r="X187" s="212">
        <f t="shared" si="252"/>
        <v>8131.519808884138</v>
      </c>
      <c r="Y187" s="212">
        <f t="shared" si="252"/>
        <v>8131.4765532489846</v>
      </c>
      <c r="Z187" s="212">
        <f t="shared" si="252"/>
        <v>8131.6265857486778</v>
      </c>
      <c r="AA187" s="212">
        <f t="shared" si="252"/>
        <v>8131.3991020345857</v>
      </c>
      <c r="AB187" s="212">
        <f t="shared" si="252"/>
        <v>8131.5454754378306</v>
      </c>
      <c r="AC187" s="212">
        <f t="shared" si="252"/>
        <v>8189.0452709898937</v>
      </c>
      <c r="AD187" s="212">
        <f t="shared" si="252"/>
        <v>8189.6199793780379</v>
      </c>
      <c r="AE187" s="212">
        <f t="shared" si="252"/>
        <v>8189.7668897330932</v>
      </c>
      <c r="AF187" s="212">
        <f t="shared" si="252"/>
        <v>8190.1799976655457</v>
      </c>
      <c r="AG187" s="212">
        <f t="shared" si="252"/>
        <v>8190.3212595239174</v>
      </c>
      <c r="AH187" s="212">
        <f t="shared" si="252"/>
        <v>8189.9386011024071</v>
      </c>
      <c r="AJ187" s="212">
        <f t="shared" ref="AJ187:AW187" ca="1" si="253">AJ156+AJ161+AJ166+AJ173+AJ185</f>
        <v>7400</v>
      </c>
      <c r="AK187" s="212">
        <f t="shared" ca="1" si="253"/>
        <v>7400</v>
      </c>
      <c r="AL187" s="212">
        <f t="shared" ca="1" si="253"/>
        <v>7400</v>
      </c>
      <c r="AM187" s="213">
        <f t="shared" ca="1" si="253"/>
        <v>7400</v>
      </c>
      <c r="AN187" s="212">
        <f t="shared" ca="1" si="253"/>
        <v>8133.6748612976835</v>
      </c>
      <c r="AO187" s="212">
        <f t="shared" ca="1" si="253"/>
        <v>8131.6556899556017</v>
      </c>
      <c r="AP187" s="212">
        <f t="shared" ca="1" si="253"/>
        <v>8131.4765532489846</v>
      </c>
      <c r="AQ187" s="212">
        <f t="shared" ca="1" si="253"/>
        <v>8131.5454754378306</v>
      </c>
      <c r="AR187" s="212">
        <f t="shared" ca="1" si="253"/>
        <v>8189.7668897330932</v>
      </c>
      <c r="AS187" s="212">
        <f t="shared" ca="1" si="253"/>
        <v>8189.9386011024071</v>
      </c>
      <c r="AT187" s="13"/>
      <c r="AU187" s="212">
        <f t="shared" ca="1" si="253"/>
        <v>7400</v>
      </c>
      <c r="AV187" s="212">
        <f t="shared" ca="1" si="253"/>
        <v>8131.6556899556017</v>
      </c>
      <c r="AW187" s="212">
        <f t="shared" ca="1" si="253"/>
        <v>8189.9386011024071</v>
      </c>
    </row>
    <row r="188" spans="1:49" ht="15.75" thickTop="1" x14ac:dyDescent="0.25">
      <c r="AT188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B300-9C40-49F2-BB22-8070AB52071E}">
  <sheetPr>
    <tabColor theme="5"/>
  </sheetPr>
  <dimension ref="A3:AW234"/>
  <sheetViews>
    <sheetView showGridLines="0" zoomScale="85" zoomScaleNormal="85" workbookViewId="0">
      <pane xSplit="3" ySplit="10" topLeftCell="E11" activePane="bottomRight" state="frozen"/>
      <selection pane="topRight" activeCell="D1" sqref="D1"/>
      <selection pane="bottomLeft" activeCell="A11" sqref="A11"/>
      <selection pane="bottomRight" activeCell="E201" sqref="E201"/>
    </sheetView>
  </sheetViews>
  <sheetFormatPr defaultRowHeight="15" outlineLevelRow="1" outlineLevelCol="1" x14ac:dyDescent="0.25"/>
  <cols>
    <col min="1" max="2" width="2.5703125" customWidth="1"/>
    <col min="3" max="3" width="41.42578125" bestFit="1" customWidth="1"/>
    <col min="4" max="4" width="11.140625" customWidth="1" outlineLevel="1"/>
    <col min="5" max="10" width="10.140625" customWidth="1" outlineLevel="1"/>
    <col min="11" max="22" width="10.140625" bestFit="1" customWidth="1"/>
    <col min="23" max="34" width="10.140625" customWidth="1" outlineLevel="1"/>
    <col min="35" max="35" width="2.5703125" customWidth="1"/>
    <col min="36" max="36" width="9.140625" customWidth="1"/>
    <col min="37" max="45" width="9.140625" bestFit="1" customWidth="1"/>
    <col min="46" max="46" width="2.5703125" customWidth="1"/>
    <col min="47" max="48" width="9.140625" bestFit="1" customWidth="1"/>
    <col min="49" max="49" width="9.140625" customWidth="1"/>
  </cols>
  <sheetData>
    <row r="3" spans="1:49" outlineLevel="1" x14ac:dyDescent="0.25"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1:49" outlineLevel="1" x14ac:dyDescent="0.25"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1:49" outlineLevel="1" x14ac:dyDescent="0.25">
      <c r="C5" t="s">
        <v>11</v>
      </c>
      <c r="D5" s="5">
        <f>YEAR(D8)</f>
        <v>2020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1:49" outlineLevel="1" x14ac:dyDescent="0.25">
      <c r="C6" t="s">
        <v>10</v>
      </c>
      <c r="D6" s="5" t="str">
        <f t="shared" ref="D6:AH6" si="1">"Q"&amp;ROUNDUP(D7/3,0)</f>
        <v>Q2</v>
      </c>
      <c r="E6" s="5" t="str">
        <f t="shared" si="1"/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1:49" outlineLevel="1" x14ac:dyDescent="0.25">
      <c r="C7" t="s">
        <v>12</v>
      </c>
      <c r="D7" s="5">
        <f t="shared" ref="D7:AH7" si="2">MONTH(D8)</f>
        <v>6</v>
      </c>
      <c r="E7" s="5">
        <f t="shared" si="2"/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  <c r="AJ7" s="5"/>
      <c r="AM7" s="8"/>
    </row>
    <row r="8" spans="1:49" outlineLevel="1" x14ac:dyDescent="0.25">
      <c r="C8" t="s">
        <v>9</v>
      </c>
      <c r="D8" s="7">
        <f>EOMONTH(E8,-1)</f>
        <v>44012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  <c r="AM8" s="8"/>
    </row>
    <row r="9" spans="1:49" outlineLevel="1" x14ac:dyDescent="0.25">
      <c r="C9" t="s">
        <v>17</v>
      </c>
      <c r="D9" s="5" t="str">
        <f>TEXT(D8,"mmm-yy")&amp;LEFT(D3,1)</f>
        <v>Jun-20A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  <c r="AM9" s="8"/>
      <c r="AU9" s="319" t="str">
        <f ca="1">COUNTIF($E$5:$AH$5,AU$5)&amp;"m"</f>
        <v>6m</v>
      </c>
      <c r="AV9" s="319" t="str">
        <f t="shared" ref="AV9:AW9" ca="1" si="5">COUNTIF($E$5:$AH$5,AV$5)&amp;"m"</f>
        <v>12m</v>
      </c>
      <c r="AW9" s="319" t="str">
        <f t="shared" ca="1" si="5"/>
        <v>12m</v>
      </c>
    </row>
    <row r="10" spans="1:49" x14ac:dyDescent="0.25">
      <c r="D10" s="43" t="str">
        <f t="shared" ref="D10:AH10" si="6">D$9</f>
        <v>Jun-20A</v>
      </c>
      <c r="E10" s="43" t="str">
        <f t="shared" si="6"/>
        <v>Jul-20A</v>
      </c>
      <c r="F10" s="43" t="str">
        <f t="shared" si="6"/>
        <v>Aug-20A</v>
      </c>
      <c r="G10" s="43" t="str">
        <f t="shared" si="6"/>
        <v>Sep-20A</v>
      </c>
      <c r="H10" s="43" t="str">
        <f t="shared" si="6"/>
        <v>Oct-20A</v>
      </c>
      <c r="I10" s="43" t="str">
        <f t="shared" si="6"/>
        <v>Nov-20A</v>
      </c>
      <c r="J10" s="43" t="str">
        <f t="shared" si="6"/>
        <v>Dec-20A</v>
      </c>
      <c r="K10" s="43" t="str">
        <f t="shared" si="6"/>
        <v>Jan-21A</v>
      </c>
      <c r="L10" s="43" t="str">
        <f t="shared" si="6"/>
        <v>Feb-21A</v>
      </c>
      <c r="M10" s="43" t="str">
        <f t="shared" si="6"/>
        <v>Mar-21A</v>
      </c>
      <c r="N10" s="43" t="str">
        <f t="shared" si="6"/>
        <v>Apr-21A</v>
      </c>
      <c r="O10" s="43" t="str">
        <f t="shared" si="6"/>
        <v>May-21A</v>
      </c>
      <c r="P10" s="44" t="str">
        <f t="shared" si="6"/>
        <v>Jun-21A</v>
      </c>
      <c r="Q10" s="43" t="str">
        <f t="shared" si="6"/>
        <v>Jul-21F</v>
      </c>
      <c r="R10" s="43" t="str">
        <f t="shared" si="6"/>
        <v>Aug-21F</v>
      </c>
      <c r="S10" s="43" t="str">
        <f t="shared" si="6"/>
        <v>Sep-21F</v>
      </c>
      <c r="T10" s="43" t="str">
        <f t="shared" si="6"/>
        <v>Oct-21F</v>
      </c>
      <c r="U10" s="43" t="str">
        <f t="shared" si="6"/>
        <v>Nov-21F</v>
      </c>
      <c r="V10" s="43" t="str">
        <f t="shared" si="6"/>
        <v>Dec-21F</v>
      </c>
      <c r="W10" s="43" t="str">
        <f t="shared" si="6"/>
        <v>Jan-22F</v>
      </c>
      <c r="X10" s="43" t="str">
        <f t="shared" si="6"/>
        <v>Feb-22F</v>
      </c>
      <c r="Y10" s="43" t="str">
        <f t="shared" si="6"/>
        <v>Mar-22F</v>
      </c>
      <c r="Z10" s="43" t="str">
        <f t="shared" si="6"/>
        <v>Apr-22F</v>
      </c>
      <c r="AA10" s="43" t="str">
        <f t="shared" si="6"/>
        <v>May-22F</v>
      </c>
      <c r="AB10" s="43" t="str">
        <f t="shared" si="6"/>
        <v>Jun-22F</v>
      </c>
      <c r="AC10" s="43" t="str">
        <f t="shared" si="6"/>
        <v>Jul-22F</v>
      </c>
      <c r="AD10" s="43" t="str">
        <f t="shared" si="6"/>
        <v>Aug-22F</v>
      </c>
      <c r="AE10" s="43" t="str">
        <f t="shared" si="6"/>
        <v>Sep-22F</v>
      </c>
      <c r="AF10" s="43" t="str">
        <f t="shared" si="6"/>
        <v>Oct-22F</v>
      </c>
      <c r="AG10" s="43" t="str">
        <f t="shared" si="6"/>
        <v>Nov-22F</v>
      </c>
      <c r="AH10" s="43" t="str">
        <f t="shared" si="6"/>
        <v>Dec-22F</v>
      </c>
      <c r="AJ10" s="43" t="str">
        <f ca="1">AJ6&amp;"'"&amp;RIGHT(AJ5,2)&amp;LEFT(AJ3,1)</f>
        <v>Q3'20A</v>
      </c>
      <c r="AK10" s="43" t="str">
        <f t="shared" ref="AK10:AS10" ca="1" si="7">AK6&amp;"'"&amp;RIGHT(AK5,2)&amp;LEFT(AK3,1)</f>
        <v>Q4'20A</v>
      </c>
      <c r="AL10" s="43" t="str">
        <f t="shared" ca="1" si="7"/>
        <v>Q1'21A</v>
      </c>
      <c r="AM10" s="44" t="str">
        <f t="shared" ca="1" si="7"/>
        <v>Q2'21A</v>
      </c>
      <c r="AN10" s="43" t="str">
        <f t="shared" ca="1" si="7"/>
        <v>Q3'21F</v>
      </c>
      <c r="AO10" s="43" t="str">
        <f t="shared" ca="1" si="7"/>
        <v>Q4'21F</v>
      </c>
      <c r="AP10" s="43" t="str">
        <f t="shared" ca="1" si="7"/>
        <v>Q1'22F</v>
      </c>
      <c r="AQ10" s="43" t="str">
        <f t="shared" ca="1" si="7"/>
        <v>Q2'22F</v>
      </c>
      <c r="AR10" s="43" t="str">
        <f t="shared" ca="1" si="7"/>
        <v>Q3'22F</v>
      </c>
      <c r="AS10" s="43" t="str">
        <f t="shared" ca="1" si="7"/>
        <v>Q4'22F</v>
      </c>
      <c r="AU10" s="326" t="str">
        <f ca="1">"FY"&amp;RIGHT(AU5,2)</f>
        <v>FY20</v>
      </c>
      <c r="AV10" s="326" t="str">
        <f t="shared" ref="AV10:AW10" ca="1" si="8">"FY"&amp;RIGHT(AV5,2)</f>
        <v>FY21</v>
      </c>
      <c r="AW10" s="326" t="str">
        <f t="shared" ca="1" si="8"/>
        <v>FY22</v>
      </c>
    </row>
    <row r="11" spans="1:49" x14ac:dyDescent="0.25">
      <c r="C11" s="11"/>
      <c r="D11" s="11"/>
    </row>
    <row r="12" spans="1:49" ht="18.75" x14ac:dyDescent="0.3">
      <c r="A12" t="s">
        <v>231</v>
      </c>
      <c r="B12" t="s">
        <v>231</v>
      </c>
      <c r="C12" s="181" t="s">
        <v>408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</row>
    <row r="13" spans="1:49" x14ac:dyDescent="0.25">
      <c r="C13" s="11"/>
      <c r="D13" s="11"/>
    </row>
    <row r="14" spans="1:49" x14ac:dyDescent="0.25">
      <c r="C14" s="30"/>
      <c r="D14" s="45" t="str">
        <f t="shared" ref="D14:AH14" si="9">D$9</f>
        <v>Jun-20A</v>
      </c>
      <c r="E14" s="45" t="str">
        <f t="shared" si="9"/>
        <v>Jul-20A</v>
      </c>
      <c r="F14" s="45" t="str">
        <f t="shared" si="9"/>
        <v>Aug-20A</v>
      </c>
      <c r="G14" s="45" t="str">
        <f t="shared" si="9"/>
        <v>Sep-20A</v>
      </c>
      <c r="H14" s="45" t="str">
        <f t="shared" si="9"/>
        <v>Oct-20A</v>
      </c>
      <c r="I14" s="45" t="str">
        <f t="shared" si="9"/>
        <v>Nov-20A</v>
      </c>
      <c r="J14" s="45" t="str">
        <f t="shared" si="9"/>
        <v>Dec-20A</v>
      </c>
      <c r="K14" s="45" t="str">
        <f t="shared" si="9"/>
        <v>Jan-21A</v>
      </c>
      <c r="L14" s="45" t="str">
        <f t="shared" si="9"/>
        <v>Feb-21A</v>
      </c>
      <c r="M14" s="45" t="str">
        <f t="shared" si="9"/>
        <v>Mar-21A</v>
      </c>
      <c r="N14" s="45" t="str">
        <f t="shared" si="9"/>
        <v>Apr-21A</v>
      </c>
      <c r="O14" s="45" t="str">
        <f t="shared" si="9"/>
        <v>May-21A</v>
      </c>
      <c r="P14" s="46" t="str">
        <f t="shared" si="9"/>
        <v>Jun-21A</v>
      </c>
      <c r="Q14" s="45" t="str">
        <f t="shared" si="9"/>
        <v>Jul-21F</v>
      </c>
      <c r="R14" s="45" t="str">
        <f t="shared" si="9"/>
        <v>Aug-21F</v>
      </c>
      <c r="S14" s="45" t="str">
        <f t="shared" si="9"/>
        <v>Sep-21F</v>
      </c>
      <c r="T14" s="45" t="str">
        <f t="shared" si="9"/>
        <v>Oct-21F</v>
      </c>
      <c r="U14" s="45" t="str">
        <f t="shared" si="9"/>
        <v>Nov-21F</v>
      </c>
      <c r="V14" s="45" t="str">
        <f t="shared" si="9"/>
        <v>Dec-21F</v>
      </c>
      <c r="W14" s="45" t="str">
        <f t="shared" si="9"/>
        <v>Jan-22F</v>
      </c>
      <c r="X14" s="45" t="str">
        <f t="shared" si="9"/>
        <v>Feb-22F</v>
      </c>
      <c r="Y14" s="45" t="str">
        <f t="shared" si="9"/>
        <v>Mar-22F</v>
      </c>
      <c r="Z14" s="45" t="str">
        <f t="shared" si="9"/>
        <v>Apr-22F</v>
      </c>
      <c r="AA14" s="45" t="str">
        <f t="shared" si="9"/>
        <v>May-22F</v>
      </c>
      <c r="AB14" s="45" t="str">
        <f t="shared" si="9"/>
        <v>Jun-22F</v>
      </c>
      <c r="AC14" s="45" t="str">
        <f t="shared" si="9"/>
        <v>Jul-22F</v>
      </c>
      <c r="AD14" s="45" t="str">
        <f t="shared" si="9"/>
        <v>Aug-22F</v>
      </c>
      <c r="AE14" s="45" t="str">
        <f t="shared" si="9"/>
        <v>Sep-22F</v>
      </c>
      <c r="AF14" s="45" t="str">
        <f t="shared" si="9"/>
        <v>Oct-22F</v>
      </c>
      <c r="AG14" s="45" t="str">
        <f t="shared" si="9"/>
        <v>Nov-22F</v>
      </c>
      <c r="AH14" s="45" t="str">
        <f t="shared" si="9"/>
        <v>Dec-22F</v>
      </c>
      <c r="AJ14" s="45" t="str">
        <f ca="1">AJ$10</f>
        <v>Q3'20A</v>
      </c>
      <c r="AK14" s="45" t="str">
        <f t="shared" ref="AK14:AW14" ca="1" si="10">AK$10</f>
        <v>Q4'20A</v>
      </c>
      <c r="AL14" s="45" t="str">
        <f t="shared" ca="1" si="10"/>
        <v>Q1'21A</v>
      </c>
      <c r="AM14" s="46" t="str">
        <f t="shared" ca="1" si="10"/>
        <v>Q2'21A</v>
      </c>
      <c r="AN14" s="45" t="str">
        <f t="shared" ca="1" si="10"/>
        <v>Q3'21F</v>
      </c>
      <c r="AO14" s="45" t="str">
        <f t="shared" ca="1" si="10"/>
        <v>Q4'21F</v>
      </c>
      <c r="AP14" s="45" t="str">
        <f t="shared" ca="1" si="10"/>
        <v>Q1'22F</v>
      </c>
      <c r="AQ14" s="45" t="str">
        <f t="shared" ca="1" si="10"/>
        <v>Q2'22F</v>
      </c>
      <c r="AR14" s="45" t="str">
        <f t="shared" ca="1" si="10"/>
        <v>Q3'22F</v>
      </c>
      <c r="AS14" s="45" t="str">
        <f t="shared" ca="1" si="10"/>
        <v>Q4'22F</v>
      </c>
      <c r="AU14" s="45" t="str">
        <f t="shared" ca="1" si="10"/>
        <v>FY20</v>
      </c>
      <c r="AV14" s="45" t="str">
        <f t="shared" ca="1" si="10"/>
        <v>FY21</v>
      </c>
      <c r="AW14" s="45" t="str">
        <f t="shared" ca="1" si="10"/>
        <v>FY22</v>
      </c>
    </row>
    <row r="15" spans="1:49" x14ac:dyDescent="0.25">
      <c r="C15" s="1" t="s">
        <v>156</v>
      </c>
      <c r="D15" s="13">
        <f>D51</f>
        <v>4049.3515067609414</v>
      </c>
      <c r="E15" s="13">
        <f t="shared" ref="E15:AH15" si="11">E51</f>
        <v>3894.0977857368161</v>
      </c>
      <c r="F15" s="13">
        <f t="shared" si="11"/>
        <v>3957.23097101249</v>
      </c>
      <c r="G15" s="13">
        <f t="shared" si="11"/>
        <v>3561.3413318490293</v>
      </c>
      <c r="H15" s="13">
        <f t="shared" si="11"/>
        <v>3429.9283940462769</v>
      </c>
      <c r="I15" s="13">
        <f t="shared" si="11"/>
        <v>4590.082650445358</v>
      </c>
      <c r="J15" s="13">
        <f t="shared" si="11"/>
        <v>2903.7436473891348</v>
      </c>
      <c r="K15" s="13">
        <f t="shared" si="11"/>
        <v>3314.1396539688617</v>
      </c>
      <c r="L15" s="13">
        <f t="shared" si="11"/>
        <v>3116.9373257259399</v>
      </c>
      <c r="M15" s="13">
        <f t="shared" si="11"/>
        <v>3433.420989640942</v>
      </c>
      <c r="N15" s="13">
        <f t="shared" si="11"/>
        <v>2899.1880612812151</v>
      </c>
      <c r="O15" s="13">
        <f t="shared" si="11"/>
        <v>3199.7125826791689</v>
      </c>
      <c r="P15" s="17">
        <f t="shared" si="11"/>
        <v>2989.6771642932367</v>
      </c>
      <c r="Q15" s="13">
        <f t="shared" si="11"/>
        <v>3222.3588741417425</v>
      </c>
      <c r="R15" s="13">
        <f t="shared" si="11"/>
        <v>2873.3848426174309</v>
      </c>
      <c r="S15" s="13">
        <f t="shared" si="11"/>
        <v>2959.5915966445818</v>
      </c>
      <c r="T15" s="13">
        <f t="shared" si="11"/>
        <v>2805.4570379516131</v>
      </c>
      <c r="U15" s="13">
        <f t="shared" si="11"/>
        <v>2757.4228225521824</v>
      </c>
      <c r="V15" s="13">
        <f t="shared" si="11"/>
        <v>2619.1390558413541</v>
      </c>
      <c r="W15" s="13">
        <f t="shared" si="11"/>
        <v>2959.0478903521998</v>
      </c>
      <c r="X15" s="13">
        <f t="shared" si="11"/>
        <v>3427.0065086894033</v>
      </c>
      <c r="Y15" s="13">
        <f t="shared" si="11"/>
        <v>3760.755522689009</v>
      </c>
      <c r="Z15" s="13">
        <f t="shared" si="11"/>
        <v>2945.0305832855061</v>
      </c>
      <c r="AA15" s="13">
        <f t="shared" si="11"/>
        <v>3123.4976019381534</v>
      </c>
      <c r="AB15" s="13">
        <f t="shared" si="11"/>
        <v>3606.6232465284743</v>
      </c>
      <c r="AC15" s="13">
        <f t="shared" si="11"/>
        <v>4072.7173879479501</v>
      </c>
      <c r="AD15" s="13">
        <f t="shared" si="11"/>
        <v>3781.2327917942912</v>
      </c>
      <c r="AE15" s="13">
        <f t="shared" si="11"/>
        <v>3913.8520641883733</v>
      </c>
      <c r="AF15" s="13">
        <f t="shared" si="11"/>
        <v>3780.9723925345356</v>
      </c>
      <c r="AG15" s="13">
        <f t="shared" si="11"/>
        <v>3788.7133954440746</v>
      </c>
      <c r="AH15" s="13">
        <f t="shared" si="11"/>
        <v>3643.6201516805736</v>
      </c>
      <c r="AJ15" s="13" cm="1">
        <f t="array" aca="1" ref="AJ15" ca="1">INDEX($E15:$AH15,1,MATCH(AJ$3&amp;AJ$4&amp;AJ$5&amp;AJ$6,$E$3:$AH$3&amp;$E$4:$AH$4&amp;$E$5:$AH$5&amp;$E$6:$AH$6,1))</f>
        <v>3561.3413318490293</v>
      </c>
      <c r="AK15" s="13" cm="1">
        <f t="array" aca="1" ref="AK15" ca="1">INDEX($E15:$AH15,1,MATCH(AK$3&amp;AK$4&amp;AK$5&amp;AK$6,$E$3:$AH$3&amp;$E$4:$AH$4&amp;$E$5:$AH$5&amp;$E$6:$AH$6,1))</f>
        <v>2903.7436473891348</v>
      </c>
      <c r="AL15" s="13" cm="1">
        <f t="array" aca="1" ref="AL15" ca="1">INDEX($E15:$AH15,1,MATCH(AL$3&amp;AL$4&amp;AL$5&amp;AL$6,$E$3:$AH$3&amp;$E$4:$AH$4&amp;$E$5:$AH$5&amp;$E$6:$AH$6,1))</f>
        <v>3433.420989640942</v>
      </c>
      <c r="AM15" s="17" cm="1">
        <f t="array" aca="1" ref="AM15" ca="1">INDEX($E15:$AH15,1,MATCH(AM$3&amp;AM$4&amp;AM$5&amp;AM$6,$E$3:$AH$3&amp;$E$4:$AH$4&amp;$E$5:$AH$5&amp;$E$6:$AH$6,1))</f>
        <v>2989.6771642932367</v>
      </c>
      <c r="AN15" s="13" cm="1">
        <f t="array" aca="1" ref="AN15" ca="1">INDEX($E15:$AH15,1,MATCH(AN$3&amp;AN$4&amp;AN$5&amp;AN$6,$E$3:$AH$3&amp;$E$4:$AH$4&amp;$E$5:$AH$5&amp;$E$6:$AH$6,1))</f>
        <v>2959.5915966445818</v>
      </c>
      <c r="AO15" s="13" cm="1">
        <f t="array" aca="1" ref="AO15" ca="1">INDEX($E15:$AH15,1,MATCH(AO$3&amp;AO$4&amp;AO$5&amp;AO$6,$E$3:$AH$3&amp;$E$4:$AH$4&amp;$E$5:$AH$5&amp;$E$6:$AH$6,1))</f>
        <v>2619.1390558413541</v>
      </c>
      <c r="AP15" s="13" cm="1">
        <f t="array" aca="1" ref="AP15" ca="1">INDEX($E15:$AH15,1,MATCH(AP$3&amp;AP$4&amp;AP$5&amp;AP$6,$E$3:$AH$3&amp;$E$4:$AH$4&amp;$E$5:$AH$5&amp;$E$6:$AH$6,1))</f>
        <v>3760.755522689009</v>
      </c>
      <c r="AQ15" s="13" cm="1">
        <f t="array" aca="1" ref="AQ15" ca="1">INDEX($E15:$AH15,1,MATCH(AQ$3&amp;AQ$4&amp;AQ$5&amp;AQ$6,$E$3:$AH$3&amp;$E$4:$AH$4&amp;$E$5:$AH$5&amp;$E$6:$AH$6,1))</f>
        <v>3606.6232465284743</v>
      </c>
      <c r="AR15" s="13" cm="1">
        <f t="array" aca="1" ref="AR15" ca="1">INDEX($E15:$AH15,1,MATCH(AR$3&amp;AR$4&amp;AR$5&amp;AR$6,$E$3:$AH$3&amp;$E$4:$AH$4&amp;$E$5:$AH$5&amp;$E$6:$AH$6,1))</f>
        <v>3913.8520641883733</v>
      </c>
      <c r="AS15" s="13" cm="1">
        <f t="array" aca="1" ref="AS15" ca="1">INDEX($E15:$AH15,1,MATCH(AS$3&amp;AS$4&amp;AS$5&amp;AS$6,$E$3:$AH$3&amp;$E$4:$AH$4&amp;$E$5:$AH$5&amp;$E$6:$AH$6,1))</f>
        <v>3643.6201516805736</v>
      </c>
      <c r="AT15" s="13"/>
      <c r="AU15" s="13">
        <f ca="1">INDEX($E15:$AH15,1,MATCH(AU$5,$E$5:$AH$5,1))</f>
        <v>2903.7436473891348</v>
      </c>
      <c r="AV15" s="13">
        <f t="shared" ref="AV15:AW17" ca="1" si="12">INDEX($E15:$AH15,1,MATCH(AV$5,$E$5:$AH$5,1))</f>
        <v>2619.1390558413541</v>
      </c>
      <c r="AW15" s="13">
        <f t="shared" ca="1" si="12"/>
        <v>3643.6201516805736</v>
      </c>
    </row>
    <row r="16" spans="1:49" x14ac:dyDescent="0.25">
      <c r="C16" s="1" t="s">
        <v>222</v>
      </c>
      <c r="D16" s="13">
        <f>D73</f>
        <v>2334.70914046394</v>
      </c>
      <c r="E16" s="13">
        <f t="shared" ref="E16:AH16" si="13">E73</f>
        <v>2222.4410203515222</v>
      </c>
      <c r="F16" s="13">
        <f t="shared" si="13"/>
        <v>1771.6145517969126</v>
      </c>
      <c r="G16" s="13">
        <f t="shared" si="13"/>
        <v>1807.4534139397206</v>
      </c>
      <c r="H16" s="13">
        <f t="shared" si="13"/>
        <v>1942.0852675947938</v>
      </c>
      <c r="I16" s="13">
        <f t="shared" si="13"/>
        <v>1989.8038619153058</v>
      </c>
      <c r="J16" s="13">
        <f t="shared" si="13"/>
        <v>2592.1748069343621</v>
      </c>
      <c r="K16" s="13">
        <f t="shared" si="13"/>
        <v>2541.2913275381361</v>
      </c>
      <c r="L16" s="13">
        <f t="shared" si="13"/>
        <v>2251.8200936588159</v>
      </c>
      <c r="M16" s="13">
        <f t="shared" si="13"/>
        <v>2393.948189584075</v>
      </c>
      <c r="N16" s="13">
        <f t="shared" si="13"/>
        <v>2989.3501152652366</v>
      </c>
      <c r="O16" s="13">
        <f t="shared" si="13"/>
        <v>3385.8395934337773</v>
      </c>
      <c r="P16" s="17">
        <f t="shared" si="13"/>
        <v>3818.0902348618633</v>
      </c>
      <c r="Q16" s="13">
        <f t="shared" si="13"/>
        <v>3619.6111196060688</v>
      </c>
      <c r="R16" s="13">
        <f t="shared" si="13"/>
        <v>2989.4353721933612</v>
      </c>
      <c r="S16" s="13">
        <f t="shared" si="13"/>
        <v>2875.0858101905615</v>
      </c>
      <c r="T16" s="13">
        <f t="shared" si="13"/>
        <v>2940.4434947310797</v>
      </c>
      <c r="U16" s="13">
        <f t="shared" si="13"/>
        <v>3051.1324718312521</v>
      </c>
      <c r="V16" s="13">
        <f t="shared" si="13"/>
        <v>3999.1181812770551</v>
      </c>
      <c r="W16" s="13">
        <f t="shared" si="13"/>
        <v>3456.0850023603002</v>
      </c>
      <c r="X16" s="13">
        <f t="shared" si="13"/>
        <v>2984.125049704734</v>
      </c>
      <c r="Y16" s="13">
        <f t="shared" si="13"/>
        <v>2952.0527441576201</v>
      </c>
      <c r="Z16" s="13">
        <f t="shared" si="13"/>
        <v>4233.1718919976893</v>
      </c>
      <c r="AA16" s="13">
        <f t="shared" si="13"/>
        <v>3976.3047178168163</v>
      </c>
      <c r="AB16" s="13">
        <f t="shared" si="13"/>
        <v>4322.1898290577337</v>
      </c>
      <c r="AC16" s="13">
        <f t="shared" si="13"/>
        <v>3895.6682642149435</v>
      </c>
      <c r="AD16" s="13">
        <f t="shared" si="13"/>
        <v>3182.2060881809975</v>
      </c>
      <c r="AE16" s="13">
        <f t="shared" si="13"/>
        <v>3036.3117021740782</v>
      </c>
      <c r="AF16" s="13">
        <f t="shared" si="13"/>
        <v>3093.2176553944455</v>
      </c>
      <c r="AG16" s="13">
        <f t="shared" si="13"/>
        <v>3156.4217174617147</v>
      </c>
      <c r="AH16" s="13">
        <f t="shared" si="13"/>
        <v>4149.533301089371</v>
      </c>
      <c r="AJ16" s="13" cm="1">
        <f t="array" aca="1" ref="AJ16" ca="1">INDEX($E16:$AH16,1,MATCH(AJ$3&amp;AJ$4&amp;AJ$5&amp;AJ$6,$E$3:$AH$3&amp;$E$4:$AH$4&amp;$E$5:$AH$5&amp;$E$6:$AH$6,1))</f>
        <v>1807.4534139397206</v>
      </c>
      <c r="AK16" s="13" cm="1">
        <f t="array" aca="1" ref="AK16" ca="1">INDEX($E16:$AH16,1,MATCH(AK$3&amp;AK$4&amp;AK$5&amp;AK$6,$E$3:$AH$3&amp;$E$4:$AH$4&amp;$E$5:$AH$5&amp;$E$6:$AH$6,1))</f>
        <v>2592.1748069343621</v>
      </c>
      <c r="AL16" s="13" cm="1">
        <f t="array" aca="1" ref="AL16" ca="1">INDEX($E16:$AH16,1,MATCH(AL$3&amp;AL$4&amp;AL$5&amp;AL$6,$E$3:$AH$3&amp;$E$4:$AH$4&amp;$E$5:$AH$5&amp;$E$6:$AH$6,1))</f>
        <v>2393.948189584075</v>
      </c>
      <c r="AM16" s="17" cm="1">
        <f t="array" aca="1" ref="AM16" ca="1">INDEX($E16:$AH16,1,MATCH(AM$3&amp;AM$4&amp;AM$5&amp;AM$6,$E$3:$AH$3&amp;$E$4:$AH$4&amp;$E$5:$AH$5&amp;$E$6:$AH$6,1))</f>
        <v>3818.0902348618633</v>
      </c>
      <c r="AN16" s="13" cm="1">
        <f t="array" aca="1" ref="AN16" ca="1">INDEX($E16:$AH16,1,MATCH(AN$3&amp;AN$4&amp;AN$5&amp;AN$6,$E$3:$AH$3&amp;$E$4:$AH$4&amp;$E$5:$AH$5&amp;$E$6:$AH$6,1))</f>
        <v>2875.0858101905615</v>
      </c>
      <c r="AO16" s="13" cm="1">
        <f t="array" aca="1" ref="AO16" ca="1">INDEX($E16:$AH16,1,MATCH(AO$3&amp;AO$4&amp;AO$5&amp;AO$6,$E$3:$AH$3&amp;$E$4:$AH$4&amp;$E$5:$AH$5&amp;$E$6:$AH$6,1))</f>
        <v>3999.1181812770551</v>
      </c>
      <c r="AP16" s="13" cm="1">
        <f t="array" aca="1" ref="AP16" ca="1">INDEX($E16:$AH16,1,MATCH(AP$3&amp;AP$4&amp;AP$5&amp;AP$6,$E$3:$AH$3&amp;$E$4:$AH$4&amp;$E$5:$AH$5&amp;$E$6:$AH$6,1))</f>
        <v>2952.0527441576201</v>
      </c>
      <c r="AQ16" s="13" cm="1">
        <f t="array" aca="1" ref="AQ16" ca="1">INDEX($E16:$AH16,1,MATCH(AQ$3&amp;AQ$4&amp;AQ$5&amp;AQ$6,$E$3:$AH$3&amp;$E$4:$AH$4&amp;$E$5:$AH$5&amp;$E$6:$AH$6,1))</f>
        <v>4322.1898290577337</v>
      </c>
      <c r="AR16" s="13" cm="1">
        <f t="array" aca="1" ref="AR16" ca="1">INDEX($E16:$AH16,1,MATCH(AR$3&amp;AR$4&amp;AR$5&amp;AR$6,$E$3:$AH$3&amp;$E$4:$AH$4&amp;$E$5:$AH$5&amp;$E$6:$AH$6,1))</f>
        <v>3036.3117021740782</v>
      </c>
      <c r="AS16" s="13" cm="1">
        <f t="array" aca="1" ref="AS16" ca="1">INDEX($E16:$AH16,1,MATCH(AS$3&amp;AS$4&amp;AS$5&amp;AS$6,$E$3:$AH$3&amp;$E$4:$AH$4&amp;$E$5:$AH$5&amp;$E$6:$AH$6,1))</f>
        <v>4149.533301089371</v>
      </c>
      <c r="AT16" s="13"/>
      <c r="AU16" s="13">
        <f t="shared" ref="AU16:AU17" ca="1" si="14">INDEX($E16:$AH16,1,MATCH(AU$5,$E$5:$AH$5,1))</f>
        <v>2592.1748069343621</v>
      </c>
      <c r="AV16" s="13">
        <f t="shared" ca="1" si="12"/>
        <v>3999.1181812770551</v>
      </c>
      <c r="AW16" s="13">
        <f t="shared" ca="1" si="12"/>
        <v>4149.533301089371</v>
      </c>
    </row>
    <row r="17" spans="2:49" x14ac:dyDescent="0.25">
      <c r="C17" s="23" t="s">
        <v>157</v>
      </c>
      <c r="D17" s="24">
        <f>D79</f>
        <v>1370.5173024899711</v>
      </c>
      <c r="E17" s="24">
        <f t="shared" ref="E17:AH17" si="15">E79</f>
        <v>1323.8</v>
      </c>
      <c r="F17" s="24">
        <f t="shared" si="15"/>
        <v>1202</v>
      </c>
      <c r="G17" s="24">
        <f t="shared" si="15"/>
        <v>1075</v>
      </c>
      <c r="H17" s="24">
        <f t="shared" si="15"/>
        <v>1063.9000000000001</v>
      </c>
      <c r="I17" s="24">
        <f t="shared" si="15"/>
        <v>1029</v>
      </c>
      <c r="J17" s="24">
        <f t="shared" si="15"/>
        <v>1195.0999999999999</v>
      </c>
      <c r="K17" s="24">
        <f t="shared" si="15"/>
        <v>1274.2</v>
      </c>
      <c r="L17" s="24">
        <f t="shared" si="15"/>
        <v>1164.5</v>
      </c>
      <c r="M17" s="24">
        <f t="shared" si="15"/>
        <v>1118.2</v>
      </c>
      <c r="N17" s="24">
        <f t="shared" si="15"/>
        <v>1196.7</v>
      </c>
      <c r="O17" s="24">
        <f t="shared" si="15"/>
        <v>1323</v>
      </c>
      <c r="P17" s="64">
        <f t="shared" si="15"/>
        <v>1495</v>
      </c>
      <c r="Q17" s="24">
        <f t="shared" si="15"/>
        <v>1448.9389392357605</v>
      </c>
      <c r="R17" s="24">
        <f t="shared" si="15"/>
        <v>1289.7609609953947</v>
      </c>
      <c r="S17" s="24">
        <f t="shared" si="15"/>
        <v>1170.8679691972261</v>
      </c>
      <c r="T17" s="24">
        <f t="shared" si="15"/>
        <v>1163.1777869256564</v>
      </c>
      <c r="U17" s="24">
        <f t="shared" si="15"/>
        <v>1109.6999695183017</v>
      </c>
      <c r="V17" s="24">
        <f t="shared" si="15"/>
        <v>1359.8618963751701</v>
      </c>
      <c r="W17" s="24">
        <f t="shared" si="15"/>
        <v>1295.747684193236</v>
      </c>
      <c r="X17" s="24">
        <f t="shared" si="15"/>
        <v>1201.2858653191549</v>
      </c>
      <c r="Y17" s="24">
        <f t="shared" si="15"/>
        <v>1161.1442385399109</v>
      </c>
      <c r="Z17" s="24">
        <f t="shared" si="15"/>
        <v>1321.2476072453912</v>
      </c>
      <c r="AA17" s="24">
        <f t="shared" si="15"/>
        <v>1343.5625404195066</v>
      </c>
      <c r="AB17" s="24">
        <f t="shared" si="15"/>
        <v>1561.5832290513108</v>
      </c>
      <c r="AC17" s="24">
        <f t="shared" si="15"/>
        <v>1509.0167369070716</v>
      </c>
      <c r="AD17" s="24">
        <f t="shared" si="15"/>
        <v>1342.612322939789</v>
      </c>
      <c r="AE17" s="24">
        <f t="shared" si="15"/>
        <v>1218.3332897824409</v>
      </c>
      <c r="AF17" s="24">
        <f t="shared" si="15"/>
        <v>1210.5456871725514</v>
      </c>
      <c r="AG17" s="24">
        <f t="shared" si="15"/>
        <v>1154.8470474115093</v>
      </c>
      <c r="AH17" s="24">
        <f t="shared" si="15"/>
        <v>1416.7877497230709</v>
      </c>
      <c r="AJ17" s="24" cm="1">
        <f t="array" aca="1" ref="AJ17" ca="1">INDEX($E17:$AH17,1,MATCH(AJ$3&amp;AJ$4&amp;AJ$5&amp;AJ$6,$E$3:$AH$3&amp;$E$4:$AH$4&amp;$E$5:$AH$5&amp;$E$6:$AH$6,1))</f>
        <v>1075</v>
      </c>
      <c r="AK17" s="24" cm="1">
        <f t="array" aca="1" ref="AK17" ca="1">INDEX($E17:$AH17,1,MATCH(AK$3&amp;AK$4&amp;AK$5&amp;AK$6,$E$3:$AH$3&amp;$E$4:$AH$4&amp;$E$5:$AH$5&amp;$E$6:$AH$6,1))</f>
        <v>1195.0999999999999</v>
      </c>
      <c r="AL17" s="24" cm="1">
        <f t="array" aca="1" ref="AL17" ca="1">INDEX($E17:$AH17,1,MATCH(AL$3&amp;AL$4&amp;AL$5&amp;AL$6,$E$3:$AH$3&amp;$E$4:$AH$4&amp;$E$5:$AH$5&amp;$E$6:$AH$6,1))</f>
        <v>1118.2</v>
      </c>
      <c r="AM17" s="64" cm="1">
        <f t="array" aca="1" ref="AM17" ca="1">INDEX($E17:$AH17,1,MATCH(AM$3&amp;AM$4&amp;AM$5&amp;AM$6,$E$3:$AH$3&amp;$E$4:$AH$4&amp;$E$5:$AH$5&amp;$E$6:$AH$6,1))</f>
        <v>1495</v>
      </c>
      <c r="AN17" s="24" cm="1">
        <f t="array" aca="1" ref="AN17" ca="1">INDEX($E17:$AH17,1,MATCH(AN$3&amp;AN$4&amp;AN$5&amp;AN$6,$E$3:$AH$3&amp;$E$4:$AH$4&amp;$E$5:$AH$5&amp;$E$6:$AH$6,1))</f>
        <v>1170.8679691972261</v>
      </c>
      <c r="AO17" s="24" cm="1">
        <f t="array" aca="1" ref="AO17" ca="1">INDEX($E17:$AH17,1,MATCH(AO$3&amp;AO$4&amp;AO$5&amp;AO$6,$E$3:$AH$3&amp;$E$4:$AH$4&amp;$E$5:$AH$5&amp;$E$6:$AH$6,1))</f>
        <v>1359.8618963751701</v>
      </c>
      <c r="AP17" s="24" cm="1">
        <f t="array" aca="1" ref="AP17" ca="1">INDEX($E17:$AH17,1,MATCH(AP$3&amp;AP$4&amp;AP$5&amp;AP$6,$E$3:$AH$3&amp;$E$4:$AH$4&amp;$E$5:$AH$5&amp;$E$6:$AH$6,1))</f>
        <v>1161.1442385399109</v>
      </c>
      <c r="AQ17" s="24" cm="1">
        <f t="array" aca="1" ref="AQ17" ca="1">INDEX($E17:$AH17,1,MATCH(AQ$3&amp;AQ$4&amp;AQ$5&amp;AQ$6,$E$3:$AH$3&amp;$E$4:$AH$4&amp;$E$5:$AH$5&amp;$E$6:$AH$6,1))</f>
        <v>1561.5832290513108</v>
      </c>
      <c r="AR17" s="24" cm="1">
        <f t="array" aca="1" ref="AR17" ca="1">INDEX($E17:$AH17,1,MATCH(AR$3&amp;AR$4&amp;AR$5&amp;AR$6,$E$3:$AH$3&amp;$E$4:$AH$4&amp;$E$5:$AH$5&amp;$E$6:$AH$6,1))</f>
        <v>1218.3332897824409</v>
      </c>
      <c r="AS17" s="24" cm="1">
        <f t="array" aca="1" ref="AS17" ca="1">INDEX($E17:$AH17,1,MATCH(AS$3&amp;AS$4&amp;AS$5&amp;AS$6,$E$3:$AH$3&amp;$E$4:$AH$4&amp;$E$5:$AH$5&amp;$E$6:$AH$6,1))</f>
        <v>1416.7877497230709</v>
      </c>
      <c r="AT17" s="13"/>
      <c r="AU17" s="24">
        <f t="shared" ca="1" si="14"/>
        <v>1195.0999999999999</v>
      </c>
      <c r="AV17" s="24">
        <f t="shared" ca="1" si="12"/>
        <v>1359.8618963751701</v>
      </c>
      <c r="AW17" s="24">
        <f t="shared" ca="1" si="12"/>
        <v>1416.7877497230709</v>
      </c>
    </row>
    <row r="18" spans="2:49" x14ac:dyDescent="0.25">
      <c r="C18" s="2" t="s">
        <v>410</v>
      </c>
      <c r="D18" s="13">
        <f>SUM(D15:D17)</f>
        <v>7754.5779497148533</v>
      </c>
      <c r="E18" s="13">
        <f t="shared" ref="E18:AH18" si="16">SUM(E15:E17)</f>
        <v>7440.3388060883381</v>
      </c>
      <c r="F18" s="13">
        <f t="shared" si="16"/>
        <v>6930.8455228094026</v>
      </c>
      <c r="G18" s="13">
        <f t="shared" si="16"/>
        <v>6443.7947457887494</v>
      </c>
      <c r="H18" s="13">
        <f t="shared" si="16"/>
        <v>6435.9136616410706</v>
      </c>
      <c r="I18" s="13">
        <f t="shared" si="16"/>
        <v>7608.8865123606638</v>
      </c>
      <c r="J18" s="13">
        <f t="shared" si="16"/>
        <v>6691.0184543234973</v>
      </c>
      <c r="K18" s="13">
        <f t="shared" si="16"/>
        <v>7129.6309815069972</v>
      </c>
      <c r="L18" s="13">
        <f t="shared" si="16"/>
        <v>6533.2574193847558</v>
      </c>
      <c r="M18" s="13">
        <f t="shared" si="16"/>
        <v>6945.5691792250173</v>
      </c>
      <c r="N18" s="13">
        <f t="shared" si="16"/>
        <v>7085.2381765464515</v>
      </c>
      <c r="O18" s="13">
        <f t="shared" si="16"/>
        <v>7908.5521761129457</v>
      </c>
      <c r="P18" s="17">
        <f t="shared" si="16"/>
        <v>8302.7673991551001</v>
      </c>
      <c r="Q18" s="13">
        <f t="shared" si="16"/>
        <v>8290.9089329835715</v>
      </c>
      <c r="R18" s="13">
        <f t="shared" si="16"/>
        <v>7152.5811758061864</v>
      </c>
      <c r="S18" s="13">
        <f t="shared" si="16"/>
        <v>7005.5453760323689</v>
      </c>
      <c r="T18" s="13">
        <f t="shared" si="16"/>
        <v>6909.0783196083494</v>
      </c>
      <c r="U18" s="13">
        <f t="shared" si="16"/>
        <v>6918.2552639017358</v>
      </c>
      <c r="V18" s="13">
        <f t="shared" si="16"/>
        <v>7978.1191334935793</v>
      </c>
      <c r="W18" s="13">
        <f t="shared" si="16"/>
        <v>7710.8805769057353</v>
      </c>
      <c r="X18" s="13">
        <f t="shared" si="16"/>
        <v>7612.4174237132929</v>
      </c>
      <c r="Y18" s="13">
        <f t="shared" si="16"/>
        <v>7873.95250538654</v>
      </c>
      <c r="Z18" s="13">
        <f t="shared" si="16"/>
        <v>8499.4500825285868</v>
      </c>
      <c r="AA18" s="13">
        <f t="shared" si="16"/>
        <v>8443.3648601744771</v>
      </c>
      <c r="AB18" s="13">
        <f t="shared" si="16"/>
        <v>9490.3963046375175</v>
      </c>
      <c r="AC18" s="13">
        <f t="shared" si="16"/>
        <v>9477.4023890699646</v>
      </c>
      <c r="AD18" s="13">
        <f t="shared" si="16"/>
        <v>8306.0512029150777</v>
      </c>
      <c r="AE18" s="13">
        <f t="shared" si="16"/>
        <v>8168.4970561448927</v>
      </c>
      <c r="AF18" s="13">
        <f t="shared" si="16"/>
        <v>8084.7357351015326</v>
      </c>
      <c r="AG18" s="13">
        <f t="shared" si="16"/>
        <v>8099.9821603172986</v>
      </c>
      <c r="AH18" s="13">
        <f t="shared" si="16"/>
        <v>9209.9412024930152</v>
      </c>
      <c r="AJ18" s="13">
        <f t="shared" ref="AJ18:AW18" ca="1" si="17">SUM(AJ15:AJ17)</f>
        <v>6443.7947457887494</v>
      </c>
      <c r="AK18" s="13">
        <f t="shared" ca="1" si="17"/>
        <v>6691.0184543234973</v>
      </c>
      <c r="AL18" s="13">
        <f t="shared" ca="1" si="17"/>
        <v>6945.5691792250173</v>
      </c>
      <c r="AM18" s="17">
        <f t="shared" ca="1" si="17"/>
        <v>8302.7673991551001</v>
      </c>
      <c r="AN18" s="13">
        <f t="shared" ca="1" si="17"/>
        <v>7005.5453760323689</v>
      </c>
      <c r="AO18" s="13">
        <f t="shared" ca="1" si="17"/>
        <v>7978.1191334935793</v>
      </c>
      <c r="AP18" s="13">
        <f t="shared" ca="1" si="17"/>
        <v>7873.95250538654</v>
      </c>
      <c r="AQ18" s="13">
        <f t="shared" ca="1" si="17"/>
        <v>9490.3963046375175</v>
      </c>
      <c r="AR18" s="13">
        <f t="shared" ca="1" si="17"/>
        <v>8168.4970561448927</v>
      </c>
      <c r="AS18" s="13">
        <f t="shared" ca="1" si="17"/>
        <v>9209.9412024930152</v>
      </c>
      <c r="AT18" s="13"/>
      <c r="AU18" s="13">
        <f t="shared" ca="1" si="17"/>
        <v>6691.0184543234973</v>
      </c>
      <c r="AV18" s="13">
        <f t="shared" ca="1" si="17"/>
        <v>7978.1191334935793</v>
      </c>
      <c r="AW18" s="13">
        <f t="shared" ca="1" si="17"/>
        <v>9209.9412024930152</v>
      </c>
    </row>
    <row r="19" spans="2:49" x14ac:dyDescent="0.25">
      <c r="C19" s="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J19" s="13"/>
      <c r="AK19" s="13"/>
      <c r="AL19" s="13"/>
      <c r="AM19" s="17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2:49" x14ac:dyDescent="0.25">
      <c r="C20" s="1" t="s">
        <v>167</v>
      </c>
      <c r="D20" s="13">
        <f>D96</f>
        <v>2019.9316550104058</v>
      </c>
      <c r="E20" s="13">
        <f t="shared" ref="E20:AH20" si="18">E96</f>
        <v>1995.008955076865</v>
      </c>
      <c r="F20" s="13">
        <f t="shared" si="18"/>
        <v>1970.0862551433243</v>
      </c>
      <c r="G20" s="13">
        <f t="shared" si="18"/>
        <v>1945.1635552097835</v>
      </c>
      <c r="H20" s="13">
        <f t="shared" si="18"/>
        <v>1920.2408552762427</v>
      </c>
      <c r="I20" s="13">
        <f t="shared" si="18"/>
        <v>1895.3181553427019</v>
      </c>
      <c r="J20" s="13">
        <f t="shared" si="18"/>
        <v>1870.3954554091611</v>
      </c>
      <c r="K20" s="13">
        <f t="shared" si="18"/>
        <v>1845.4727554756203</v>
      </c>
      <c r="L20" s="13">
        <f t="shared" si="18"/>
        <v>1820.5500555420795</v>
      </c>
      <c r="M20" s="13">
        <f t="shared" si="18"/>
        <v>1795.6273556085387</v>
      </c>
      <c r="N20" s="13">
        <f t="shared" si="18"/>
        <v>1770.7046556749979</v>
      </c>
      <c r="O20" s="13">
        <f t="shared" si="18"/>
        <v>1745.7819557414571</v>
      </c>
      <c r="P20" s="17">
        <f t="shared" si="18"/>
        <v>1720.8592558079163</v>
      </c>
      <c r="Q20" s="13">
        <f t="shared" si="18"/>
        <v>1695.9365558743755</v>
      </c>
      <c r="R20" s="13">
        <f t="shared" si="18"/>
        <v>1671.0138559408347</v>
      </c>
      <c r="S20" s="13">
        <f t="shared" si="18"/>
        <v>1646.0911560072939</v>
      </c>
      <c r="T20" s="13">
        <f t="shared" si="18"/>
        <v>1621.1684560737531</v>
      </c>
      <c r="U20" s="13">
        <f t="shared" si="18"/>
        <v>1596.2457561402123</v>
      </c>
      <c r="V20" s="13">
        <f t="shared" si="18"/>
        <v>1571.3230562066715</v>
      </c>
      <c r="W20" s="13">
        <f t="shared" si="18"/>
        <v>1546.4003562731307</v>
      </c>
      <c r="X20" s="13">
        <f t="shared" si="18"/>
        <v>1521.4776563395899</v>
      </c>
      <c r="Y20" s="13">
        <f t="shared" si="18"/>
        <v>1496.5549564060491</v>
      </c>
      <c r="Z20" s="13">
        <f t="shared" si="18"/>
        <v>1471.6322564725083</v>
      </c>
      <c r="AA20" s="13">
        <f t="shared" si="18"/>
        <v>1446.7095565389675</v>
      </c>
      <c r="AB20" s="13">
        <f t="shared" si="18"/>
        <v>1421.7868566054267</v>
      </c>
      <c r="AC20" s="13">
        <f t="shared" si="18"/>
        <v>1396.8641566718859</v>
      </c>
      <c r="AD20" s="13">
        <f t="shared" si="18"/>
        <v>1371.9414567383451</v>
      </c>
      <c r="AE20" s="13">
        <f t="shared" si="18"/>
        <v>1347.0187568048043</v>
      </c>
      <c r="AF20" s="13">
        <f t="shared" si="18"/>
        <v>1322.0960568712635</v>
      </c>
      <c r="AG20" s="13">
        <f t="shared" si="18"/>
        <v>1297.1733569377227</v>
      </c>
      <c r="AH20" s="13">
        <f t="shared" si="18"/>
        <v>1272.2506570041819</v>
      </c>
      <c r="AJ20" s="13" cm="1">
        <f t="array" aca="1" ref="AJ20" ca="1">INDEX($E20:$AH20,1,MATCH(AJ$3&amp;AJ$4&amp;AJ$5&amp;AJ$6,$E$3:$AH$3&amp;$E$4:$AH$4&amp;$E$5:$AH$5&amp;$E$6:$AH$6,1))</f>
        <v>1945.1635552097835</v>
      </c>
      <c r="AK20" s="13" cm="1">
        <f t="array" aca="1" ref="AK20" ca="1">INDEX($E20:$AH20,1,MATCH(AK$3&amp;AK$4&amp;AK$5&amp;AK$6,$E$3:$AH$3&amp;$E$4:$AH$4&amp;$E$5:$AH$5&amp;$E$6:$AH$6,1))</f>
        <v>1870.3954554091611</v>
      </c>
      <c r="AL20" s="13" cm="1">
        <f t="array" aca="1" ref="AL20" ca="1">INDEX($E20:$AH20,1,MATCH(AL$3&amp;AL$4&amp;AL$5&amp;AL$6,$E$3:$AH$3&amp;$E$4:$AH$4&amp;$E$5:$AH$5&amp;$E$6:$AH$6,1))</f>
        <v>1795.6273556085387</v>
      </c>
      <c r="AM20" s="17" cm="1">
        <f t="array" aca="1" ref="AM20" ca="1">INDEX($E20:$AH20,1,MATCH(AM$3&amp;AM$4&amp;AM$5&amp;AM$6,$E$3:$AH$3&amp;$E$4:$AH$4&amp;$E$5:$AH$5&amp;$E$6:$AH$6,1))</f>
        <v>1720.8592558079163</v>
      </c>
      <c r="AN20" s="13" cm="1">
        <f t="array" aca="1" ref="AN20" ca="1">INDEX($E20:$AH20,1,MATCH(AN$3&amp;AN$4&amp;AN$5&amp;AN$6,$E$3:$AH$3&amp;$E$4:$AH$4&amp;$E$5:$AH$5&amp;$E$6:$AH$6,1))</f>
        <v>1646.0911560072939</v>
      </c>
      <c r="AO20" s="13" cm="1">
        <f t="array" aca="1" ref="AO20" ca="1">INDEX($E20:$AH20,1,MATCH(AO$3&amp;AO$4&amp;AO$5&amp;AO$6,$E$3:$AH$3&amp;$E$4:$AH$4&amp;$E$5:$AH$5&amp;$E$6:$AH$6,1))</f>
        <v>1571.3230562066715</v>
      </c>
      <c r="AP20" s="13" cm="1">
        <f t="array" aca="1" ref="AP20" ca="1">INDEX($E20:$AH20,1,MATCH(AP$3&amp;AP$4&amp;AP$5&amp;AP$6,$E$3:$AH$3&amp;$E$4:$AH$4&amp;$E$5:$AH$5&amp;$E$6:$AH$6,1))</f>
        <v>1496.5549564060491</v>
      </c>
      <c r="AQ20" s="13" cm="1">
        <f t="array" aca="1" ref="AQ20" ca="1">INDEX($E20:$AH20,1,MATCH(AQ$3&amp;AQ$4&amp;AQ$5&amp;AQ$6,$E$3:$AH$3&amp;$E$4:$AH$4&amp;$E$5:$AH$5&amp;$E$6:$AH$6,1))</f>
        <v>1421.7868566054267</v>
      </c>
      <c r="AR20" s="13" cm="1">
        <f t="array" aca="1" ref="AR20" ca="1">INDEX($E20:$AH20,1,MATCH(AR$3&amp;AR$4&amp;AR$5&amp;AR$6,$E$3:$AH$3&amp;$E$4:$AH$4&amp;$E$5:$AH$5&amp;$E$6:$AH$6,1))</f>
        <v>1347.0187568048043</v>
      </c>
      <c r="AS20" s="13" cm="1">
        <f t="array" aca="1" ref="AS20" ca="1">INDEX($E20:$AH20,1,MATCH(AS$3&amp;AS$4&amp;AS$5&amp;AS$6,$E$3:$AH$3&amp;$E$4:$AH$4&amp;$E$5:$AH$5&amp;$E$6:$AH$6,1))</f>
        <v>1272.2506570041819</v>
      </c>
      <c r="AT20" s="13"/>
      <c r="AU20" s="13">
        <f t="shared" ref="AU20:AW22" ca="1" si="19">INDEX($E20:$AH20,1,MATCH(AU$5,$E$5:$AH$5,1))</f>
        <v>1870.3954554091611</v>
      </c>
      <c r="AV20" s="13">
        <f t="shared" ca="1" si="19"/>
        <v>1571.3230562066715</v>
      </c>
      <c r="AW20" s="13">
        <f t="shared" ca="1" si="19"/>
        <v>1272.2506570041819</v>
      </c>
    </row>
    <row r="21" spans="2:49" x14ac:dyDescent="0.25">
      <c r="C21" s="1" t="s">
        <v>256</v>
      </c>
      <c r="D21" s="13">
        <f>D102</f>
        <v>4967.84162858944</v>
      </c>
      <c r="E21" s="13">
        <f t="shared" ref="E21:AH21" si="20">E102</f>
        <v>4967.84162858944</v>
      </c>
      <c r="F21" s="13">
        <f t="shared" si="20"/>
        <v>4967.84162858944</v>
      </c>
      <c r="G21" s="13">
        <f t="shared" si="20"/>
        <v>4967.84162858944</v>
      </c>
      <c r="H21" s="13">
        <f t="shared" si="20"/>
        <v>4967.84162858944</v>
      </c>
      <c r="I21" s="13">
        <f t="shared" si="20"/>
        <v>4967.84162858944</v>
      </c>
      <c r="J21" s="13">
        <f t="shared" si="20"/>
        <v>4967.84162858944</v>
      </c>
      <c r="K21" s="13">
        <f t="shared" si="20"/>
        <v>4967.84162858944</v>
      </c>
      <c r="L21" s="13">
        <f t="shared" si="20"/>
        <v>4967.84162858944</v>
      </c>
      <c r="M21" s="13">
        <f t="shared" si="20"/>
        <v>4967.84162858944</v>
      </c>
      <c r="N21" s="13">
        <f t="shared" si="20"/>
        <v>4967.84162858944</v>
      </c>
      <c r="O21" s="13">
        <f t="shared" si="20"/>
        <v>4967.84162858944</v>
      </c>
      <c r="P21" s="17">
        <f t="shared" si="20"/>
        <v>4967.84162858944</v>
      </c>
      <c r="Q21" s="13">
        <f t="shared" si="20"/>
        <v>4967.84162858944</v>
      </c>
      <c r="R21" s="13">
        <f t="shared" si="20"/>
        <v>4967.84162858944</v>
      </c>
      <c r="S21" s="13">
        <f t="shared" si="20"/>
        <v>4967.84162858944</v>
      </c>
      <c r="T21" s="13">
        <f t="shared" si="20"/>
        <v>4967.84162858944</v>
      </c>
      <c r="U21" s="13">
        <f t="shared" si="20"/>
        <v>4967.84162858944</v>
      </c>
      <c r="V21" s="13">
        <f t="shared" si="20"/>
        <v>4967.84162858944</v>
      </c>
      <c r="W21" s="13">
        <f t="shared" si="20"/>
        <v>4967.84162858944</v>
      </c>
      <c r="X21" s="13">
        <f t="shared" si="20"/>
        <v>4967.84162858944</v>
      </c>
      <c r="Y21" s="13">
        <f t="shared" si="20"/>
        <v>4967.84162858944</v>
      </c>
      <c r="Z21" s="13">
        <f t="shared" si="20"/>
        <v>4967.84162858944</v>
      </c>
      <c r="AA21" s="13">
        <f t="shared" si="20"/>
        <v>4967.84162858944</v>
      </c>
      <c r="AB21" s="13">
        <f t="shared" si="20"/>
        <v>4967.84162858944</v>
      </c>
      <c r="AC21" s="13">
        <f t="shared" si="20"/>
        <v>4967.84162858944</v>
      </c>
      <c r="AD21" s="13">
        <f t="shared" si="20"/>
        <v>4967.84162858944</v>
      </c>
      <c r="AE21" s="13">
        <f t="shared" si="20"/>
        <v>4967.84162858944</v>
      </c>
      <c r="AF21" s="13">
        <f t="shared" si="20"/>
        <v>4967.84162858944</v>
      </c>
      <c r="AG21" s="13">
        <f t="shared" si="20"/>
        <v>4967.84162858944</v>
      </c>
      <c r="AH21" s="13">
        <f t="shared" si="20"/>
        <v>4967.84162858944</v>
      </c>
      <c r="AJ21" s="13" cm="1">
        <f t="array" aca="1" ref="AJ21" ca="1">INDEX($E21:$AH21,1,MATCH(AJ$3&amp;AJ$4&amp;AJ$5&amp;AJ$6,$E$3:$AH$3&amp;$E$4:$AH$4&amp;$E$5:$AH$5&amp;$E$6:$AH$6,1))</f>
        <v>4967.84162858944</v>
      </c>
      <c r="AK21" s="13" cm="1">
        <f t="array" aca="1" ref="AK21" ca="1">INDEX($E21:$AH21,1,MATCH(AK$3&amp;AK$4&amp;AK$5&amp;AK$6,$E$3:$AH$3&amp;$E$4:$AH$4&amp;$E$5:$AH$5&amp;$E$6:$AH$6,1))</f>
        <v>4967.84162858944</v>
      </c>
      <c r="AL21" s="13" cm="1">
        <f t="array" aca="1" ref="AL21" ca="1">INDEX($E21:$AH21,1,MATCH(AL$3&amp;AL$4&amp;AL$5&amp;AL$6,$E$3:$AH$3&amp;$E$4:$AH$4&amp;$E$5:$AH$5&amp;$E$6:$AH$6,1))</f>
        <v>4967.84162858944</v>
      </c>
      <c r="AM21" s="17" cm="1">
        <f t="array" aca="1" ref="AM21" ca="1">INDEX($E21:$AH21,1,MATCH(AM$3&amp;AM$4&amp;AM$5&amp;AM$6,$E$3:$AH$3&amp;$E$4:$AH$4&amp;$E$5:$AH$5&amp;$E$6:$AH$6,1))</f>
        <v>4967.84162858944</v>
      </c>
      <c r="AN21" s="13" cm="1">
        <f t="array" aca="1" ref="AN21" ca="1">INDEX($E21:$AH21,1,MATCH(AN$3&amp;AN$4&amp;AN$5&amp;AN$6,$E$3:$AH$3&amp;$E$4:$AH$4&amp;$E$5:$AH$5&amp;$E$6:$AH$6,1))</f>
        <v>4967.84162858944</v>
      </c>
      <c r="AO21" s="13" cm="1">
        <f t="array" aca="1" ref="AO21" ca="1">INDEX($E21:$AH21,1,MATCH(AO$3&amp;AO$4&amp;AO$5&amp;AO$6,$E$3:$AH$3&amp;$E$4:$AH$4&amp;$E$5:$AH$5&amp;$E$6:$AH$6,1))</f>
        <v>4967.84162858944</v>
      </c>
      <c r="AP21" s="13" cm="1">
        <f t="array" aca="1" ref="AP21" ca="1">INDEX($E21:$AH21,1,MATCH(AP$3&amp;AP$4&amp;AP$5&amp;AP$6,$E$3:$AH$3&amp;$E$4:$AH$4&amp;$E$5:$AH$5&amp;$E$6:$AH$6,1))</f>
        <v>4967.84162858944</v>
      </c>
      <c r="AQ21" s="13" cm="1">
        <f t="array" aca="1" ref="AQ21" ca="1">INDEX($E21:$AH21,1,MATCH(AQ$3&amp;AQ$4&amp;AQ$5&amp;AQ$6,$E$3:$AH$3&amp;$E$4:$AH$4&amp;$E$5:$AH$5&amp;$E$6:$AH$6,1))</f>
        <v>4967.84162858944</v>
      </c>
      <c r="AR21" s="13" cm="1">
        <f t="array" aca="1" ref="AR21" ca="1">INDEX($E21:$AH21,1,MATCH(AR$3&amp;AR$4&amp;AR$5&amp;AR$6,$E$3:$AH$3&amp;$E$4:$AH$4&amp;$E$5:$AH$5&amp;$E$6:$AH$6,1))</f>
        <v>4967.84162858944</v>
      </c>
      <c r="AS21" s="13" cm="1">
        <f t="array" aca="1" ref="AS21" ca="1">INDEX($E21:$AH21,1,MATCH(AS$3&amp;AS$4&amp;AS$5&amp;AS$6,$E$3:$AH$3&amp;$E$4:$AH$4&amp;$E$5:$AH$5&amp;$E$6:$AH$6,1))</f>
        <v>4967.84162858944</v>
      </c>
      <c r="AT21" s="13"/>
      <c r="AU21" s="13">
        <f t="shared" ca="1" si="19"/>
        <v>4967.84162858944</v>
      </c>
      <c r="AV21" s="13">
        <f t="shared" ca="1" si="19"/>
        <v>4967.84162858944</v>
      </c>
      <c r="AW21" s="13">
        <f t="shared" ca="1" si="19"/>
        <v>4967.84162858944</v>
      </c>
    </row>
    <row r="22" spans="2:49" x14ac:dyDescent="0.25">
      <c r="C22" s="23" t="s">
        <v>409</v>
      </c>
      <c r="D22" s="24">
        <f>SUM(D118,D125)</f>
        <v>3216.3960387551183</v>
      </c>
      <c r="E22" s="24">
        <f t="shared" ref="E22:AH22" si="21">SUM(E118,E125)</f>
        <v>3201.1665101421254</v>
      </c>
      <c r="F22" s="24">
        <f t="shared" si="21"/>
        <v>3185.9369815291329</v>
      </c>
      <c r="G22" s="24">
        <f t="shared" si="21"/>
        <v>3170.70745291614</v>
      </c>
      <c r="H22" s="24">
        <f t="shared" si="21"/>
        <v>3155.4779243031471</v>
      </c>
      <c r="I22" s="24">
        <f t="shared" si="21"/>
        <v>3140.2483956901542</v>
      </c>
      <c r="J22" s="24">
        <f t="shared" si="21"/>
        <v>3125.0188670771613</v>
      </c>
      <c r="K22" s="24">
        <f t="shared" si="21"/>
        <v>3109.7893384641688</v>
      </c>
      <c r="L22" s="24">
        <f t="shared" si="21"/>
        <v>3094.5598098511759</v>
      </c>
      <c r="M22" s="24">
        <f t="shared" si="21"/>
        <v>3079.330281238183</v>
      </c>
      <c r="N22" s="24">
        <f t="shared" si="21"/>
        <v>3064.1007526251906</v>
      </c>
      <c r="O22" s="24">
        <f t="shared" si="21"/>
        <v>3048.8712240121977</v>
      </c>
      <c r="P22" s="64">
        <f t="shared" si="21"/>
        <v>3033.6416953992048</v>
      </c>
      <c r="Q22" s="24">
        <f t="shared" si="21"/>
        <v>3018.4121667862119</v>
      </c>
      <c r="R22" s="24">
        <f t="shared" si="21"/>
        <v>3003.1826381732189</v>
      </c>
      <c r="S22" s="24">
        <f t="shared" si="21"/>
        <v>2987.9531095602265</v>
      </c>
      <c r="T22" s="24">
        <f t="shared" si="21"/>
        <v>2972.7235809472336</v>
      </c>
      <c r="U22" s="24">
        <f t="shared" si="21"/>
        <v>2957.4940523342407</v>
      </c>
      <c r="V22" s="24">
        <f t="shared" si="21"/>
        <v>2942.2645237212482</v>
      </c>
      <c r="W22" s="24">
        <f t="shared" si="21"/>
        <v>2927.0349951082553</v>
      </c>
      <c r="X22" s="24">
        <f t="shared" si="21"/>
        <v>2911.8054664952624</v>
      </c>
      <c r="Y22" s="24">
        <f t="shared" si="21"/>
        <v>2896.5759378822695</v>
      </c>
      <c r="Z22" s="24">
        <f t="shared" si="21"/>
        <v>2881.3464092692766</v>
      </c>
      <c r="AA22" s="24">
        <f t="shared" si="21"/>
        <v>2866.1168806562841</v>
      </c>
      <c r="AB22" s="24">
        <f t="shared" si="21"/>
        <v>2850.8873520432912</v>
      </c>
      <c r="AC22" s="24">
        <f t="shared" si="21"/>
        <v>2835.6578234302983</v>
      </c>
      <c r="AD22" s="24">
        <f t="shared" si="21"/>
        <v>2820.4282948173059</v>
      </c>
      <c r="AE22" s="24">
        <f t="shared" si="21"/>
        <v>2805.198766204313</v>
      </c>
      <c r="AF22" s="24">
        <f t="shared" si="21"/>
        <v>2789.9692375913201</v>
      </c>
      <c r="AG22" s="24">
        <f t="shared" si="21"/>
        <v>2774.7397089783271</v>
      </c>
      <c r="AH22" s="24">
        <f t="shared" si="21"/>
        <v>2759.5101803653342</v>
      </c>
      <c r="AJ22" s="24" cm="1">
        <f t="array" aca="1" ref="AJ22" ca="1">INDEX($E22:$AH22,1,MATCH(AJ$3&amp;AJ$4&amp;AJ$5&amp;AJ$6,$E$3:$AH$3&amp;$E$4:$AH$4&amp;$E$5:$AH$5&amp;$E$6:$AH$6,1))</f>
        <v>3170.70745291614</v>
      </c>
      <c r="AK22" s="24" cm="1">
        <f t="array" aca="1" ref="AK22" ca="1">INDEX($E22:$AH22,1,MATCH(AK$3&amp;AK$4&amp;AK$5&amp;AK$6,$E$3:$AH$3&amp;$E$4:$AH$4&amp;$E$5:$AH$5&amp;$E$6:$AH$6,1))</f>
        <v>3125.0188670771613</v>
      </c>
      <c r="AL22" s="24" cm="1">
        <f t="array" aca="1" ref="AL22" ca="1">INDEX($E22:$AH22,1,MATCH(AL$3&amp;AL$4&amp;AL$5&amp;AL$6,$E$3:$AH$3&amp;$E$4:$AH$4&amp;$E$5:$AH$5&amp;$E$6:$AH$6,1))</f>
        <v>3079.330281238183</v>
      </c>
      <c r="AM22" s="64" cm="1">
        <f t="array" aca="1" ref="AM22" ca="1">INDEX($E22:$AH22,1,MATCH(AM$3&amp;AM$4&amp;AM$5&amp;AM$6,$E$3:$AH$3&amp;$E$4:$AH$4&amp;$E$5:$AH$5&amp;$E$6:$AH$6,1))</f>
        <v>3033.6416953992048</v>
      </c>
      <c r="AN22" s="24" cm="1">
        <f t="array" aca="1" ref="AN22" ca="1">INDEX($E22:$AH22,1,MATCH(AN$3&amp;AN$4&amp;AN$5&amp;AN$6,$E$3:$AH$3&amp;$E$4:$AH$4&amp;$E$5:$AH$5&amp;$E$6:$AH$6,1))</f>
        <v>2987.9531095602265</v>
      </c>
      <c r="AO22" s="24" cm="1">
        <f t="array" aca="1" ref="AO22" ca="1">INDEX($E22:$AH22,1,MATCH(AO$3&amp;AO$4&amp;AO$5&amp;AO$6,$E$3:$AH$3&amp;$E$4:$AH$4&amp;$E$5:$AH$5&amp;$E$6:$AH$6,1))</f>
        <v>2942.2645237212482</v>
      </c>
      <c r="AP22" s="24" cm="1">
        <f t="array" aca="1" ref="AP22" ca="1">INDEX($E22:$AH22,1,MATCH(AP$3&amp;AP$4&amp;AP$5&amp;AP$6,$E$3:$AH$3&amp;$E$4:$AH$4&amp;$E$5:$AH$5&amp;$E$6:$AH$6,1))</f>
        <v>2896.5759378822695</v>
      </c>
      <c r="AQ22" s="24" cm="1">
        <f t="array" aca="1" ref="AQ22" ca="1">INDEX($E22:$AH22,1,MATCH(AQ$3&amp;AQ$4&amp;AQ$5&amp;AQ$6,$E$3:$AH$3&amp;$E$4:$AH$4&amp;$E$5:$AH$5&amp;$E$6:$AH$6,1))</f>
        <v>2850.8873520432912</v>
      </c>
      <c r="AR22" s="24" cm="1">
        <f t="array" aca="1" ref="AR22" ca="1">INDEX($E22:$AH22,1,MATCH(AR$3&amp;AR$4&amp;AR$5&amp;AR$6,$E$3:$AH$3&amp;$E$4:$AH$4&amp;$E$5:$AH$5&amp;$E$6:$AH$6,1))</f>
        <v>2805.198766204313</v>
      </c>
      <c r="AS22" s="24" cm="1">
        <f t="array" aca="1" ref="AS22" ca="1">INDEX($E22:$AH22,1,MATCH(AS$3&amp;AS$4&amp;AS$5&amp;AS$6,$E$3:$AH$3&amp;$E$4:$AH$4&amp;$E$5:$AH$5&amp;$E$6:$AH$6,1))</f>
        <v>2759.5101803653342</v>
      </c>
      <c r="AT22" s="13"/>
      <c r="AU22" s="24">
        <f t="shared" ca="1" si="19"/>
        <v>3125.0188670771613</v>
      </c>
      <c r="AV22" s="24">
        <f t="shared" ca="1" si="19"/>
        <v>2942.2645237212482</v>
      </c>
      <c r="AW22" s="24">
        <f t="shared" ca="1" si="19"/>
        <v>2759.5101803653342</v>
      </c>
    </row>
    <row r="23" spans="2:49" x14ac:dyDescent="0.25">
      <c r="B23" t="s">
        <v>231</v>
      </c>
      <c r="C23" s="2" t="s">
        <v>169</v>
      </c>
      <c r="D23" s="13">
        <f>SUM(D18:D22)</f>
        <v>17958.747272069817</v>
      </c>
      <c r="E23" s="13">
        <f t="shared" ref="E23:AH23" si="22">SUM(E18:E22)</f>
        <v>17604.355899896767</v>
      </c>
      <c r="F23" s="13">
        <f t="shared" si="22"/>
        <v>17054.7103880713</v>
      </c>
      <c r="G23" s="13">
        <f t="shared" si="22"/>
        <v>16527.507382504111</v>
      </c>
      <c r="H23" s="13">
        <f t="shared" si="22"/>
        <v>16479.474069809901</v>
      </c>
      <c r="I23" s="13">
        <f t="shared" si="22"/>
        <v>17612.294691982959</v>
      </c>
      <c r="J23" s="13">
        <f t="shared" si="22"/>
        <v>16654.274405399261</v>
      </c>
      <c r="K23" s="13">
        <f t="shared" si="22"/>
        <v>17052.734704036226</v>
      </c>
      <c r="L23" s="13">
        <f t="shared" si="22"/>
        <v>16416.208913367449</v>
      </c>
      <c r="M23" s="13">
        <f t="shared" si="22"/>
        <v>16788.368444661181</v>
      </c>
      <c r="N23" s="13">
        <f t="shared" si="22"/>
        <v>16887.885213436079</v>
      </c>
      <c r="O23" s="13">
        <f t="shared" si="22"/>
        <v>17671.046984456039</v>
      </c>
      <c r="P23" s="17">
        <f t="shared" si="22"/>
        <v>18025.109978951659</v>
      </c>
      <c r="Q23" s="13">
        <f t="shared" si="22"/>
        <v>17973.099284233598</v>
      </c>
      <c r="R23" s="13">
        <f t="shared" si="22"/>
        <v>16794.619298509679</v>
      </c>
      <c r="S23" s="13">
        <f t="shared" si="22"/>
        <v>16607.431270189329</v>
      </c>
      <c r="T23" s="13">
        <f t="shared" si="22"/>
        <v>16470.811985218777</v>
      </c>
      <c r="U23" s="13">
        <f t="shared" si="22"/>
        <v>16439.836700965629</v>
      </c>
      <c r="V23" s="13">
        <f t="shared" si="22"/>
        <v>17459.548342010938</v>
      </c>
      <c r="W23" s="13">
        <f t="shared" si="22"/>
        <v>17152.157556876562</v>
      </c>
      <c r="X23" s="13">
        <f t="shared" si="22"/>
        <v>17013.542175137587</v>
      </c>
      <c r="Y23" s="13">
        <f t="shared" si="22"/>
        <v>17234.925028264297</v>
      </c>
      <c r="Z23" s="13">
        <f t="shared" si="22"/>
        <v>17820.270376859811</v>
      </c>
      <c r="AA23" s="13">
        <f t="shared" si="22"/>
        <v>17724.032925959171</v>
      </c>
      <c r="AB23" s="13">
        <f t="shared" si="22"/>
        <v>18730.912141875677</v>
      </c>
      <c r="AC23" s="13">
        <f t="shared" si="22"/>
        <v>18677.765997761588</v>
      </c>
      <c r="AD23" s="13">
        <f t="shared" si="22"/>
        <v>17466.262583060168</v>
      </c>
      <c r="AE23" s="13">
        <f t="shared" si="22"/>
        <v>17288.556207743452</v>
      </c>
      <c r="AF23" s="13">
        <f t="shared" si="22"/>
        <v>17164.642658153556</v>
      </c>
      <c r="AG23" s="13">
        <f t="shared" si="22"/>
        <v>17139.73685482279</v>
      </c>
      <c r="AH23" s="13">
        <f t="shared" si="22"/>
        <v>18209.543668451974</v>
      </c>
      <c r="AJ23" s="13">
        <f t="shared" ref="AJ23:AW23" ca="1" si="23">SUM(AJ18:AJ22)</f>
        <v>16527.507382504111</v>
      </c>
      <c r="AK23" s="13">
        <f t="shared" ca="1" si="23"/>
        <v>16654.274405399261</v>
      </c>
      <c r="AL23" s="13">
        <f t="shared" ca="1" si="23"/>
        <v>16788.368444661181</v>
      </c>
      <c r="AM23" s="17">
        <f t="shared" ca="1" si="23"/>
        <v>18025.109978951659</v>
      </c>
      <c r="AN23" s="13">
        <f t="shared" ca="1" si="23"/>
        <v>16607.431270189329</v>
      </c>
      <c r="AO23" s="13">
        <f t="shared" ca="1" si="23"/>
        <v>17459.548342010938</v>
      </c>
      <c r="AP23" s="13">
        <f t="shared" ca="1" si="23"/>
        <v>17234.925028264297</v>
      </c>
      <c r="AQ23" s="13">
        <f t="shared" ca="1" si="23"/>
        <v>18730.912141875677</v>
      </c>
      <c r="AR23" s="13">
        <f t="shared" ca="1" si="23"/>
        <v>17288.556207743452</v>
      </c>
      <c r="AS23" s="13">
        <f t="shared" ca="1" si="23"/>
        <v>18209.543668451974</v>
      </c>
      <c r="AT23" s="13"/>
      <c r="AU23" s="13">
        <f t="shared" ca="1" si="23"/>
        <v>16654.274405399261</v>
      </c>
      <c r="AV23" s="13">
        <f t="shared" ca="1" si="23"/>
        <v>17459.548342010938</v>
      </c>
      <c r="AW23" s="13">
        <f t="shared" ca="1" si="23"/>
        <v>18209.543668451974</v>
      </c>
    </row>
    <row r="24" spans="2:49" x14ac:dyDescent="0.25"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J24" s="13"/>
      <c r="AK24" s="13"/>
      <c r="AL24" s="13"/>
      <c r="AM24" s="17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2:49" x14ac:dyDescent="0.25">
      <c r="C25" s="1" t="s">
        <v>158</v>
      </c>
      <c r="D25" s="13">
        <f>D136</f>
        <v>2025.2028754140629</v>
      </c>
      <c r="E25" s="13">
        <f t="shared" ref="E25:AH25" si="24">E136</f>
        <v>1813.4062277040557</v>
      </c>
      <c r="F25" s="13">
        <f t="shared" si="24"/>
        <v>1198.8913656738462</v>
      </c>
      <c r="G25" s="13">
        <f t="shared" si="24"/>
        <v>923.80937648741406</v>
      </c>
      <c r="H25" s="13">
        <f t="shared" si="24"/>
        <v>980.83062593671525</v>
      </c>
      <c r="I25" s="13">
        <f t="shared" si="24"/>
        <v>1101.5647865951264</v>
      </c>
      <c r="J25" s="13">
        <f t="shared" si="24"/>
        <v>1321.2527267366754</v>
      </c>
      <c r="K25" s="13">
        <f t="shared" si="24"/>
        <v>1587.5475793766077</v>
      </c>
      <c r="L25" s="13">
        <f t="shared" si="24"/>
        <v>1019.0702525065806</v>
      </c>
      <c r="M25" s="13">
        <f t="shared" si="24"/>
        <v>1206.7970073135493</v>
      </c>
      <c r="N25" s="13">
        <f t="shared" si="24"/>
        <v>1395.3718435560806</v>
      </c>
      <c r="O25" s="13">
        <f t="shared" si="24"/>
        <v>1810.5831189666289</v>
      </c>
      <c r="P25" s="17">
        <f t="shared" si="24"/>
        <v>1784.7086149400711</v>
      </c>
      <c r="Q25" s="13">
        <f t="shared" si="24"/>
        <v>1982.0848199654847</v>
      </c>
      <c r="R25" s="13">
        <f t="shared" si="24"/>
        <v>1011.656649398785</v>
      </c>
      <c r="S25" s="13">
        <f t="shared" si="24"/>
        <v>1145.0316613978441</v>
      </c>
      <c r="T25" s="13">
        <f t="shared" si="24"/>
        <v>1074.2084157408804</v>
      </c>
      <c r="U25" s="13">
        <f t="shared" si="24"/>
        <v>1083.1648232928571</v>
      </c>
      <c r="V25" s="13">
        <f t="shared" si="24"/>
        <v>1649.853427028165</v>
      </c>
      <c r="W25" s="13">
        <f t="shared" si="24"/>
        <v>1025.701622300679</v>
      </c>
      <c r="X25" s="13">
        <f t="shared" si="24"/>
        <v>1184.0937532435305</v>
      </c>
      <c r="Y25" s="13">
        <f t="shared" si="24"/>
        <v>1304.2734782323419</v>
      </c>
      <c r="Z25" s="13">
        <f t="shared" si="24"/>
        <v>1761.4121504392415</v>
      </c>
      <c r="AA25" s="13">
        <f t="shared" si="24"/>
        <v>1429.7025057456535</v>
      </c>
      <c r="AB25" s="13">
        <f t="shared" si="24"/>
        <v>1997.9344914050416</v>
      </c>
      <c r="AC25" s="13">
        <f t="shared" si="24"/>
        <v>2034.4411751960915</v>
      </c>
      <c r="AD25" s="13">
        <f t="shared" si="24"/>
        <v>1051.7056812528124</v>
      </c>
      <c r="AE25" s="13">
        <f t="shared" si="24"/>
        <v>1191.1478109799655</v>
      </c>
      <c r="AF25" s="13">
        <f t="shared" si="24"/>
        <v>1121.2570317005197</v>
      </c>
      <c r="AG25" s="13">
        <f t="shared" si="24"/>
        <v>1129.948320050865</v>
      </c>
      <c r="AH25" s="13">
        <f t="shared" si="24"/>
        <v>1724.292675393071</v>
      </c>
      <c r="AJ25" s="13" cm="1">
        <f t="array" aca="1" ref="AJ25" ca="1">INDEX($E25:$AH25,1,MATCH(AJ$3&amp;AJ$4&amp;AJ$5&amp;AJ$6,$E$3:$AH$3&amp;$E$4:$AH$4&amp;$E$5:$AH$5&amp;$E$6:$AH$6,1))</f>
        <v>923.80937648741406</v>
      </c>
      <c r="AK25" s="13" cm="1">
        <f t="array" aca="1" ref="AK25" ca="1">INDEX($E25:$AH25,1,MATCH(AK$3&amp;AK$4&amp;AK$5&amp;AK$6,$E$3:$AH$3&amp;$E$4:$AH$4&amp;$E$5:$AH$5&amp;$E$6:$AH$6,1))</f>
        <v>1321.2527267366754</v>
      </c>
      <c r="AL25" s="13" cm="1">
        <f t="array" aca="1" ref="AL25" ca="1">INDEX($E25:$AH25,1,MATCH(AL$3&amp;AL$4&amp;AL$5&amp;AL$6,$E$3:$AH$3&amp;$E$4:$AH$4&amp;$E$5:$AH$5&amp;$E$6:$AH$6,1))</f>
        <v>1206.7970073135493</v>
      </c>
      <c r="AM25" s="17" cm="1">
        <f t="array" aca="1" ref="AM25" ca="1">INDEX($E25:$AH25,1,MATCH(AM$3&amp;AM$4&amp;AM$5&amp;AM$6,$E$3:$AH$3&amp;$E$4:$AH$4&amp;$E$5:$AH$5&amp;$E$6:$AH$6,1))</f>
        <v>1784.7086149400711</v>
      </c>
      <c r="AN25" s="13" cm="1">
        <f t="array" aca="1" ref="AN25" ca="1">INDEX($E25:$AH25,1,MATCH(AN$3&amp;AN$4&amp;AN$5&amp;AN$6,$E$3:$AH$3&amp;$E$4:$AH$4&amp;$E$5:$AH$5&amp;$E$6:$AH$6,1))</f>
        <v>1145.0316613978441</v>
      </c>
      <c r="AO25" s="13" cm="1">
        <f t="array" aca="1" ref="AO25" ca="1">INDEX($E25:$AH25,1,MATCH(AO$3&amp;AO$4&amp;AO$5&amp;AO$6,$E$3:$AH$3&amp;$E$4:$AH$4&amp;$E$5:$AH$5&amp;$E$6:$AH$6,1))</f>
        <v>1649.853427028165</v>
      </c>
      <c r="AP25" s="13" cm="1">
        <f t="array" aca="1" ref="AP25" ca="1">INDEX($E25:$AH25,1,MATCH(AP$3&amp;AP$4&amp;AP$5&amp;AP$6,$E$3:$AH$3&amp;$E$4:$AH$4&amp;$E$5:$AH$5&amp;$E$6:$AH$6,1))</f>
        <v>1304.2734782323419</v>
      </c>
      <c r="AQ25" s="13" cm="1">
        <f t="array" aca="1" ref="AQ25" ca="1">INDEX($E25:$AH25,1,MATCH(AQ$3&amp;AQ$4&amp;AQ$5&amp;AQ$6,$E$3:$AH$3&amp;$E$4:$AH$4&amp;$E$5:$AH$5&amp;$E$6:$AH$6,1))</f>
        <v>1997.9344914050416</v>
      </c>
      <c r="AR25" s="13" cm="1">
        <f t="array" aca="1" ref="AR25" ca="1">INDEX($E25:$AH25,1,MATCH(AR$3&amp;AR$4&amp;AR$5&amp;AR$6,$E$3:$AH$3&amp;$E$4:$AH$4&amp;$E$5:$AH$5&amp;$E$6:$AH$6,1))</f>
        <v>1191.1478109799655</v>
      </c>
      <c r="AS25" s="13" cm="1">
        <f t="array" aca="1" ref="AS25" ca="1">INDEX($E25:$AH25,1,MATCH(AS$3&amp;AS$4&amp;AS$5&amp;AS$6,$E$3:$AH$3&amp;$E$4:$AH$4&amp;$E$5:$AH$5&amp;$E$6:$AH$6,1))</f>
        <v>1724.292675393071</v>
      </c>
      <c r="AT25" s="13"/>
      <c r="AU25" s="13">
        <f t="shared" ref="AU25:AW29" ca="1" si="25">INDEX($E25:$AH25,1,MATCH(AU$5,$E$5:$AH$5,1))</f>
        <v>1321.2527267366754</v>
      </c>
      <c r="AV25" s="13">
        <f t="shared" ca="1" si="25"/>
        <v>1649.853427028165</v>
      </c>
      <c r="AW25" s="13">
        <f t="shared" ca="1" si="25"/>
        <v>1724.292675393071</v>
      </c>
    </row>
    <row r="26" spans="2:49" x14ac:dyDescent="0.25">
      <c r="C26" s="1" t="s">
        <v>159</v>
      </c>
      <c r="D26" s="13">
        <f>D144</f>
        <v>1803.6429398070677</v>
      </c>
      <c r="E26" s="13">
        <f t="shared" ref="E26:AH26" si="26">E144</f>
        <v>1829.840465482423</v>
      </c>
      <c r="F26" s="13">
        <f t="shared" si="26"/>
        <v>1694.1012643611755</v>
      </c>
      <c r="G26" s="13">
        <f t="shared" si="26"/>
        <v>1493.1012695628979</v>
      </c>
      <c r="H26" s="13">
        <f t="shared" si="26"/>
        <v>1364.20066892555</v>
      </c>
      <c r="I26" s="13">
        <f t="shared" si="26"/>
        <v>1304.4823082022854</v>
      </c>
      <c r="J26" s="13">
        <f t="shared" si="26"/>
        <v>1478.8293295995604</v>
      </c>
      <c r="K26" s="13">
        <f t="shared" si="26"/>
        <v>1538.8397827425376</v>
      </c>
      <c r="L26" s="13">
        <f t="shared" si="26"/>
        <v>1382.9474191285376</v>
      </c>
      <c r="M26" s="13">
        <f t="shared" si="26"/>
        <v>1349.3365001798363</v>
      </c>
      <c r="N26" s="13">
        <f t="shared" si="26"/>
        <v>1500.7770840945338</v>
      </c>
      <c r="O26" s="13">
        <f t="shared" si="26"/>
        <v>1673.0841415687526</v>
      </c>
      <c r="P26" s="17">
        <f t="shared" si="26"/>
        <v>1878.5217441201676</v>
      </c>
      <c r="Q26" s="13">
        <f t="shared" si="26"/>
        <v>1648.3585967775937</v>
      </c>
      <c r="R26" s="13">
        <f t="shared" si="26"/>
        <v>1461.6031254342402</v>
      </c>
      <c r="S26" s="13">
        <f t="shared" si="26"/>
        <v>1206.7011303298743</v>
      </c>
      <c r="T26" s="13">
        <f t="shared" si="26"/>
        <v>1126.5015552299517</v>
      </c>
      <c r="U26" s="13">
        <f t="shared" si="26"/>
        <v>1018.1938927410487</v>
      </c>
      <c r="V26" s="13">
        <f t="shared" si="26"/>
        <v>1272.2833687733926</v>
      </c>
      <c r="W26" s="13">
        <f t="shared" si="26"/>
        <v>1449.8731103983794</v>
      </c>
      <c r="X26" s="13">
        <f t="shared" si="26"/>
        <v>1207.7597182052014</v>
      </c>
      <c r="Y26" s="13">
        <f t="shared" si="26"/>
        <v>1112.4466480009294</v>
      </c>
      <c r="Z26" s="13">
        <f t="shared" si="26"/>
        <v>1382.2143130159834</v>
      </c>
      <c r="AA26" s="13">
        <f t="shared" si="26"/>
        <v>1564.3944363585247</v>
      </c>
      <c r="AB26" s="13">
        <f t="shared" si="26"/>
        <v>1761.0716732926624</v>
      </c>
      <c r="AC26" s="13">
        <f t="shared" si="26"/>
        <v>1695.5483383216279</v>
      </c>
      <c r="AD26" s="13">
        <f t="shared" si="26"/>
        <v>1503.4629399841276</v>
      </c>
      <c r="AE26" s="13">
        <f t="shared" si="26"/>
        <v>1242.9039926375638</v>
      </c>
      <c r="AF26" s="13">
        <f t="shared" si="26"/>
        <v>1164.2474299543912</v>
      </c>
      <c r="AG26" s="13">
        <f t="shared" si="26"/>
        <v>1051.8272850854378</v>
      </c>
      <c r="AH26" s="13">
        <f t="shared" si="26"/>
        <v>1312.0587238420346</v>
      </c>
      <c r="AJ26" s="13" cm="1">
        <f t="array" aca="1" ref="AJ26" ca="1">INDEX($E26:$AH26,1,MATCH(AJ$3&amp;AJ$4&amp;AJ$5&amp;AJ$6,$E$3:$AH$3&amp;$E$4:$AH$4&amp;$E$5:$AH$5&amp;$E$6:$AH$6,1))</f>
        <v>1493.1012695628979</v>
      </c>
      <c r="AK26" s="13" cm="1">
        <f t="array" aca="1" ref="AK26" ca="1">INDEX($E26:$AH26,1,MATCH(AK$3&amp;AK$4&amp;AK$5&amp;AK$6,$E$3:$AH$3&amp;$E$4:$AH$4&amp;$E$5:$AH$5&amp;$E$6:$AH$6,1))</f>
        <v>1478.8293295995604</v>
      </c>
      <c r="AL26" s="13" cm="1">
        <f t="array" aca="1" ref="AL26" ca="1">INDEX($E26:$AH26,1,MATCH(AL$3&amp;AL$4&amp;AL$5&amp;AL$6,$E$3:$AH$3&amp;$E$4:$AH$4&amp;$E$5:$AH$5&amp;$E$6:$AH$6,1))</f>
        <v>1349.3365001798363</v>
      </c>
      <c r="AM26" s="17" cm="1">
        <f t="array" aca="1" ref="AM26" ca="1">INDEX($E26:$AH26,1,MATCH(AM$3&amp;AM$4&amp;AM$5&amp;AM$6,$E$3:$AH$3&amp;$E$4:$AH$4&amp;$E$5:$AH$5&amp;$E$6:$AH$6,1))</f>
        <v>1878.5217441201676</v>
      </c>
      <c r="AN26" s="13" cm="1">
        <f t="array" aca="1" ref="AN26" ca="1">INDEX($E26:$AH26,1,MATCH(AN$3&amp;AN$4&amp;AN$5&amp;AN$6,$E$3:$AH$3&amp;$E$4:$AH$4&amp;$E$5:$AH$5&amp;$E$6:$AH$6,1))</f>
        <v>1206.7011303298743</v>
      </c>
      <c r="AO26" s="13" cm="1">
        <f t="array" aca="1" ref="AO26" ca="1">INDEX($E26:$AH26,1,MATCH(AO$3&amp;AO$4&amp;AO$5&amp;AO$6,$E$3:$AH$3&amp;$E$4:$AH$4&amp;$E$5:$AH$5&amp;$E$6:$AH$6,1))</f>
        <v>1272.2833687733926</v>
      </c>
      <c r="AP26" s="13" cm="1">
        <f t="array" aca="1" ref="AP26" ca="1">INDEX($E26:$AH26,1,MATCH(AP$3&amp;AP$4&amp;AP$5&amp;AP$6,$E$3:$AH$3&amp;$E$4:$AH$4&amp;$E$5:$AH$5&amp;$E$6:$AH$6,1))</f>
        <v>1112.4466480009294</v>
      </c>
      <c r="AQ26" s="13" cm="1">
        <f t="array" aca="1" ref="AQ26" ca="1">INDEX($E26:$AH26,1,MATCH(AQ$3&amp;AQ$4&amp;AQ$5&amp;AQ$6,$E$3:$AH$3&amp;$E$4:$AH$4&amp;$E$5:$AH$5&amp;$E$6:$AH$6,1))</f>
        <v>1761.0716732926624</v>
      </c>
      <c r="AR26" s="13" cm="1">
        <f t="array" aca="1" ref="AR26" ca="1">INDEX($E26:$AH26,1,MATCH(AR$3&amp;AR$4&amp;AR$5&amp;AR$6,$E$3:$AH$3&amp;$E$4:$AH$4&amp;$E$5:$AH$5&amp;$E$6:$AH$6,1))</f>
        <v>1242.9039926375638</v>
      </c>
      <c r="AS26" s="13" cm="1">
        <f t="array" aca="1" ref="AS26" ca="1">INDEX($E26:$AH26,1,MATCH(AS$3&amp;AS$4&amp;AS$5&amp;AS$6,$E$3:$AH$3&amp;$E$4:$AH$4&amp;$E$5:$AH$5&amp;$E$6:$AH$6,1))</f>
        <v>1312.0587238420346</v>
      </c>
      <c r="AT26" s="13"/>
      <c r="AU26" s="13">
        <f t="shared" ca="1" si="25"/>
        <v>1478.8293295995604</v>
      </c>
      <c r="AV26" s="13">
        <f t="shared" ca="1" si="25"/>
        <v>1272.2833687733926</v>
      </c>
      <c r="AW26" s="13">
        <f t="shared" ca="1" si="25"/>
        <v>1312.0587238420346</v>
      </c>
    </row>
    <row r="27" spans="2:49" x14ac:dyDescent="0.25">
      <c r="C27" s="1" t="s">
        <v>160</v>
      </c>
      <c r="D27" s="13">
        <f>D152</f>
        <v>225.77691192089037</v>
      </c>
      <c r="E27" s="13">
        <f t="shared" ref="E27:AH27" si="27">E152</f>
        <v>0</v>
      </c>
      <c r="F27" s="13">
        <f t="shared" si="27"/>
        <v>0</v>
      </c>
      <c r="G27" s="13">
        <f t="shared" si="27"/>
        <v>0</v>
      </c>
      <c r="H27" s="13">
        <f t="shared" si="27"/>
        <v>0</v>
      </c>
      <c r="I27" s="13">
        <f t="shared" si="27"/>
        <v>0</v>
      </c>
      <c r="J27" s="13">
        <f t="shared" si="27"/>
        <v>0</v>
      </c>
      <c r="K27" s="13">
        <f t="shared" si="27"/>
        <v>0</v>
      </c>
      <c r="L27" s="13">
        <f t="shared" si="27"/>
        <v>0</v>
      </c>
      <c r="M27" s="13">
        <f t="shared" si="27"/>
        <v>389.76</v>
      </c>
      <c r="N27" s="13">
        <f t="shared" si="27"/>
        <v>0</v>
      </c>
      <c r="O27" s="13">
        <f t="shared" si="27"/>
        <v>0</v>
      </c>
      <c r="P27" s="17">
        <f t="shared" si="27"/>
        <v>0</v>
      </c>
      <c r="Q27" s="13">
        <f t="shared" si="27"/>
        <v>0</v>
      </c>
      <c r="R27" s="13">
        <f t="shared" si="27"/>
        <v>0</v>
      </c>
      <c r="S27" s="13">
        <f t="shared" si="27"/>
        <v>0</v>
      </c>
      <c r="T27" s="13">
        <f t="shared" si="27"/>
        <v>0</v>
      </c>
      <c r="U27" s="13">
        <f t="shared" si="27"/>
        <v>0</v>
      </c>
      <c r="V27" s="13">
        <f t="shared" si="27"/>
        <v>0</v>
      </c>
      <c r="W27" s="13">
        <f t="shared" si="27"/>
        <v>0</v>
      </c>
      <c r="X27" s="13">
        <f t="shared" si="27"/>
        <v>0</v>
      </c>
      <c r="Y27" s="13">
        <f t="shared" si="27"/>
        <v>375.14400000000001</v>
      </c>
      <c r="Z27" s="13">
        <f t="shared" si="27"/>
        <v>0</v>
      </c>
      <c r="AA27" s="13">
        <f t="shared" si="27"/>
        <v>0</v>
      </c>
      <c r="AB27" s="13">
        <f t="shared" si="27"/>
        <v>0</v>
      </c>
      <c r="AC27" s="13">
        <f t="shared" si="27"/>
        <v>0</v>
      </c>
      <c r="AD27" s="13">
        <f t="shared" si="27"/>
        <v>0</v>
      </c>
      <c r="AE27" s="13">
        <f t="shared" si="27"/>
        <v>0</v>
      </c>
      <c r="AF27" s="13">
        <f t="shared" si="27"/>
        <v>0</v>
      </c>
      <c r="AG27" s="13">
        <f t="shared" si="27"/>
        <v>0</v>
      </c>
      <c r="AH27" s="13">
        <f t="shared" si="27"/>
        <v>0</v>
      </c>
      <c r="AJ27" s="13" cm="1">
        <f t="array" aca="1" ref="AJ27" ca="1">INDEX($E27:$AH27,1,MATCH(AJ$3&amp;AJ$4&amp;AJ$5&amp;AJ$6,$E$3:$AH$3&amp;$E$4:$AH$4&amp;$E$5:$AH$5&amp;$E$6:$AH$6,1))</f>
        <v>0</v>
      </c>
      <c r="AK27" s="13" cm="1">
        <f t="array" aca="1" ref="AK27" ca="1">INDEX($E27:$AH27,1,MATCH(AK$3&amp;AK$4&amp;AK$5&amp;AK$6,$E$3:$AH$3&amp;$E$4:$AH$4&amp;$E$5:$AH$5&amp;$E$6:$AH$6,1))</f>
        <v>0</v>
      </c>
      <c r="AL27" s="13" cm="1">
        <f t="array" aca="1" ref="AL27" ca="1">INDEX($E27:$AH27,1,MATCH(AL$3&amp;AL$4&amp;AL$5&amp;AL$6,$E$3:$AH$3&amp;$E$4:$AH$4&amp;$E$5:$AH$5&amp;$E$6:$AH$6,1))</f>
        <v>389.76</v>
      </c>
      <c r="AM27" s="17" cm="1">
        <f t="array" aca="1" ref="AM27" ca="1">INDEX($E27:$AH27,1,MATCH(AM$3&amp;AM$4&amp;AM$5&amp;AM$6,$E$3:$AH$3&amp;$E$4:$AH$4&amp;$E$5:$AH$5&amp;$E$6:$AH$6,1))</f>
        <v>0</v>
      </c>
      <c r="AN27" s="13" cm="1">
        <f t="array" aca="1" ref="AN27" ca="1">INDEX($E27:$AH27,1,MATCH(AN$3&amp;AN$4&amp;AN$5&amp;AN$6,$E$3:$AH$3&amp;$E$4:$AH$4&amp;$E$5:$AH$5&amp;$E$6:$AH$6,1))</f>
        <v>0</v>
      </c>
      <c r="AO27" s="13" cm="1">
        <f t="array" aca="1" ref="AO27" ca="1">INDEX($E27:$AH27,1,MATCH(AO$3&amp;AO$4&amp;AO$5&amp;AO$6,$E$3:$AH$3&amp;$E$4:$AH$4&amp;$E$5:$AH$5&amp;$E$6:$AH$6,1))</f>
        <v>0</v>
      </c>
      <c r="AP27" s="13" cm="1">
        <f t="array" aca="1" ref="AP27" ca="1">INDEX($E27:$AH27,1,MATCH(AP$3&amp;AP$4&amp;AP$5&amp;AP$6,$E$3:$AH$3&amp;$E$4:$AH$4&amp;$E$5:$AH$5&amp;$E$6:$AH$6,1))</f>
        <v>375.14400000000001</v>
      </c>
      <c r="AQ27" s="13" cm="1">
        <f t="array" aca="1" ref="AQ27" ca="1">INDEX($E27:$AH27,1,MATCH(AQ$3&amp;AQ$4&amp;AQ$5&amp;AQ$6,$E$3:$AH$3&amp;$E$4:$AH$4&amp;$E$5:$AH$5&amp;$E$6:$AH$6,1))</f>
        <v>0</v>
      </c>
      <c r="AR27" s="13" cm="1">
        <f t="array" aca="1" ref="AR27" ca="1">INDEX($E27:$AH27,1,MATCH(AR$3&amp;AR$4&amp;AR$5&amp;AR$6,$E$3:$AH$3&amp;$E$4:$AH$4&amp;$E$5:$AH$5&amp;$E$6:$AH$6,1))</f>
        <v>0</v>
      </c>
      <c r="AS27" s="13" cm="1">
        <f t="array" aca="1" ref="AS27" ca="1">INDEX($E27:$AH27,1,MATCH(AS$3&amp;AS$4&amp;AS$5&amp;AS$6,$E$3:$AH$3&amp;$E$4:$AH$4&amp;$E$5:$AH$5&amp;$E$6:$AH$6,1))</f>
        <v>0</v>
      </c>
      <c r="AT27" s="13"/>
      <c r="AU27" s="13">
        <f t="shared" ca="1" si="25"/>
        <v>0</v>
      </c>
      <c r="AV27" s="13">
        <f t="shared" ca="1" si="25"/>
        <v>0</v>
      </c>
      <c r="AW27" s="13">
        <f t="shared" ca="1" si="25"/>
        <v>0</v>
      </c>
    </row>
    <row r="28" spans="2:49" x14ac:dyDescent="0.25">
      <c r="C28" s="1" t="s">
        <v>411</v>
      </c>
      <c r="D28" s="13">
        <f>D158</f>
        <v>915.08386040870118</v>
      </c>
      <c r="E28" s="13">
        <f t="shared" ref="E28:AH28" si="28">E158</f>
        <v>915.08386040870118</v>
      </c>
      <c r="F28" s="13">
        <f t="shared" si="28"/>
        <v>1230.0838604087012</v>
      </c>
      <c r="G28" s="13">
        <f t="shared" si="28"/>
        <v>1230.0838604087012</v>
      </c>
      <c r="H28" s="13">
        <f t="shared" si="28"/>
        <v>1230.0838604087012</v>
      </c>
      <c r="I28" s="13">
        <f t="shared" si="28"/>
        <v>1230.0838604087012</v>
      </c>
      <c r="J28" s="13">
        <f t="shared" si="28"/>
        <v>885.08386040870118</v>
      </c>
      <c r="K28" s="13">
        <f t="shared" si="28"/>
        <v>885.08386040870118</v>
      </c>
      <c r="L28" s="13">
        <f t="shared" si="28"/>
        <v>885.08386040870118</v>
      </c>
      <c r="M28" s="13">
        <f t="shared" si="28"/>
        <v>885.08386040870118</v>
      </c>
      <c r="N28" s="13">
        <f t="shared" si="28"/>
        <v>885.08386040870118</v>
      </c>
      <c r="O28" s="13">
        <f t="shared" si="28"/>
        <v>905.08386040870118</v>
      </c>
      <c r="P28" s="17">
        <f t="shared" si="28"/>
        <v>905.08386040870118</v>
      </c>
      <c r="Q28" s="13">
        <f t="shared" si="28"/>
        <v>905.08386040870118</v>
      </c>
      <c r="R28" s="13">
        <f t="shared" si="28"/>
        <v>905.08386040870118</v>
      </c>
      <c r="S28" s="13">
        <f t="shared" si="28"/>
        <v>905.08386040870118</v>
      </c>
      <c r="T28" s="13">
        <f t="shared" si="28"/>
        <v>905.08386040870118</v>
      </c>
      <c r="U28" s="13">
        <f t="shared" si="28"/>
        <v>905.08386040870118</v>
      </c>
      <c r="V28" s="13">
        <f t="shared" si="28"/>
        <v>905.08386040870118</v>
      </c>
      <c r="W28" s="13">
        <f t="shared" si="28"/>
        <v>905.08386040870118</v>
      </c>
      <c r="X28" s="13">
        <f t="shared" si="28"/>
        <v>905.08386040870118</v>
      </c>
      <c r="Y28" s="13">
        <f t="shared" si="28"/>
        <v>905.08386040870118</v>
      </c>
      <c r="Z28" s="13">
        <f t="shared" si="28"/>
        <v>905.08386040870118</v>
      </c>
      <c r="AA28" s="13">
        <f t="shared" si="28"/>
        <v>905.08386040870118</v>
      </c>
      <c r="AB28" s="13">
        <f t="shared" si="28"/>
        <v>905.08386040870118</v>
      </c>
      <c r="AC28" s="13">
        <f t="shared" si="28"/>
        <v>905.08386040870118</v>
      </c>
      <c r="AD28" s="13">
        <f t="shared" si="28"/>
        <v>905.08386040870118</v>
      </c>
      <c r="AE28" s="13">
        <f t="shared" si="28"/>
        <v>905.08386040870118</v>
      </c>
      <c r="AF28" s="13">
        <f t="shared" si="28"/>
        <v>905.08386040870118</v>
      </c>
      <c r="AG28" s="13">
        <f t="shared" si="28"/>
        <v>905.08386040870118</v>
      </c>
      <c r="AH28" s="13">
        <f t="shared" si="28"/>
        <v>905.08386040870118</v>
      </c>
      <c r="AJ28" s="13" cm="1">
        <f t="array" aca="1" ref="AJ28" ca="1">INDEX($E28:$AH28,1,MATCH(AJ$3&amp;AJ$4&amp;AJ$5&amp;AJ$6,$E$3:$AH$3&amp;$E$4:$AH$4&amp;$E$5:$AH$5&amp;$E$6:$AH$6,1))</f>
        <v>1230.0838604087012</v>
      </c>
      <c r="AK28" s="13" cm="1">
        <f t="array" aca="1" ref="AK28" ca="1">INDEX($E28:$AH28,1,MATCH(AK$3&amp;AK$4&amp;AK$5&amp;AK$6,$E$3:$AH$3&amp;$E$4:$AH$4&amp;$E$5:$AH$5&amp;$E$6:$AH$6,1))</f>
        <v>885.08386040870118</v>
      </c>
      <c r="AL28" s="13" cm="1">
        <f t="array" aca="1" ref="AL28" ca="1">INDEX($E28:$AH28,1,MATCH(AL$3&amp;AL$4&amp;AL$5&amp;AL$6,$E$3:$AH$3&amp;$E$4:$AH$4&amp;$E$5:$AH$5&amp;$E$6:$AH$6,1))</f>
        <v>885.08386040870118</v>
      </c>
      <c r="AM28" s="17" cm="1">
        <f t="array" aca="1" ref="AM28" ca="1">INDEX($E28:$AH28,1,MATCH(AM$3&amp;AM$4&amp;AM$5&amp;AM$6,$E$3:$AH$3&amp;$E$4:$AH$4&amp;$E$5:$AH$5&amp;$E$6:$AH$6,1))</f>
        <v>905.08386040870118</v>
      </c>
      <c r="AN28" s="13" cm="1">
        <f t="array" aca="1" ref="AN28" ca="1">INDEX($E28:$AH28,1,MATCH(AN$3&amp;AN$4&amp;AN$5&amp;AN$6,$E$3:$AH$3&amp;$E$4:$AH$4&amp;$E$5:$AH$5&amp;$E$6:$AH$6,1))</f>
        <v>905.08386040870118</v>
      </c>
      <c r="AO28" s="13" cm="1">
        <f t="array" aca="1" ref="AO28" ca="1">INDEX($E28:$AH28,1,MATCH(AO$3&amp;AO$4&amp;AO$5&amp;AO$6,$E$3:$AH$3&amp;$E$4:$AH$4&amp;$E$5:$AH$5&amp;$E$6:$AH$6,1))</f>
        <v>905.08386040870118</v>
      </c>
      <c r="AP28" s="13" cm="1">
        <f t="array" aca="1" ref="AP28" ca="1">INDEX($E28:$AH28,1,MATCH(AP$3&amp;AP$4&amp;AP$5&amp;AP$6,$E$3:$AH$3&amp;$E$4:$AH$4&amp;$E$5:$AH$5&amp;$E$6:$AH$6,1))</f>
        <v>905.08386040870118</v>
      </c>
      <c r="AQ28" s="13" cm="1">
        <f t="array" aca="1" ref="AQ28" ca="1">INDEX($E28:$AH28,1,MATCH(AQ$3&amp;AQ$4&amp;AQ$5&amp;AQ$6,$E$3:$AH$3&amp;$E$4:$AH$4&amp;$E$5:$AH$5&amp;$E$6:$AH$6,1))</f>
        <v>905.08386040870118</v>
      </c>
      <c r="AR28" s="13" cm="1">
        <f t="array" aca="1" ref="AR28" ca="1">INDEX($E28:$AH28,1,MATCH(AR$3&amp;AR$4&amp;AR$5&amp;AR$6,$E$3:$AH$3&amp;$E$4:$AH$4&amp;$E$5:$AH$5&amp;$E$6:$AH$6,1))</f>
        <v>905.08386040870118</v>
      </c>
      <c r="AS28" s="13" cm="1">
        <f t="array" aca="1" ref="AS28" ca="1">INDEX($E28:$AH28,1,MATCH(AS$3&amp;AS$4&amp;AS$5&amp;AS$6,$E$3:$AH$3&amp;$E$4:$AH$4&amp;$E$5:$AH$5&amp;$E$6:$AH$6,1))</f>
        <v>905.08386040870118</v>
      </c>
      <c r="AT28" s="13"/>
      <c r="AU28" s="13">
        <f t="shared" ca="1" si="25"/>
        <v>885.08386040870118</v>
      </c>
      <c r="AV28" s="13">
        <f t="shared" ca="1" si="25"/>
        <v>905.08386040870118</v>
      </c>
      <c r="AW28" s="13">
        <f t="shared" ca="1" si="25"/>
        <v>905.08386040870118</v>
      </c>
    </row>
    <row r="29" spans="2:49" x14ac:dyDescent="0.25">
      <c r="C29" s="23" t="s">
        <v>162</v>
      </c>
      <c r="D29" s="24">
        <f>D164</f>
        <v>1325.5</v>
      </c>
      <c r="E29" s="24">
        <f t="shared" ref="E29:AH29" si="29">E164</f>
        <v>1350</v>
      </c>
      <c r="F29" s="24">
        <f t="shared" si="29"/>
        <v>1362.5</v>
      </c>
      <c r="G29" s="24">
        <f t="shared" si="29"/>
        <v>1375</v>
      </c>
      <c r="H29" s="24">
        <f t="shared" si="29"/>
        <v>1387.5</v>
      </c>
      <c r="I29" s="24">
        <f t="shared" si="29"/>
        <v>1400</v>
      </c>
      <c r="J29" s="24">
        <f t="shared" si="29"/>
        <v>1412.5</v>
      </c>
      <c r="K29" s="24">
        <f t="shared" si="29"/>
        <v>1425</v>
      </c>
      <c r="L29" s="24">
        <f t="shared" si="29"/>
        <v>1437.5</v>
      </c>
      <c r="M29" s="24">
        <f t="shared" si="29"/>
        <v>1450</v>
      </c>
      <c r="N29" s="24">
        <f t="shared" si="29"/>
        <v>1462.5</v>
      </c>
      <c r="O29" s="24">
        <f t="shared" si="29"/>
        <v>1475</v>
      </c>
      <c r="P29" s="64">
        <f t="shared" si="29"/>
        <v>1487.5</v>
      </c>
      <c r="Q29" s="24">
        <f t="shared" si="29"/>
        <v>1421.2416800383851</v>
      </c>
      <c r="R29" s="24">
        <f t="shared" si="29"/>
        <v>1465.6000464916347</v>
      </c>
      <c r="S29" s="24">
        <f t="shared" si="29"/>
        <v>1448.9071801626212</v>
      </c>
      <c r="T29" s="24">
        <f t="shared" si="29"/>
        <v>1454.6143158511913</v>
      </c>
      <c r="U29" s="24">
        <f t="shared" si="29"/>
        <v>1477.7390948030277</v>
      </c>
      <c r="V29" s="24">
        <f t="shared" si="29"/>
        <v>1415.0752593495592</v>
      </c>
      <c r="W29" s="24">
        <f t="shared" si="29"/>
        <v>1507.4621518722622</v>
      </c>
      <c r="X29" s="24">
        <f t="shared" si="29"/>
        <v>1499.2489964085325</v>
      </c>
      <c r="Y29" s="24">
        <f t="shared" si="29"/>
        <v>1490.922664503159</v>
      </c>
      <c r="Z29" s="24">
        <f t="shared" si="29"/>
        <v>1569.8656037307196</v>
      </c>
      <c r="AA29" s="24">
        <f t="shared" si="29"/>
        <v>1502.9619103275481</v>
      </c>
      <c r="AB29" s="24">
        <f t="shared" si="29"/>
        <v>1562.2391315171121</v>
      </c>
      <c r="AC29" s="24">
        <f t="shared" si="29"/>
        <v>1486.8015522183264</v>
      </c>
      <c r="AD29" s="24">
        <f t="shared" si="29"/>
        <v>1533.5530173546092</v>
      </c>
      <c r="AE29" s="24">
        <f t="shared" si="29"/>
        <v>1516.1569097713086</v>
      </c>
      <c r="AF29" s="24">
        <f t="shared" si="29"/>
        <v>1522.3673331037583</v>
      </c>
      <c r="AG29" s="24">
        <f t="shared" si="29"/>
        <v>1546.6454627872981</v>
      </c>
      <c r="AH29" s="24">
        <f t="shared" si="29"/>
        <v>1480.8586204437547</v>
      </c>
      <c r="AJ29" s="24" cm="1">
        <f t="array" aca="1" ref="AJ29" ca="1">INDEX($E29:$AH29,1,MATCH(AJ$3&amp;AJ$4&amp;AJ$5&amp;AJ$6,$E$3:$AH$3&amp;$E$4:$AH$4&amp;$E$5:$AH$5&amp;$E$6:$AH$6,1))</f>
        <v>1375</v>
      </c>
      <c r="AK29" s="24" cm="1">
        <f t="array" aca="1" ref="AK29" ca="1">INDEX($E29:$AH29,1,MATCH(AK$3&amp;AK$4&amp;AK$5&amp;AK$6,$E$3:$AH$3&amp;$E$4:$AH$4&amp;$E$5:$AH$5&amp;$E$6:$AH$6,1))</f>
        <v>1412.5</v>
      </c>
      <c r="AL29" s="24" cm="1">
        <f t="array" aca="1" ref="AL29" ca="1">INDEX($E29:$AH29,1,MATCH(AL$3&amp;AL$4&amp;AL$5&amp;AL$6,$E$3:$AH$3&amp;$E$4:$AH$4&amp;$E$5:$AH$5&amp;$E$6:$AH$6,1))</f>
        <v>1450</v>
      </c>
      <c r="AM29" s="64" cm="1">
        <f t="array" aca="1" ref="AM29" ca="1">INDEX($E29:$AH29,1,MATCH(AM$3&amp;AM$4&amp;AM$5&amp;AM$6,$E$3:$AH$3&amp;$E$4:$AH$4&amp;$E$5:$AH$5&amp;$E$6:$AH$6,1))</f>
        <v>1487.5</v>
      </c>
      <c r="AN29" s="24" cm="1">
        <f t="array" aca="1" ref="AN29" ca="1">INDEX($E29:$AH29,1,MATCH(AN$3&amp;AN$4&amp;AN$5&amp;AN$6,$E$3:$AH$3&amp;$E$4:$AH$4&amp;$E$5:$AH$5&amp;$E$6:$AH$6,1))</f>
        <v>1448.9071801626212</v>
      </c>
      <c r="AO29" s="24" cm="1">
        <f t="array" aca="1" ref="AO29" ca="1">INDEX($E29:$AH29,1,MATCH(AO$3&amp;AO$4&amp;AO$5&amp;AO$6,$E$3:$AH$3&amp;$E$4:$AH$4&amp;$E$5:$AH$5&amp;$E$6:$AH$6,1))</f>
        <v>1415.0752593495592</v>
      </c>
      <c r="AP29" s="24" cm="1">
        <f t="array" aca="1" ref="AP29" ca="1">INDEX($E29:$AH29,1,MATCH(AP$3&amp;AP$4&amp;AP$5&amp;AP$6,$E$3:$AH$3&amp;$E$4:$AH$4&amp;$E$5:$AH$5&amp;$E$6:$AH$6,1))</f>
        <v>1490.922664503159</v>
      </c>
      <c r="AQ29" s="24" cm="1">
        <f t="array" aca="1" ref="AQ29" ca="1">INDEX($E29:$AH29,1,MATCH(AQ$3&amp;AQ$4&amp;AQ$5&amp;AQ$6,$E$3:$AH$3&amp;$E$4:$AH$4&amp;$E$5:$AH$5&amp;$E$6:$AH$6,1))</f>
        <v>1562.2391315171121</v>
      </c>
      <c r="AR29" s="24" cm="1">
        <f t="array" aca="1" ref="AR29" ca="1">INDEX($E29:$AH29,1,MATCH(AR$3&amp;AR$4&amp;AR$5&amp;AR$6,$E$3:$AH$3&amp;$E$4:$AH$4&amp;$E$5:$AH$5&amp;$E$6:$AH$6,1))</f>
        <v>1516.1569097713086</v>
      </c>
      <c r="AS29" s="24" cm="1">
        <f t="array" aca="1" ref="AS29" ca="1">INDEX($E29:$AH29,1,MATCH(AS$3&amp;AS$4&amp;AS$5&amp;AS$6,$E$3:$AH$3&amp;$E$4:$AH$4&amp;$E$5:$AH$5&amp;$E$6:$AH$6,1))</f>
        <v>1480.8586204437547</v>
      </c>
      <c r="AT29" s="13"/>
      <c r="AU29" s="24">
        <f t="shared" ca="1" si="25"/>
        <v>1412.5</v>
      </c>
      <c r="AV29" s="24">
        <f t="shared" ca="1" si="25"/>
        <v>1415.0752593495592</v>
      </c>
      <c r="AW29" s="24">
        <f t="shared" ca="1" si="25"/>
        <v>1480.8586204437547</v>
      </c>
    </row>
    <row r="30" spans="2:49" x14ac:dyDescent="0.25">
      <c r="C30" s="2" t="s">
        <v>412</v>
      </c>
      <c r="D30" s="13">
        <f>SUM(D25:D29)</f>
        <v>6295.2065875507224</v>
      </c>
      <c r="E30" s="13">
        <f t="shared" ref="E30:AH30" si="30">SUM(E25:E29)</f>
        <v>5908.3305535951804</v>
      </c>
      <c r="F30" s="13">
        <f t="shared" si="30"/>
        <v>5485.5764904437228</v>
      </c>
      <c r="G30" s="13">
        <f t="shared" si="30"/>
        <v>5021.9945064590129</v>
      </c>
      <c r="H30" s="13">
        <f t="shared" si="30"/>
        <v>4962.6151552709662</v>
      </c>
      <c r="I30" s="13">
        <f t="shared" si="30"/>
        <v>5036.130955206113</v>
      </c>
      <c r="J30" s="13">
        <f t="shared" si="30"/>
        <v>5097.665916744937</v>
      </c>
      <c r="K30" s="13">
        <f t="shared" si="30"/>
        <v>5436.4712225278463</v>
      </c>
      <c r="L30" s="13">
        <f t="shared" si="30"/>
        <v>4724.6015320438191</v>
      </c>
      <c r="M30" s="13">
        <f t="shared" si="30"/>
        <v>5280.9773679020873</v>
      </c>
      <c r="N30" s="13">
        <f t="shared" si="30"/>
        <v>5243.7327880593157</v>
      </c>
      <c r="O30" s="13">
        <f t="shared" si="30"/>
        <v>5863.7511209440827</v>
      </c>
      <c r="P30" s="17">
        <f t="shared" si="30"/>
        <v>6055.8142194689399</v>
      </c>
      <c r="Q30" s="13">
        <f t="shared" si="30"/>
        <v>5956.7689571901647</v>
      </c>
      <c r="R30" s="13">
        <f t="shared" si="30"/>
        <v>4843.9436817333608</v>
      </c>
      <c r="S30" s="13">
        <f t="shared" si="30"/>
        <v>4705.7238322990406</v>
      </c>
      <c r="T30" s="13">
        <f t="shared" si="30"/>
        <v>4560.4081472307244</v>
      </c>
      <c r="U30" s="13">
        <f t="shared" si="30"/>
        <v>4484.1816712456348</v>
      </c>
      <c r="V30" s="13">
        <f t="shared" si="30"/>
        <v>5242.2959155598182</v>
      </c>
      <c r="W30" s="13">
        <f t="shared" si="30"/>
        <v>4888.1207449800222</v>
      </c>
      <c r="X30" s="13">
        <f t="shared" si="30"/>
        <v>4796.1863282659651</v>
      </c>
      <c r="Y30" s="13">
        <f t="shared" si="30"/>
        <v>5187.870651145131</v>
      </c>
      <c r="Z30" s="13">
        <f t="shared" si="30"/>
        <v>5618.5759275946457</v>
      </c>
      <c r="AA30" s="13">
        <f t="shared" si="30"/>
        <v>5402.1427128404275</v>
      </c>
      <c r="AB30" s="13">
        <f t="shared" si="30"/>
        <v>6226.3291566235166</v>
      </c>
      <c r="AC30" s="13">
        <f t="shared" si="30"/>
        <v>6121.8749261447465</v>
      </c>
      <c r="AD30" s="13">
        <f t="shared" si="30"/>
        <v>4993.8054990002502</v>
      </c>
      <c r="AE30" s="13">
        <f t="shared" si="30"/>
        <v>4855.2925737975384</v>
      </c>
      <c r="AF30" s="13">
        <f t="shared" si="30"/>
        <v>4712.9556551673704</v>
      </c>
      <c r="AG30" s="13">
        <f t="shared" si="30"/>
        <v>4633.5049283323024</v>
      </c>
      <c r="AH30" s="13">
        <f t="shared" si="30"/>
        <v>5422.2938800875618</v>
      </c>
      <c r="AJ30" s="13">
        <f ca="1">SUM(AJ25:AJ29)</f>
        <v>5021.9945064590129</v>
      </c>
      <c r="AK30" s="13">
        <f t="shared" ref="AK30:AW30" ca="1" si="31">SUM(AK25:AK29)</f>
        <v>5097.665916744937</v>
      </c>
      <c r="AL30" s="13">
        <f t="shared" ca="1" si="31"/>
        <v>5280.9773679020873</v>
      </c>
      <c r="AM30" s="17">
        <f t="shared" ca="1" si="31"/>
        <v>6055.8142194689399</v>
      </c>
      <c r="AN30" s="13">
        <f t="shared" ca="1" si="31"/>
        <v>4705.7238322990406</v>
      </c>
      <c r="AO30" s="13">
        <f t="shared" ca="1" si="31"/>
        <v>5242.2959155598182</v>
      </c>
      <c r="AP30" s="13">
        <f t="shared" ca="1" si="31"/>
        <v>5187.870651145131</v>
      </c>
      <c r="AQ30" s="13">
        <f t="shared" ca="1" si="31"/>
        <v>6226.3291566235166</v>
      </c>
      <c r="AR30" s="13">
        <f t="shared" ca="1" si="31"/>
        <v>4855.2925737975384</v>
      </c>
      <c r="AS30" s="13">
        <f t="shared" ca="1" si="31"/>
        <v>5422.2938800875618</v>
      </c>
      <c r="AT30" s="13"/>
      <c r="AU30" s="13">
        <f t="shared" ca="1" si="31"/>
        <v>5097.665916744937</v>
      </c>
      <c r="AV30" s="13">
        <f t="shared" ca="1" si="31"/>
        <v>5242.2959155598182</v>
      </c>
      <c r="AW30" s="13">
        <f t="shared" ca="1" si="31"/>
        <v>5422.2938800875618</v>
      </c>
    </row>
    <row r="31" spans="2:49" x14ac:dyDescent="0.25"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J31" s="13"/>
      <c r="AK31" s="13"/>
      <c r="AL31" s="13"/>
      <c r="AM31" s="17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2:49" x14ac:dyDescent="0.25">
      <c r="C32" s="1" t="s">
        <v>163</v>
      </c>
      <c r="D32" s="13">
        <f>D173</f>
        <v>4977.0862961113271</v>
      </c>
      <c r="E32" s="13">
        <f t="shared" ref="E32:AH32" si="32">E173</f>
        <v>4977.0862961113271</v>
      </c>
      <c r="F32" s="13">
        <f t="shared" si="32"/>
        <v>4977.0862961113271</v>
      </c>
      <c r="G32" s="13">
        <f t="shared" si="32"/>
        <v>4977.0862961113271</v>
      </c>
      <c r="H32" s="13">
        <f t="shared" si="32"/>
        <v>4977.0862961113271</v>
      </c>
      <c r="I32" s="13">
        <f t="shared" si="32"/>
        <v>5977.0862961113271</v>
      </c>
      <c r="J32" s="13">
        <f t="shared" si="32"/>
        <v>4727.0862961113271</v>
      </c>
      <c r="K32" s="13">
        <f t="shared" si="32"/>
        <v>4727.0862961113271</v>
      </c>
      <c r="L32" s="13">
        <f t="shared" si="32"/>
        <v>4727.0862961113271</v>
      </c>
      <c r="M32" s="13">
        <f t="shared" si="32"/>
        <v>4727.0862961113271</v>
      </c>
      <c r="N32" s="13">
        <f t="shared" si="32"/>
        <v>4727.0862961113271</v>
      </c>
      <c r="O32" s="13">
        <f t="shared" si="32"/>
        <v>4727.0862961113271</v>
      </c>
      <c r="P32" s="17">
        <f t="shared" si="32"/>
        <v>4727.0862961113271</v>
      </c>
      <c r="Q32" s="13">
        <f t="shared" si="32"/>
        <v>4727.0862961113271</v>
      </c>
      <c r="R32" s="13">
        <f t="shared" si="32"/>
        <v>4727.0862961113271</v>
      </c>
      <c r="S32" s="13">
        <f t="shared" si="32"/>
        <v>4727.0862961113271</v>
      </c>
      <c r="T32" s="13">
        <f t="shared" si="32"/>
        <v>4727.0862961113271</v>
      </c>
      <c r="U32" s="13">
        <f t="shared" si="32"/>
        <v>4727.0862961113271</v>
      </c>
      <c r="V32" s="13">
        <f t="shared" si="32"/>
        <v>4727.0862961113271</v>
      </c>
      <c r="W32" s="13">
        <f t="shared" si="32"/>
        <v>4727.0862961113271</v>
      </c>
      <c r="X32" s="13">
        <f t="shared" si="32"/>
        <v>4727.0862961113271</v>
      </c>
      <c r="Y32" s="13">
        <f t="shared" si="32"/>
        <v>4727.0862961113271</v>
      </c>
      <c r="Z32" s="13">
        <f t="shared" si="32"/>
        <v>4727.0862961113271</v>
      </c>
      <c r="AA32" s="13">
        <f t="shared" si="32"/>
        <v>4727.0862961113271</v>
      </c>
      <c r="AB32" s="13">
        <f t="shared" si="32"/>
        <v>4727.0862961113271</v>
      </c>
      <c r="AC32" s="13">
        <f t="shared" si="32"/>
        <v>4727.0862961113271</v>
      </c>
      <c r="AD32" s="13">
        <f t="shared" si="32"/>
        <v>4727.0862961113271</v>
      </c>
      <c r="AE32" s="13">
        <f t="shared" si="32"/>
        <v>4727.0862961113271</v>
      </c>
      <c r="AF32" s="13">
        <f t="shared" si="32"/>
        <v>4727.0862961113271</v>
      </c>
      <c r="AG32" s="13">
        <f t="shared" si="32"/>
        <v>4727.0862961113271</v>
      </c>
      <c r="AH32" s="13">
        <f t="shared" si="32"/>
        <v>4727.0862961113271</v>
      </c>
      <c r="AJ32" s="13" cm="1">
        <f t="array" aca="1" ref="AJ32" ca="1">INDEX($E32:$AH32,1,MATCH(AJ$3&amp;AJ$4&amp;AJ$5&amp;AJ$6,$E$3:$AH$3&amp;$E$4:$AH$4&amp;$E$5:$AH$5&amp;$E$6:$AH$6,1))</f>
        <v>4977.0862961113271</v>
      </c>
      <c r="AK32" s="13" cm="1">
        <f t="array" aca="1" ref="AK32" ca="1">INDEX($E32:$AH32,1,MATCH(AK$3&amp;AK$4&amp;AK$5&amp;AK$6,$E$3:$AH$3&amp;$E$4:$AH$4&amp;$E$5:$AH$5&amp;$E$6:$AH$6,1))</f>
        <v>4727.0862961113271</v>
      </c>
      <c r="AL32" s="13" cm="1">
        <f t="array" aca="1" ref="AL32" ca="1">INDEX($E32:$AH32,1,MATCH(AL$3&amp;AL$4&amp;AL$5&amp;AL$6,$E$3:$AH$3&amp;$E$4:$AH$4&amp;$E$5:$AH$5&amp;$E$6:$AH$6,1))</f>
        <v>4727.0862961113271</v>
      </c>
      <c r="AM32" s="17" cm="1">
        <f t="array" aca="1" ref="AM32" ca="1">INDEX($E32:$AH32,1,MATCH(AM$3&amp;AM$4&amp;AM$5&amp;AM$6,$E$3:$AH$3&amp;$E$4:$AH$4&amp;$E$5:$AH$5&amp;$E$6:$AH$6,1))</f>
        <v>4727.0862961113271</v>
      </c>
      <c r="AN32" s="13" cm="1">
        <f t="array" aca="1" ref="AN32" ca="1">INDEX($E32:$AH32,1,MATCH(AN$3&amp;AN$4&amp;AN$5&amp;AN$6,$E$3:$AH$3&amp;$E$4:$AH$4&amp;$E$5:$AH$5&amp;$E$6:$AH$6,1))</f>
        <v>4727.0862961113271</v>
      </c>
      <c r="AO32" s="13" cm="1">
        <f t="array" aca="1" ref="AO32" ca="1">INDEX($E32:$AH32,1,MATCH(AO$3&amp;AO$4&amp;AO$5&amp;AO$6,$E$3:$AH$3&amp;$E$4:$AH$4&amp;$E$5:$AH$5&amp;$E$6:$AH$6,1))</f>
        <v>4727.0862961113271</v>
      </c>
      <c r="AP32" s="13" cm="1">
        <f t="array" aca="1" ref="AP32" ca="1">INDEX($E32:$AH32,1,MATCH(AP$3&amp;AP$4&amp;AP$5&amp;AP$6,$E$3:$AH$3&amp;$E$4:$AH$4&amp;$E$5:$AH$5&amp;$E$6:$AH$6,1))</f>
        <v>4727.0862961113271</v>
      </c>
      <c r="AQ32" s="13" cm="1">
        <f t="array" aca="1" ref="AQ32" ca="1">INDEX($E32:$AH32,1,MATCH(AQ$3&amp;AQ$4&amp;AQ$5&amp;AQ$6,$E$3:$AH$3&amp;$E$4:$AH$4&amp;$E$5:$AH$5&amp;$E$6:$AH$6,1))</f>
        <v>4727.0862961113271</v>
      </c>
      <c r="AR32" s="13" cm="1">
        <f t="array" aca="1" ref="AR32" ca="1">INDEX($E32:$AH32,1,MATCH(AR$3&amp;AR$4&amp;AR$5&amp;AR$6,$E$3:$AH$3&amp;$E$4:$AH$4&amp;$E$5:$AH$5&amp;$E$6:$AH$6,1))</f>
        <v>4727.0862961113271</v>
      </c>
      <c r="AS32" s="13" cm="1">
        <f t="array" aca="1" ref="AS32" ca="1">INDEX($E32:$AH32,1,MATCH(AS$3&amp;AS$4&amp;AS$5&amp;AS$6,$E$3:$AH$3&amp;$E$4:$AH$4&amp;$E$5:$AH$5&amp;$E$6:$AH$6,1))</f>
        <v>4727.0862961113271</v>
      </c>
      <c r="AT32" s="13"/>
      <c r="AU32" s="13">
        <f t="shared" ref="AU32:AW33" ca="1" si="33">INDEX($E32:$AH32,1,MATCH(AU$5,$E$5:$AH$5,1))</f>
        <v>4727.0862961113271</v>
      </c>
      <c r="AV32" s="13">
        <f t="shared" ca="1" si="33"/>
        <v>4727.0862961113271</v>
      </c>
      <c r="AW32" s="13">
        <f t="shared" ca="1" si="33"/>
        <v>4727.0862961113271</v>
      </c>
    </row>
    <row r="33" spans="1:49" x14ac:dyDescent="0.25">
      <c r="C33" s="23" t="s">
        <v>164</v>
      </c>
      <c r="D33" s="24">
        <f>D180</f>
        <v>469.13861509013924</v>
      </c>
      <c r="E33" s="24">
        <f t="shared" ref="E33:AH33" si="34">E180</f>
        <v>472.49803976797421</v>
      </c>
      <c r="F33" s="24">
        <f t="shared" si="34"/>
        <v>428.23078533982778</v>
      </c>
      <c r="G33" s="24">
        <f t="shared" si="34"/>
        <v>386.32046631029652</v>
      </c>
      <c r="H33" s="24">
        <f t="shared" si="34"/>
        <v>370.67968318295897</v>
      </c>
      <c r="I33" s="24">
        <f t="shared" si="34"/>
        <v>372.0310479592531</v>
      </c>
      <c r="J33" s="24">
        <f t="shared" si="34"/>
        <v>367.0310479592531</v>
      </c>
      <c r="K33" s="24">
        <f t="shared" si="34"/>
        <v>372.0310479592531</v>
      </c>
      <c r="L33" s="24">
        <f t="shared" si="34"/>
        <v>427.0310479592531</v>
      </c>
      <c r="M33" s="24">
        <f t="shared" si="34"/>
        <v>513.97166640530725</v>
      </c>
      <c r="N33" s="24">
        <f t="shared" si="34"/>
        <v>437.15497883393681</v>
      </c>
      <c r="O33" s="24">
        <f t="shared" si="34"/>
        <v>461.75943938947859</v>
      </c>
      <c r="P33" s="64">
        <f t="shared" si="34"/>
        <v>503.16528505291183</v>
      </c>
      <c r="Q33" s="24">
        <f t="shared" si="34"/>
        <v>468.99916452701882</v>
      </c>
      <c r="R33" s="24">
        <f t="shared" si="34"/>
        <v>434.51811979168093</v>
      </c>
      <c r="S33" s="24">
        <f t="shared" si="34"/>
        <v>400.66003231202831</v>
      </c>
      <c r="T33" s="24">
        <f t="shared" si="34"/>
        <v>394.01586071933633</v>
      </c>
      <c r="U33" s="24">
        <f t="shared" si="34"/>
        <v>385.20997413507041</v>
      </c>
      <c r="V33" s="24">
        <f t="shared" si="34"/>
        <v>452.30199590796593</v>
      </c>
      <c r="W33" s="24">
        <f t="shared" si="34"/>
        <v>452.87366347604058</v>
      </c>
      <c r="X33" s="24">
        <f t="shared" si="34"/>
        <v>409.12273219207469</v>
      </c>
      <c r="Y33" s="24">
        <f t="shared" si="34"/>
        <v>533.57594888204972</v>
      </c>
      <c r="Z33" s="24">
        <f t="shared" si="34"/>
        <v>483.97485047795158</v>
      </c>
      <c r="AA33" s="24">
        <f t="shared" si="34"/>
        <v>487.73803117476228</v>
      </c>
      <c r="AB33" s="24">
        <f t="shared" si="34"/>
        <v>521.22929387798456</v>
      </c>
      <c r="AC33" s="24">
        <f t="shared" si="34"/>
        <v>497.22706506180936</v>
      </c>
      <c r="AD33" s="24">
        <f t="shared" si="34"/>
        <v>449.47433693324365</v>
      </c>
      <c r="AE33" s="24">
        <f t="shared" si="34"/>
        <v>415.65827446283112</v>
      </c>
      <c r="AF33" s="24">
        <f t="shared" si="34"/>
        <v>410.4533866318074</v>
      </c>
      <c r="AG33" s="24">
        <f t="shared" si="34"/>
        <v>401.00200485854259</v>
      </c>
      <c r="AH33" s="24">
        <f t="shared" si="34"/>
        <v>469.95879157056822</v>
      </c>
      <c r="AJ33" s="24" cm="1">
        <f t="array" aca="1" ref="AJ33" ca="1">INDEX($E33:$AH33,1,MATCH(AJ$3&amp;AJ$4&amp;AJ$5&amp;AJ$6,$E$3:$AH$3&amp;$E$4:$AH$4&amp;$E$5:$AH$5&amp;$E$6:$AH$6,1))</f>
        <v>386.32046631029652</v>
      </c>
      <c r="AK33" s="24" cm="1">
        <f t="array" aca="1" ref="AK33" ca="1">INDEX($E33:$AH33,1,MATCH(AK$3&amp;AK$4&amp;AK$5&amp;AK$6,$E$3:$AH$3&amp;$E$4:$AH$4&amp;$E$5:$AH$5&amp;$E$6:$AH$6,1))</f>
        <v>367.0310479592531</v>
      </c>
      <c r="AL33" s="24" cm="1">
        <f t="array" aca="1" ref="AL33" ca="1">INDEX($E33:$AH33,1,MATCH(AL$3&amp;AL$4&amp;AL$5&amp;AL$6,$E$3:$AH$3&amp;$E$4:$AH$4&amp;$E$5:$AH$5&amp;$E$6:$AH$6,1))</f>
        <v>513.97166640530725</v>
      </c>
      <c r="AM33" s="64" cm="1">
        <f t="array" aca="1" ref="AM33" ca="1">INDEX($E33:$AH33,1,MATCH(AM$3&amp;AM$4&amp;AM$5&amp;AM$6,$E$3:$AH$3&amp;$E$4:$AH$4&amp;$E$5:$AH$5&amp;$E$6:$AH$6,1))</f>
        <v>503.16528505291183</v>
      </c>
      <c r="AN33" s="24" cm="1">
        <f t="array" aca="1" ref="AN33" ca="1">INDEX($E33:$AH33,1,MATCH(AN$3&amp;AN$4&amp;AN$5&amp;AN$6,$E$3:$AH$3&amp;$E$4:$AH$4&amp;$E$5:$AH$5&amp;$E$6:$AH$6,1))</f>
        <v>400.66003231202831</v>
      </c>
      <c r="AO33" s="24" cm="1">
        <f t="array" aca="1" ref="AO33" ca="1">INDEX($E33:$AH33,1,MATCH(AO$3&amp;AO$4&amp;AO$5&amp;AO$6,$E$3:$AH$3&amp;$E$4:$AH$4&amp;$E$5:$AH$5&amp;$E$6:$AH$6,1))</f>
        <v>452.30199590796593</v>
      </c>
      <c r="AP33" s="24" cm="1">
        <f t="array" aca="1" ref="AP33" ca="1">INDEX($E33:$AH33,1,MATCH(AP$3&amp;AP$4&amp;AP$5&amp;AP$6,$E$3:$AH$3&amp;$E$4:$AH$4&amp;$E$5:$AH$5&amp;$E$6:$AH$6,1))</f>
        <v>533.57594888204972</v>
      </c>
      <c r="AQ33" s="24" cm="1">
        <f t="array" aca="1" ref="AQ33" ca="1">INDEX($E33:$AH33,1,MATCH(AQ$3&amp;AQ$4&amp;AQ$5&amp;AQ$6,$E$3:$AH$3&amp;$E$4:$AH$4&amp;$E$5:$AH$5&amp;$E$6:$AH$6,1))</f>
        <v>521.22929387798456</v>
      </c>
      <c r="AR33" s="24" cm="1">
        <f t="array" aca="1" ref="AR33" ca="1">INDEX($E33:$AH33,1,MATCH(AR$3&amp;AR$4&amp;AR$5&amp;AR$6,$E$3:$AH$3&amp;$E$4:$AH$4&amp;$E$5:$AH$5&amp;$E$6:$AH$6,1))</f>
        <v>415.65827446283112</v>
      </c>
      <c r="AS33" s="24" cm="1">
        <f t="array" aca="1" ref="AS33" ca="1">INDEX($E33:$AH33,1,MATCH(AS$3&amp;AS$4&amp;AS$5&amp;AS$6,$E$3:$AH$3&amp;$E$4:$AH$4&amp;$E$5:$AH$5&amp;$E$6:$AH$6,1))</f>
        <v>469.95879157056822</v>
      </c>
      <c r="AT33" s="13"/>
      <c r="AU33" s="24">
        <f t="shared" ca="1" si="33"/>
        <v>367.0310479592531</v>
      </c>
      <c r="AV33" s="24">
        <f t="shared" ca="1" si="33"/>
        <v>452.30199590796593</v>
      </c>
      <c r="AW33" s="24">
        <f t="shared" ca="1" si="33"/>
        <v>469.95879157056822</v>
      </c>
    </row>
    <row r="34" spans="1:49" x14ac:dyDescent="0.25">
      <c r="C34" s="2" t="s">
        <v>165</v>
      </c>
      <c r="D34" s="13">
        <f>SUM(D30:D33)</f>
        <v>11741.431498752188</v>
      </c>
      <c r="E34" s="13">
        <f t="shared" ref="E34:AH34" si="35">SUM(E30:E33)</f>
        <v>11357.914889474481</v>
      </c>
      <c r="F34" s="13">
        <f t="shared" si="35"/>
        <v>10890.893571894878</v>
      </c>
      <c r="G34" s="13">
        <f t="shared" si="35"/>
        <v>10385.401268880638</v>
      </c>
      <c r="H34" s="13">
        <f t="shared" si="35"/>
        <v>10310.381134565254</v>
      </c>
      <c r="I34" s="13">
        <f t="shared" si="35"/>
        <v>11385.248299276695</v>
      </c>
      <c r="J34" s="13">
        <f t="shared" si="35"/>
        <v>10191.783260815517</v>
      </c>
      <c r="K34" s="13">
        <f t="shared" si="35"/>
        <v>10535.588566598426</v>
      </c>
      <c r="L34" s="13">
        <f t="shared" si="35"/>
        <v>9878.7188761144007</v>
      </c>
      <c r="M34" s="13">
        <f t="shared" si="35"/>
        <v>10522.035330418721</v>
      </c>
      <c r="N34" s="13">
        <f t="shared" si="35"/>
        <v>10407.974063004578</v>
      </c>
      <c r="O34" s="13">
        <f t="shared" si="35"/>
        <v>11052.596856444887</v>
      </c>
      <c r="P34" s="17">
        <f t="shared" si="35"/>
        <v>11286.065800633178</v>
      </c>
      <c r="Q34" s="13">
        <f t="shared" si="35"/>
        <v>11152.85441782851</v>
      </c>
      <c r="R34" s="13">
        <f t="shared" si="35"/>
        <v>10005.548097636369</v>
      </c>
      <c r="S34" s="13">
        <f t="shared" si="35"/>
        <v>9833.4701607223978</v>
      </c>
      <c r="T34" s="13">
        <f t="shared" si="35"/>
        <v>9681.5103040613885</v>
      </c>
      <c r="U34" s="13">
        <f t="shared" si="35"/>
        <v>9596.4779414920322</v>
      </c>
      <c r="V34" s="13">
        <f t="shared" si="35"/>
        <v>10421.684207579112</v>
      </c>
      <c r="W34" s="13">
        <f t="shared" si="35"/>
        <v>10068.08070456739</v>
      </c>
      <c r="X34" s="13">
        <f t="shared" si="35"/>
        <v>9932.3953565693664</v>
      </c>
      <c r="Y34" s="13">
        <f t="shared" si="35"/>
        <v>10448.532896138508</v>
      </c>
      <c r="Z34" s="13">
        <f t="shared" si="35"/>
        <v>10829.637074183924</v>
      </c>
      <c r="AA34" s="13">
        <f t="shared" si="35"/>
        <v>10616.967040126518</v>
      </c>
      <c r="AB34" s="13">
        <f t="shared" si="35"/>
        <v>11474.644746612828</v>
      </c>
      <c r="AC34" s="13">
        <f t="shared" si="35"/>
        <v>11346.188287317884</v>
      </c>
      <c r="AD34" s="13">
        <f t="shared" si="35"/>
        <v>10170.366132044819</v>
      </c>
      <c r="AE34" s="13">
        <f t="shared" si="35"/>
        <v>9998.0371443716958</v>
      </c>
      <c r="AF34" s="13">
        <f t="shared" si="35"/>
        <v>9850.4953379105045</v>
      </c>
      <c r="AG34" s="13">
        <f t="shared" si="35"/>
        <v>9761.5932293021724</v>
      </c>
      <c r="AH34" s="13">
        <f t="shared" si="35"/>
        <v>10619.338967769458</v>
      </c>
      <c r="AJ34" s="13">
        <f t="shared" ref="AJ34:AW34" ca="1" si="36">SUM(AJ30:AJ33)</f>
        <v>10385.401268880638</v>
      </c>
      <c r="AK34" s="13">
        <f t="shared" ca="1" si="36"/>
        <v>10191.783260815517</v>
      </c>
      <c r="AL34" s="13">
        <f t="shared" ca="1" si="36"/>
        <v>10522.035330418721</v>
      </c>
      <c r="AM34" s="17">
        <f t="shared" ca="1" si="36"/>
        <v>11286.065800633178</v>
      </c>
      <c r="AN34" s="13">
        <f t="shared" ca="1" si="36"/>
        <v>9833.4701607223978</v>
      </c>
      <c r="AO34" s="13">
        <f t="shared" ca="1" si="36"/>
        <v>10421.684207579112</v>
      </c>
      <c r="AP34" s="13">
        <f t="shared" ca="1" si="36"/>
        <v>10448.532896138508</v>
      </c>
      <c r="AQ34" s="13">
        <f t="shared" ca="1" si="36"/>
        <v>11474.644746612828</v>
      </c>
      <c r="AR34" s="13">
        <f t="shared" ca="1" si="36"/>
        <v>9998.0371443716958</v>
      </c>
      <c r="AS34" s="13">
        <f t="shared" ca="1" si="36"/>
        <v>10619.338967769458</v>
      </c>
      <c r="AT34" s="13"/>
      <c r="AU34" s="13">
        <f t="shared" ca="1" si="36"/>
        <v>10191.783260815517</v>
      </c>
      <c r="AV34" s="13">
        <f t="shared" ca="1" si="36"/>
        <v>10421.684207579112</v>
      </c>
      <c r="AW34" s="13">
        <f t="shared" ca="1" si="36"/>
        <v>10619.338967769458</v>
      </c>
    </row>
    <row r="35" spans="1:49" x14ac:dyDescent="0.25"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7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J35" s="13"/>
      <c r="AK35" s="13"/>
      <c r="AL35" s="13"/>
      <c r="AM35" s="17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49" x14ac:dyDescent="0.25">
      <c r="C36" s="1" t="s">
        <v>214</v>
      </c>
      <c r="D36" s="13">
        <f>D192</f>
        <v>14063.035734973459</v>
      </c>
      <c r="E36" s="13">
        <f t="shared" ref="E36:AH36" si="37">E192</f>
        <v>14063.035734973459</v>
      </c>
      <c r="F36" s="13">
        <f t="shared" si="37"/>
        <v>14063.035734973459</v>
      </c>
      <c r="G36" s="13">
        <f t="shared" si="37"/>
        <v>14063.035734973459</v>
      </c>
      <c r="H36" s="13">
        <f t="shared" si="37"/>
        <v>14063.035734973459</v>
      </c>
      <c r="I36" s="13">
        <f t="shared" si="37"/>
        <v>14063.035734973459</v>
      </c>
      <c r="J36" s="13">
        <f t="shared" si="37"/>
        <v>14063.035734973459</v>
      </c>
      <c r="K36" s="13">
        <f t="shared" si="37"/>
        <v>14063.035734973459</v>
      </c>
      <c r="L36" s="13">
        <f t="shared" si="37"/>
        <v>14063.035734973459</v>
      </c>
      <c r="M36" s="13">
        <f t="shared" si="37"/>
        <v>14063.035734973459</v>
      </c>
      <c r="N36" s="13">
        <f t="shared" si="37"/>
        <v>14063.035734973459</v>
      </c>
      <c r="O36" s="13">
        <f t="shared" si="37"/>
        <v>14063.035734973459</v>
      </c>
      <c r="P36" s="17">
        <f t="shared" si="37"/>
        <v>14063.035734973459</v>
      </c>
      <c r="Q36" s="13">
        <f t="shared" si="37"/>
        <v>14063.035734973459</v>
      </c>
      <c r="R36" s="13">
        <f t="shared" si="37"/>
        <v>14063.035734973459</v>
      </c>
      <c r="S36" s="13">
        <f t="shared" si="37"/>
        <v>14063.035734973459</v>
      </c>
      <c r="T36" s="13">
        <f t="shared" si="37"/>
        <v>14063.035734973459</v>
      </c>
      <c r="U36" s="13">
        <f t="shared" si="37"/>
        <v>14063.035734973459</v>
      </c>
      <c r="V36" s="13">
        <f t="shared" si="37"/>
        <v>14063.035734973459</v>
      </c>
      <c r="W36" s="13">
        <f t="shared" si="37"/>
        <v>14063.035734973459</v>
      </c>
      <c r="X36" s="13">
        <f t="shared" si="37"/>
        <v>14063.035734973459</v>
      </c>
      <c r="Y36" s="13">
        <f t="shared" si="37"/>
        <v>14063.035734973459</v>
      </c>
      <c r="Z36" s="13">
        <f t="shared" si="37"/>
        <v>14063.035734973459</v>
      </c>
      <c r="AA36" s="13">
        <f t="shared" si="37"/>
        <v>14063.035734973459</v>
      </c>
      <c r="AB36" s="13">
        <f t="shared" si="37"/>
        <v>14063.035734973459</v>
      </c>
      <c r="AC36" s="13">
        <f t="shared" si="37"/>
        <v>14063.035734973459</v>
      </c>
      <c r="AD36" s="13">
        <f t="shared" si="37"/>
        <v>14063.035734973459</v>
      </c>
      <c r="AE36" s="13">
        <f t="shared" si="37"/>
        <v>14063.035734973459</v>
      </c>
      <c r="AF36" s="13">
        <f t="shared" si="37"/>
        <v>14063.035734973459</v>
      </c>
      <c r="AG36" s="13">
        <f t="shared" si="37"/>
        <v>14063.035734973459</v>
      </c>
      <c r="AH36" s="13">
        <f t="shared" si="37"/>
        <v>14063.035734973459</v>
      </c>
      <c r="AJ36" s="13" cm="1">
        <f t="array" aca="1" ref="AJ36" ca="1">INDEX($E36:$AH36,1,MATCH(AJ$3&amp;AJ$4&amp;AJ$5&amp;AJ$6,$E$3:$AH$3&amp;$E$4:$AH$4&amp;$E$5:$AH$5&amp;$E$6:$AH$6,1))</f>
        <v>14063.035734973459</v>
      </c>
      <c r="AK36" s="13" cm="1">
        <f t="array" aca="1" ref="AK36" ca="1">INDEX($E36:$AH36,1,MATCH(AK$3&amp;AK$4&amp;AK$5&amp;AK$6,$E$3:$AH$3&amp;$E$4:$AH$4&amp;$E$5:$AH$5&amp;$E$6:$AH$6,1))</f>
        <v>14063.035734973459</v>
      </c>
      <c r="AL36" s="13" cm="1">
        <f t="array" aca="1" ref="AL36" ca="1">INDEX($E36:$AH36,1,MATCH(AL$3&amp;AL$4&amp;AL$5&amp;AL$6,$E$3:$AH$3&amp;$E$4:$AH$4&amp;$E$5:$AH$5&amp;$E$6:$AH$6,1))</f>
        <v>14063.035734973459</v>
      </c>
      <c r="AM36" s="17" cm="1">
        <f t="array" aca="1" ref="AM36" ca="1">INDEX($E36:$AH36,1,MATCH(AM$3&amp;AM$4&amp;AM$5&amp;AM$6,$E$3:$AH$3&amp;$E$4:$AH$4&amp;$E$5:$AH$5&amp;$E$6:$AH$6,1))</f>
        <v>14063.035734973459</v>
      </c>
      <c r="AN36" s="13" cm="1">
        <f t="array" aca="1" ref="AN36" ca="1">INDEX($E36:$AH36,1,MATCH(AN$3&amp;AN$4&amp;AN$5&amp;AN$6,$E$3:$AH$3&amp;$E$4:$AH$4&amp;$E$5:$AH$5&amp;$E$6:$AH$6,1))</f>
        <v>14063.035734973459</v>
      </c>
      <c r="AO36" s="13" cm="1">
        <f t="array" aca="1" ref="AO36" ca="1">INDEX($E36:$AH36,1,MATCH(AO$3&amp;AO$4&amp;AO$5&amp;AO$6,$E$3:$AH$3&amp;$E$4:$AH$4&amp;$E$5:$AH$5&amp;$E$6:$AH$6,1))</f>
        <v>14063.035734973459</v>
      </c>
      <c r="AP36" s="13" cm="1">
        <f t="array" aca="1" ref="AP36" ca="1">INDEX($E36:$AH36,1,MATCH(AP$3&amp;AP$4&amp;AP$5&amp;AP$6,$E$3:$AH$3&amp;$E$4:$AH$4&amp;$E$5:$AH$5&amp;$E$6:$AH$6,1))</f>
        <v>14063.035734973459</v>
      </c>
      <c r="AQ36" s="13" cm="1">
        <f t="array" aca="1" ref="AQ36" ca="1">INDEX($E36:$AH36,1,MATCH(AQ$3&amp;AQ$4&amp;AQ$5&amp;AQ$6,$E$3:$AH$3&amp;$E$4:$AH$4&amp;$E$5:$AH$5&amp;$E$6:$AH$6,1))</f>
        <v>14063.035734973459</v>
      </c>
      <c r="AR36" s="13" cm="1">
        <f t="array" aca="1" ref="AR36" ca="1">INDEX($E36:$AH36,1,MATCH(AR$3&amp;AR$4&amp;AR$5&amp;AR$6,$E$3:$AH$3&amp;$E$4:$AH$4&amp;$E$5:$AH$5&amp;$E$6:$AH$6,1))</f>
        <v>14063.035734973459</v>
      </c>
      <c r="AS36" s="13" cm="1">
        <f t="array" aca="1" ref="AS36" ca="1">INDEX($E36:$AH36,1,MATCH(AS$3&amp;AS$4&amp;AS$5&amp;AS$6,$E$3:$AH$3&amp;$E$4:$AH$4&amp;$E$5:$AH$5&amp;$E$6:$AH$6,1))</f>
        <v>14063.035734973459</v>
      </c>
      <c r="AT36" s="13"/>
      <c r="AU36" s="13">
        <f t="shared" ref="AU36:AW38" ca="1" si="38">INDEX($E36:$AH36,1,MATCH(AU$5,$E$5:$AH$5,1))</f>
        <v>14063.035734973459</v>
      </c>
      <c r="AV36" s="13">
        <f t="shared" ca="1" si="38"/>
        <v>14063.035734973459</v>
      </c>
      <c r="AW36" s="13">
        <f t="shared" ca="1" si="38"/>
        <v>14063.035734973459</v>
      </c>
    </row>
    <row r="37" spans="1:49" x14ac:dyDescent="0.25">
      <c r="C37" s="1" t="s">
        <v>170</v>
      </c>
      <c r="D37" s="13">
        <f>-D198</f>
        <v>-10426.473939559504</v>
      </c>
      <c r="E37" s="13">
        <f t="shared" ref="E37:AH37" si="39">-E198</f>
        <v>-10426.473939559504</v>
      </c>
      <c r="F37" s="13">
        <f t="shared" si="39"/>
        <v>-10426.473939559504</v>
      </c>
      <c r="G37" s="13">
        <f t="shared" si="39"/>
        <v>-10426.473939559504</v>
      </c>
      <c r="H37" s="13">
        <f t="shared" si="39"/>
        <v>-10426.473939559504</v>
      </c>
      <c r="I37" s="13">
        <f t="shared" si="39"/>
        <v>-10426.473939559504</v>
      </c>
      <c r="J37" s="13">
        <f t="shared" si="39"/>
        <v>-10426.473939559504</v>
      </c>
      <c r="K37" s="13">
        <f t="shared" si="39"/>
        <v>-10426.473939559504</v>
      </c>
      <c r="L37" s="13">
        <f t="shared" si="39"/>
        <v>-10426.473939559504</v>
      </c>
      <c r="M37" s="13">
        <f t="shared" si="39"/>
        <v>-10426.473939559504</v>
      </c>
      <c r="N37" s="13">
        <f t="shared" si="39"/>
        <v>-10426.473939559504</v>
      </c>
      <c r="O37" s="13">
        <f t="shared" si="39"/>
        <v>-10426.473939559504</v>
      </c>
      <c r="P37" s="17">
        <f t="shared" si="39"/>
        <v>-10426.473939559504</v>
      </c>
      <c r="Q37" s="13">
        <f t="shared" si="39"/>
        <v>-10426.473939559504</v>
      </c>
      <c r="R37" s="13">
        <f t="shared" si="39"/>
        <v>-10426.473939559504</v>
      </c>
      <c r="S37" s="13">
        <f t="shared" si="39"/>
        <v>-10426.473939559504</v>
      </c>
      <c r="T37" s="13">
        <f t="shared" si="39"/>
        <v>-10426.473939559504</v>
      </c>
      <c r="U37" s="13">
        <f t="shared" si="39"/>
        <v>-10426.473939559504</v>
      </c>
      <c r="V37" s="13">
        <f t="shared" si="39"/>
        <v>-10426.473939559504</v>
      </c>
      <c r="W37" s="13">
        <f t="shared" si="39"/>
        <v>-10426.473939559504</v>
      </c>
      <c r="X37" s="13">
        <f t="shared" si="39"/>
        <v>-10426.473939559504</v>
      </c>
      <c r="Y37" s="13">
        <f t="shared" si="39"/>
        <v>-10426.473939559504</v>
      </c>
      <c r="Z37" s="13">
        <f t="shared" si="39"/>
        <v>-10426.473939559504</v>
      </c>
      <c r="AA37" s="13">
        <f t="shared" si="39"/>
        <v>-10426.473939559504</v>
      </c>
      <c r="AB37" s="13">
        <f t="shared" si="39"/>
        <v>-10426.473939559504</v>
      </c>
      <c r="AC37" s="13">
        <f t="shared" si="39"/>
        <v>-10426.473939559504</v>
      </c>
      <c r="AD37" s="13">
        <f t="shared" si="39"/>
        <v>-10426.473939559504</v>
      </c>
      <c r="AE37" s="13">
        <f t="shared" si="39"/>
        <v>-10426.473939559504</v>
      </c>
      <c r="AF37" s="13">
        <f t="shared" si="39"/>
        <v>-10426.473939559504</v>
      </c>
      <c r="AG37" s="13">
        <f t="shared" si="39"/>
        <v>-10426.473939559504</v>
      </c>
      <c r="AH37" s="13">
        <f t="shared" si="39"/>
        <v>-10426.473939559504</v>
      </c>
      <c r="AJ37" s="13" cm="1">
        <f t="array" aca="1" ref="AJ37" ca="1">INDEX($E37:$AH37,1,MATCH(AJ$3&amp;AJ$4&amp;AJ$5&amp;AJ$6,$E$3:$AH$3&amp;$E$4:$AH$4&amp;$E$5:$AH$5&amp;$E$6:$AH$6,1))</f>
        <v>-10426.473939559504</v>
      </c>
      <c r="AK37" s="13" cm="1">
        <f t="array" aca="1" ref="AK37" ca="1">INDEX($E37:$AH37,1,MATCH(AK$3&amp;AK$4&amp;AK$5&amp;AK$6,$E$3:$AH$3&amp;$E$4:$AH$4&amp;$E$5:$AH$5&amp;$E$6:$AH$6,1))</f>
        <v>-10426.473939559504</v>
      </c>
      <c r="AL37" s="13" cm="1">
        <f t="array" aca="1" ref="AL37" ca="1">INDEX($E37:$AH37,1,MATCH(AL$3&amp;AL$4&amp;AL$5&amp;AL$6,$E$3:$AH$3&amp;$E$4:$AH$4&amp;$E$5:$AH$5&amp;$E$6:$AH$6,1))</f>
        <v>-10426.473939559504</v>
      </c>
      <c r="AM37" s="17" cm="1">
        <f t="array" aca="1" ref="AM37" ca="1">INDEX($E37:$AH37,1,MATCH(AM$3&amp;AM$4&amp;AM$5&amp;AM$6,$E$3:$AH$3&amp;$E$4:$AH$4&amp;$E$5:$AH$5&amp;$E$6:$AH$6,1))</f>
        <v>-10426.473939559504</v>
      </c>
      <c r="AN37" s="13" cm="1">
        <f t="array" aca="1" ref="AN37" ca="1">INDEX($E37:$AH37,1,MATCH(AN$3&amp;AN$4&amp;AN$5&amp;AN$6,$E$3:$AH$3&amp;$E$4:$AH$4&amp;$E$5:$AH$5&amp;$E$6:$AH$6,1))</f>
        <v>-10426.473939559504</v>
      </c>
      <c r="AO37" s="13" cm="1">
        <f t="array" aca="1" ref="AO37" ca="1">INDEX($E37:$AH37,1,MATCH(AO$3&amp;AO$4&amp;AO$5&amp;AO$6,$E$3:$AH$3&amp;$E$4:$AH$4&amp;$E$5:$AH$5&amp;$E$6:$AH$6,1))</f>
        <v>-10426.473939559504</v>
      </c>
      <c r="AP37" s="13" cm="1">
        <f t="array" aca="1" ref="AP37" ca="1">INDEX($E37:$AH37,1,MATCH(AP$3&amp;AP$4&amp;AP$5&amp;AP$6,$E$3:$AH$3&amp;$E$4:$AH$4&amp;$E$5:$AH$5&amp;$E$6:$AH$6,1))</f>
        <v>-10426.473939559504</v>
      </c>
      <c r="AQ37" s="13" cm="1">
        <f t="array" aca="1" ref="AQ37" ca="1">INDEX($E37:$AH37,1,MATCH(AQ$3&amp;AQ$4&amp;AQ$5&amp;AQ$6,$E$3:$AH$3&amp;$E$4:$AH$4&amp;$E$5:$AH$5&amp;$E$6:$AH$6,1))</f>
        <v>-10426.473939559504</v>
      </c>
      <c r="AR37" s="13" cm="1">
        <f t="array" aca="1" ref="AR37" ca="1">INDEX($E37:$AH37,1,MATCH(AR$3&amp;AR$4&amp;AR$5&amp;AR$6,$E$3:$AH$3&amp;$E$4:$AH$4&amp;$E$5:$AH$5&amp;$E$6:$AH$6,1))</f>
        <v>-10426.473939559504</v>
      </c>
      <c r="AS37" s="13" cm="1">
        <f t="array" aca="1" ref="AS37" ca="1">INDEX($E37:$AH37,1,MATCH(AS$3&amp;AS$4&amp;AS$5&amp;AS$6,$E$3:$AH$3&amp;$E$4:$AH$4&amp;$E$5:$AH$5&amp;$E$6:$AH$6,1))</f>
        <v>-10426.473939559504</v>
      </c>
      <c r="AT37" s="13"/>
      <c r="AU37" s="13">
        <f t="shared" ca="1" si="38"/>
        <v>-10426.473939559504</v>
      </c>
      <c r="AV37" s="13">
        <f t="shared" ca="1" si="38"/>
        <v>-10426.473939559504</v>
      </c>
      <c r="AW37" s="13">
        <f t="shared" ca="1" si="38"/>
        <v>-10426.473939559504</v>
      </c>
    </row>
    <row r="38" spans="1:49" x14ac:dyDescent="0.25">
      <c r="C38" s="23" t="s">
        <v>171</v>
      </c>
      <c r="D38" s="24">
        <f>D204</f>
        <v>2580.7539779036742</v>
      </c>
      <c r="E38" s="24">
        <f t="shared" ref="E38:AH38" si="40">E204</f>
        <v>2609.8792150083332</v>
      </c>
      <c r="F38" s="24">
        <f t="shared" si="40"/>
        <v>2527.2550207624672</v>
      </c>
      <c r="G38" s="24">
        <f t="shared" si="40"/>
        <v>2505.5443182095219</v>
      </c>
      <c r="H38" s="24">
        <f t="shared" si="40"/>
        <v>2532.5311398306935</v>
      </c>
      <c r="I38" s="24">
        <f t="shared" si="40"/>
        <v>2590.4845972923122</v>
      </c>
      <c r="J38" s="24">
        <f t="shared" si="40"/>
        <v>2825.9293491697872</v>
      </c>
      <c r="K38" s="24">
        <f t="shared" si="40"/>
        <v>2880.5843420238448</v>
      </c>
      <c r="L38" s="24">
        <f t="shared" si="40"/>
        <v>2900.9282418390962</v>
      </c>
      <c r="M38" s="24">
        <f t="shared" si="40"/>
        <v>2629.771318828502</v>
      </c>
      <c r="N38" s="24">
        <f t="shared" si="40"/>
        <v>2843.3493550175444</v>
      </c>
      <c r="O38" s="24">
        <f t="shared" si="40"/>
        <v>2981.8883325971965</v>
      </c>
      <c r="P38" s="64">
        <f t="shared" si="40"/>
        <v>3102.4823829045263</v>
      </c>
      <c r="Q38" s="24">
        <f t="shared" si="40"/>
        <v>3183.6830709911328</v>
      </c>
      <c r="R38" s="24">
        <f t="shared" si="40"/>
        <v>3152.509405459356</v>
      </c>
      <c r="S38" s="24">
        <f t="shared" si="40"/>
        <v>3137.3993140529778</v>
      </c>
      <c r="T38" s="24">
        <f t="shared" si="40"/>
        <v>3152.7398857434323</v>
      </c>
      <c r="U38" s="24">
        <f t="shared" si="40"/>
        <v>3206.7969640596416</v>
      </c>
      <c r="V38" s="24">
        <f t="shared" si="40"/>
        <v>3401.3023390178719</v>
      </c>
      <c r="W38" s="24">
        <f t="shared" si="40"/>
        <v>3447.5150568952167</v>
      </c>
      <c r="X38" s="24">
        <f t="shared" si="40"/>
        <v>3444.5850231542613</v>
      </c>
      <c r="Y38" s="24">
        <f t="shared" si="40"/>
        <v>3149.8303367118342</v>
      </c>
      <c r="Z38" s="24">
        <f t="shared" si="40"/>
        <v>3354.0715072619309</v>
      </c>
      <c r="AA38" s="24">
        <f t="shared" si="40"/>
        <v>3470.5040904186944</v>
      </c>
      <c r="AB38" s="24">
        <f t="shared" si="40"/>
        <v>3619.7055998488913</v>
      </c>
      <c r="AC38" s="24">
        <f t="shared" si="40"/>
        <v>3695.01591502975</v>
      </c>
      <c r="AD38" s="24">
        <f t="shared" si="40"/>
        <v>3659.3346556013908</v>
      </c>
      <c r="AE38" s="24">
        <f t="shared" si="40"/>
        <v>3653.9572679577955</v>
      </c>
      <c r="AF38" s="24">
        <f t="shared" si="40"/>
        <v>3677.5855248290941</v>
      </c>
      <c r="AG38" s="24">
        <f t="shared" si="40"/>
        <v>3741.5818301066597</v>
      </c>
      <c r="AH38" s="24">
        <f t="shared" si="40"/>
        <v>3953.642905268558</v>
      </c>
      <c r="AJ38" s="24" cm="1">
        <f t="array" aca="1" ref="AJ38" ca="1">INDEX($E38:$AH38,1,MATCH(AJ$3&amp;AJ$4&amp;AJ$5&amp;AJ$6,$E$3:$AH$3&amp;$E$4:$AH$4&amp;$E$5:$AH$5&amp;$E$6:$AH$6,1))</f>
        <v>2505.5443182095219</v>
      </c>
      <c r="AK38" s="24" cm="1">
        <f t="array" aca="1" ref="AK38" ca="1">INDEX($E38:$AH38,1,MATCH(AK$3&amp;AK$4&amp;AK$5&amp;AK$6,$E$3:$AH$3&amp;$E$4:$AH$4&amp;$E$5:$AH$5&amp;$E$6:$AH$6,1))</f>
        <v>2825.9293491697872</v>
      </c>
      <c r="AL38" s="24" cm="1">
        <f t="array" aca="1" ref="AL38" ca="1">INDEX($E38:$AH38,1,MATCH(AL$3&amp;AL$4&amp;AL$5&amp;AL$6,$E$3:$AH$3&amp;$E$4:$AH$4&amp;$E$5:$AH$5&amp;$E$6:$AH$6,1))</f>
        <v>2629.771318828502</v>
      </c>
      <c r="AM38" s="64" cm="1">
        <f t="array" aca="1" ref="AM38" ca="1">INDEX($E38:$AH38,1,MATCH(AM$3&amp;AM$4&amp;AM$5&amp;AM$6,$E$3:$AH$3&amp;$E$4:$AH$4&amp;$E$5:$AH$5&amp;$E$6:$AH$6,1))</f>
        <v>3102.4823829045263</v>
      </c>
      <c r="AN38" s="24" cm="1">
        <f t="array" aca="1" ref="AN38" ca="1">INDEX($E38:$AH38,1,MATCH(AN$3&amp;AN$4&amp;AN$5&amp;AN$6,$E$3:$AH$3&amp;$E$4:$AH$4&amp;$E$5:$AH$5&amp;$E$6:$AH$6,1))</f>
        <v>3137.3993140529778</v>
      </c>
      <c r="AO38" s="24" cm="1">
        <f t="array" aca="1" ref="AO38" ca="1">INDEX($E38:$AH38,1,MATCH(AO$3&amp;AO$4&amp;AO$5&amp;AO$6,$E$3:$AH$3&amp;$E$4:$AH$4&amp;$E$5:$AH$5&amp;$E$6:$AH$6,1))</f>
        <v>3401.3023390178719</v>
      </c>
      <c r="AP38" s="24" cm="1">
        <f t="array" aca="1" ref="AP38" ca="1">INDEX($E38:$AH38,1,MATCH(AP$3&amp;AP$4&amp;AP$5&amp;AP$6,$E$3:$AH$3&amp;$E$4:$AH$4&amp;$E$5:$AH$5&amp;$E$6:$AH$6,1))</f>
        <v>3149.8303367118342</v>
      </c>
      <c r="AQ38" s="24" cm="1">
        <f t="array" aca="1" ref="AQ38" ca="1">INDEX($E38:$AH38,1,MATCH(AQ$3&amp;AQ$4&amp;AQ$5&amp;AQ$6,$E$3:$AH$3&amp;$E$4:$AH$4&amp;$E$5:$AH$5&amp;$E$6:$AH$6,1))</f>
        <v>3619.7055998488913</v>
      </c>
      <c r="AR38" s="24" cm="1">
        <f t="array" aca="1" ref="AR38" ca="1">INDEX($E38:$AH38,1,MATCH(AR$3&amp;AR$4&amp;AR$5&amp;AR$6,$E$3:$AH$3&amp;$E$4:$AH$4&amp;$E$5:$AH$5&amp;$E$6:$AH$6,1))</f>
        <v>3653.9572679577955</v>
      </c>
      <c r="AS38" s="24" cm="1">
        <f t="array" aca="1" ref="AS38" ca="1">INDEX($E38:$AH38,1,MATCH(AS$3&amp;AS$4&amp;AS$5&amp;AS$6,$E$3:$AH$3&amp;$E$4:$AH$4&amp;$E$5:$AH$5&amp;$E$6:$AH$6,1))</f>
        <v>3953.642905268558</v>
      </c>
      <c r="AT38" s="13"/>
      <c r="AU38" s="24">
        <f t="shared" ca="1" si="38"/>
        <v>2825.9293491697872</v>
      </c>
      <c r="AV38" s="24">
        <f t="shared" ca="1" si="38"/>
        <v>3401.3023390178719</v>
      </c>
      <c r="AW38" s="24">
        <f t="shared" ca="1" si="38"/>
        <v>3953.642905268558</v>
      </c>
    </row>
    <row r="39" spans="1:49" x14ac:dyDescent="0.25">
      <c r="B39" t="s">
        <v>231</v>
      </c>
      <c r="C39" s="2" t="s">
        <v>413</v>
      </c>
      <c r="D39" s="13">
        <f>SUM(D34:D38)</f>
        <v>17958.747272069821</v>
      </c>
      <c r="E39" s="13">
        <f t="shared" ref="E39:AH39" si="41">SUM(E34:E38)</f>
        <v>17604.355899896771</v>
      </c>
      <c r="F39" s="13">
        <f t="shared" si="41"/>
        <v>17054.7103880713</v>
      </c>
      <c r="G39" s="13">
        <f t="shared" si="41"/>
        <v>16527.507382504111</v>
      </c>
      <c r="H39" s="13">
        <f t="shared" si="41"/>
        <v>16479.474069809901</v>
      </c>
      <c r="I39" s="13">
        <f t="shared" si="41"/>
        <v>17612.294691982959</v>
      </c>
      <c r="J39" s="13">
        <f t="shared" si="41"/>
        <v>16654.274405399261</v>
      </c>
      <c r="K39" s="13">
        <f t="shared" si="41"/>
        <v>17052.734704036226</v>
      </c>
      <c r="L39" s="13">
        <f t="shared" si="41"/>
        <v>16416.208913367453</v>
      </c>
      <c r="M39" s="13">
        <f t="shared" si="41"/>
        <v>16788.368444661177</v>
      </c>
      <c r="N39" s="13">
        <f t="shared" si="41"/>
        <v>16887.885213436079</v>
      </c>
      <c r="O39" s="13">
        <f t="shared" si="41"/>
        <v>17671.046984456039</v>
      </c>
      <c r="P39" s="17">
        <f t="shared" si="41"/>
        <v>18025.109978951656</v>
      </c>
      <c r="Q39" s="13">
        <f t="shared" si="41"/>
        <v>17973.099284233598</v>
      </c>
      <c r="R39" s="13">
        <f t="shared" si="41"/>
        <v>16794.619298509679</v>
      </c>
      <c r="S39" s="13">
        <f t="shared" si="41"/>
        <v>16607.431270189329</v>
      </c>
      <c r="T39" s="13">
        <f t="shared" si="41"/>
        <v>16470.811985218774</v>
      </c>
      <c r="U39" s="13">
        <f t="shared" si="41"/>
        <v>16439.836700965625</v>
      </c>
      <c r="V39" s="13">
        <f t="shared" si="41"/>
        <v>17459.548342010938</v>
      </c>
      <c r="W39" s="13">
        <f t="shared" si="41"/>
        <v>17152.157556876562</v>
      </c>
      <c r="X39" s="13">
        <f t="shared" si="41"/>
        <v>17013.542175137583</v>
      </c>
      <c r="Y39" s="13">
        <f t="shared" si="41"/>
        <v>17234.925028264293</v>
      </c>
      <c r="Z39" s="13">
        <f t="shared" si="41"/>
        <v>17820.270376859808</v>
      </c>
      <c r="AA39" s="13">
        <f t="shared" si="41"/>
        <v>17724.032925959167</v>
      </c>
      <c r="AB39" s="13">
        <f t="shared" si="41"/>
        <v>18730.912141875673</v>
      </c>
      <c r="AC39" s="13">
        <f t="shared" si="41"/>
        <v>18677.765997761588</v>
      </c>
      <c r="AD39" s="13">
        <f t="shared" si="41"/>
        <v>17466.262583060165</v>
      </c>
      <c r="AE39" s="13">
        <f t="shared" si="41"/>
        <v>17288.556207743448</v>
      </c>
      <c r="AF39" s="13">
        <f t="shared" si="41"/>
        <v>17164.642658153552</v>
      </c>
      <c r="AG39" s="13">
        <f t="shared" si="41"/>
        <v>17139.736854822786</v>
      </c>
      <c r="AH39" s="13">
        <f t="shared" si="41"/>
        <v>18209.54366845197</v>
      </c>
      <c r="AJ39" s="13">
        <f t="shared" ref="AJ39:AW39" ca="1" si="42">SUM(AJ34:AJ38)</f>
        <v>16527.507382504111</v>
      </c>
      <c r="AK39" s="13">
        <f t="shared" ca="1" si="42"/>
        <v>16654.274405399261</v>
      </c>
      <c r="AL39" s="13">
        <f t="shared" ca="1" si="42"/>
        <v>16788.368444661177</v>
      </c>
      <c r="AM39" s="17">
        <f t="shared" ca="1" si="42"/>
        <v>18025.109978951656</v>
      </c>
      <c r="AN39" s="13">
        <f t="shared" ca="1" si="42"/>
        <v>16607.431270189329</v>
      </c>
      <c r="AO39" s="13">
        <f t="shared" ca="1" si="42"/>
        <v>17459.548342010938</v>
      </c>
      <c r="AP39" s="13">
        <f t="shared" ca="1" si="42"/>
        <v>17234.925028264293</v>
      </c>
      <c r="AQ39" s="13">
        <f t="shared" ca="1" si="42"/>
        <v>18730.912141875673</v>
      </c>
      <c r="AR39" s="13">
        <f t="shared" ca="1" si="42"/>
        <v>17288.556207743448</v>
      </c>
      <c r="AS39" s="13">
        <f t="shared" ca="1" si="42"/>
        <v>18209.54366845197</v>
      </c>
      <c r="AT39" s="13"/>
      <c r="AU39" s="13">
        <f t="shared" ca="1" si="42"/>
        <v>16654.274405399261</v>
      </c>
      <c r="AV39" s="13">
        <f t="shared" ca="1" si="42"/>
        <v>17459.548342010938</v>
      </c>
      <c r="AW39" s="13">
        <f t="shared" ca="1" si="42"/>
        <v>18209.54366845197</v>
      </c>
    </row>
    <row r="40" spans="1:49" x14ac:dyDescent="0.25">
      <c r="C40" s="1"/>
      <c r="D40" s="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17"/>
      <c r="Q40" s="15"/>
      <c r="R40" s="15"/>
      <c r="S40" s="15"/>
      <c r="T40" s="15"/>
      <c r="U40" s="15"/>
      <c r="V40" s="15"/>
      <c r="W40" s="104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M40" s="8"/>
      <c r="AT40" s="13"/>
    </row>
    <row r="41" spans="1:49" x14ac:dyDescent="0.25">
      <c r="C41" s="137" t="s">
        <v>414</v>
      </c>
      <c r="D41" s="147" t="b">
        <f>ABS(D23-D39)&lt;0.001</f>
        <v>1</v>
      </c>
      <c r="E41" s="232" t="b">
        <f t="shared" ref="E41:AH41" si="43">ABS(E23-E39)&lt;0.001</f>
        <v>1</v>
      </c>
      <c r="F41" s="232" t="b">
        <f t="shared" si="43"/>
        <v>1</v>
      </c>
      <c r="G41" s="232" t="b">
        <f t="shared" si="43"/>
        <v>1</v>
      </c>
      <c r="H41" s="232" t="b">
        <f t="shared" si="43"/>
        <v>1</v>
      </c>
      <c r="I41" s="232" t="b">
        <f t="shared" si="43"/>
        <v>1</v>
      </c>
      <c r="J41" s="232" t="b">
        <f t="shared" si="43"/>
        <v>1</v>
      </c>
      <c r="K41" s="232" t="b">
        <f t="shared" si="43"/>
        <v>1</v>
      </c>
      <c r="L41" s="232" t="b">
        <f t="shared" si="43"/>
        <v>1</v>
      </c>
      <c r="M41" s="232" t="b">
        <f t="shared" si="43"/>
        <v>1</v>
      </c>
      <c r="N41" s="232" t="b">
        <f t="shared" si="43"/>
        <v>1</v>
      </c>
      <c r="O41" s="232" t="b">
        <f t="shared" si="43"/>
        <v>1</v>
      </c>
      <c r="P41" s="233" t="b">
        <f t="shared" si="43"/>
        <v>1</v>
      </c>
      <c r="Q41" s="110" t="b">
        <f t="shared" si="43"/>
        <v>1</v>
      </c>
      <c r="R41" s="110" t="b">
        <f t="shared" si="43"/>
        <v>1</v>
      </c>
      <c r="S41" s="110" t="b">
        <f t="shared" si="43"/>
        <v>1</v>
      </c>
      <c r="T41" s="110" t="b">
        <f t="shared" si="43"/>
        <v>1</v>
      </c>
      <c r="U41" s="110" t="b">
        <f t="shared" si="43"/>
        <v>1</v>
      </c>
      <c r="V41" s="110" t="b">
        <f t="shared" si="43"/>
        <v>1</v>
      </c>
      <c r="W41" s="234" t="b">
        <f t="shared" si="43"/>
        <v>1</v>
      </c>
      <c r="X41" s="110" t="b">
        <f t="shared" si="43"/>
        <v>1</v>
      </c>
      <c r="Y41" s="110" t="b">
        <f t="shared" si="43"/>
        <v>1</v>
      </c>
      <c r="Z41" s="110" t="b">
        <f t="shared" si="43"/>
        <v>1</v>
      </c>
      <c r="AA41" s="110" t="b">
        <f t="shared" si="43"/>
        <v>1</v>
      </c>
      <c r="AB41" s="110" t="b">
        <f t="shared" si="43"/>
        <v>1</v>
      </c>
      <c r="AC41" s="110" t="b">
        <f t="shared" si="43"/>
        <v>1</v>
      </c>
      <c r="AD41" s="110" t="b">
        <f t="shared" si="43"/>
        <v>1</v>
      </c>
      <c r="AE41" s="110" t="b">
        <f t="shared" si="43"/>
        <v>1</v>
      </c>
      <c r="AF41" s="110" t="b">
        <f t="shared" si="43"/>
        <v>1</v>
      </c>
      <c r="AG41" s="110" t="b">
        <f t="shared" si="43"/>
        <v>1</v>
      </c>
      <c r="AH41" s="110" t="b">
        <f t="shared" si="43"/>
        <v>1</v>
      </c>
      <c r="AJ41" s="110" t="b">
        <f t="shared" ref="AJ41:AW41" ca="1" si="44">ABS(AJ23-AJ39)&lt;0.001</f>
        <v>1</v>
      </c>
      <c r="AK41" s="110" t="b">
        <f t="shared" ca="1" si="44"/>
        <v>1</v>
      </c>
      <c r="AL41" s="110" t="b">
        <f t="shared" ca="1" si="44"/>
        <v>1</v>
      </c>
      <c r="AM41" s="110" t="b">
        <f t="shared" ca="1" si="44"/>
        <v>1</v>
      </c>
      <c r="AN41" s="110" t="b">
        <f t="shared" ca="1" si="44"/>
        <v>1</v>
      </c>
      <c r="AO41" s="110" t="b">
        <f t="shared" ca="1" si="44"/>
        <v>1</v>
      </c>
      <c r="AP41" s="110" t="b">
        <f t="shared" ca="1" si="44"/>
        <v>1</v>
      </c>
      <c r="AQ41" s="110" t="b">
        <f t="shared" ca="1" si="44"/>
        <v>1</v>
      </c>
      <c r="AR41" s="110" t="b">
        <f t="shared" ca="1" si="44"/>
        <v>1</v>
      </c>
      <c r="AS41" s="110" t="b">
        <f t="shared" ca="1" si="44"/>
        <v>1</v>
      </c>
      <c r="AU41" s="110" t="b">
        <f t="shared" ca="1" si="44"/>
        <v>1</v>
      </c>
      <c r="AV41" s="110" t="b">
        <f t="shared" ca="1" si="44"/>
        <v>1</v>
      </c>
      <c r="AW41" s="110" t="b">
        <f t="shared" ca="1" si="44"/>
        <v>1</v>
      </c>
    </row>
    <row r="42" spans="1:49" x14ac:dyDescent="0.25">
      <c r="C42" s="1"/>
      <c r="D42" s="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17"/>
      <c r="Q42" s="15"/>
      <c r="R42" s="15"/>
      <c r="S42" s="15"/>
      <c r="T42" s="15"/>
      <c r="U42" s="15"/>
      <c r="V42" s="15"/>
      <c r="W42" s="104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4" spans="1:49" ht="18.75" x14ac:dyDescent="0.3">
      <c r="A44" t="s">
        <v>231</v>
      </c>
      <c r="B44" t="s">
        <v>231</v>
      </c>
      <c r="C44" s="181" t="s">
        <v>153</v>
      </c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</row>
    <row r="45" spans="1:49" x14ac:dyDescent="0.25">
      <c r="C45" s="11"/>
      <c r="D45" s="11"/>
    </row>
    <row r="46" spans="1:49" x14ac:dyDescent="0.25">
      <c r="C46" t="s">
        <v>589</v>
      </c>
      <c r="D46" s="65"/>
      <c r="E46" s="65">
        <v>30</v>
      </c>
      <c r="F46" s="65">
        <v>30</v>
      </c>
      <c r="G46" s="65">
        <v>30</v>
      </c>
      <c r="H46" s="65">
        <v>30</v>
      </c>
      <c r="I46" s="65">
        <v>30</v>
      </c>
      <c r="J46" s="91">
        <v>30</v>
      </c>
      <c r="K46" s="65">
        <v>30</v>
      </c>
      <c r="L46" s="65">
        <v>30</v>
      </c>
      <c r="M46" s="65">
        <v>30</v>
      </c>
      <c r="N46" s="65">
        <v>30</v>
      </c>
      <c r="O46" s="65">
        <v>30</v>
      </c>
      <c r="P46" s="67">
        <v>30</v>
      </c>
      <c r="Q46" s="65">
        <v>30</v>
      </c>
      <c r="R46" s="65">
        <v>30</v>
      </c>
      <c r="S46" s="65">
        <v>30</v>
      </c>
      <c r="T46" s="65">
        <v>30</v>
      </c>
      <c r="U46" s="65">
        <v>30</v>
      </c>
      <c r="V46" s="65">
        <v>30</v>
      </c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J46" s="65">
        <v>90</v>
      </c>
      <c r="AK46" s="65">
        <v>90</v>
      </c>
      <c r="AL46" s="65">
        <v>90</v>
      </c>
      <c r="AM46" s="67">
        <v>90</v>
      </c>
      <c r="AN46" s="65">
        <v>90</v>
      </c>
      <c r="AO46" s="65">
        <v>90</v>
      </c>
      <c r="AP46" s="65">
        <v>90</v>
      </c>
      <c r="AQ46" s="65">
        <v>90</v>
      </c>
      <c r="AR46" s="65">
        <v>90</v>
      </c>
      <c r="AS46" s="65">
        <v>90</v>
      </c>
      <c r="AU46" s="65">
        <v>180</v>
      </c>
      <c r="AV46" s="65">
        <v>360</v>
      </c>
      <c r="AW46" s="65">
        <v>360</v>
      </c>
    </row>
    <row r="47" spans="1:49" x14ac:dyDescent="0.25">
      <c r="C47" s="11"/>
      <c r="D47" s="11"/>
      <c r="P47" s="28"/>
      <c r="AM47" s="28"/>
    </row>
    <row r="48" spans="1:49" x14ac:dyDescent="0.25">
      <c r="C48" s="30" t="s">
        <v>156</v>
      </c>
      <c r="D48" s="30"/>
      <c r="E48" s="45" t="str">
        <f t="shared" ref="E48:AH48" si="45">E$9</f>
        <v>Jul-20A</v>
      </c>
      <c r="F48" s="45" t="str">
        <f t="shared" si="45"/>
        <v>Aug-20A</v>
      </c>
      <c r="G48" s="45" t="str">
        <f t="shared" si="45"/>
        <v>Sep-20A</v>
      </c>
      <c r="H48" s="45" t="str">
        <f t="shared" si="45"/>
        <v>Oct-20A</v>
      </c>
      <c r="I48" s="45" t="str">
        <f t="shared" si="45"/>
        <v>Nov-20A</v>
      </c>
      <c r="J48" s="45" t="str">
        <f t="shared" si="45"/>
        <v>Dec-20A</v>
      </c>
      <c r="K48" s="45" t="str">
        <f t="shared" si="45"/>
        <v>Jan-21A</v>
      </c>
      <c r="L48" s="45" t="str">
        <f t="shared" si="45"/>
        <v>Feb-21A</v>
      </c>
      <c r="M48" s="45" t="str">
        <f t="shared" si="45"/>
        <v>Mar-21A</v>
      </c>
      <c r="N48" s="45" t="str">
        <f t="shared" si="45"/>
        <v>Apr-21A</v>
      </c>
      <c r="O48" s="45" t="str">
        <f t="shared" si="45"/>
        <v>May-21A</v>
      </c>
      <c r="P48" s="46" t="str">
        <f t="shared" si="45"/>
        <v>Jun-21A</v>
      </c>
      <c r="Q48" s="45" t="str">
        <f t="shared" si="45"/>
        <v>Jul-21F</v>
      </c>
      <c r="R48" s="45" t="str">
        <f t="shared" si="45"/>
        <v>Aug-21F</v>
      </c>
      <c r="S48" s="45" t="str">
        <f t="shared" si="45"/>
        <v>Sep-21F</v>
      </c>
      <c r="T48" s="45" t="str">
        <f t="shared" si="45"/>
        <v>Oct-21F</v>
      </c>
      <c r="U48" s="45" t="str">
        <f t="shared" si="45"/>
        <v>Nov-21F</v>
      </c>
      <c r="V48" s="45" t="str">
        <f t="shared" si="45"/>
        <v>Dec-21F</v>
      </c>
      <c r="W48" s="45" t="str">
        <f t="shared" si="45"/>
        <v>Jan-22F</v>
      </c>
      <c r="X48" s="45" t="str">
        <f t="shared" si="45"/>
        <v>Feb-22F</v>
      </c>
      <c r="Y48" s="45" t="str">
        <f t="shared" si="45"/>
        <v>Mar-22F</v>
      </c>
      <c r="Z48" s="45" t="str">
        <f t="shared" si="45"/>
        <v>Apr-22F</v>
      </c>
      <c r="AA48" s="45" t="str">
        <f t="shared" si="45"/>
        <v>May-22F</v>
      </c>
      <c r="AB48" s="45" t="str">
        <f t="shared" si="45"/>
        <v>Jun-22F</v>
      </c>
      <c r="AC48" s="45" t="str">
        <f t="shared" si="45"/>
        <v>Jul-22F</v>
      </c>
      <c r="AD48" s="45" t="str">
        <f t="shared" si="45"/>
        <v>Aug-22F</v>
      </c>
      <c r="AE48" s="45" t="str">
        <f t="shared" si="45"/>
        <v>Sep-22F</v>
      </c>
      <c r="AF48" s="45" t="str">
        <f t="shared" si="45"/>
        <v>Oct-22F</v>
      </c>
      <c r="AG48" s="45" t="str">
        <f t="shared" si="45"/>
        <v>Nov-22F</v>
      </c>
      <c r="AH48" s="45" t="str">
        <f t="shared" si="45"/>
        <v>Dec-22F</v>
      </c>
      <c r="AJ48" s="45" t="str">
        <f ca="1">AJ$10</f>
        <v>Q3'20A</v>
      </c>
      <c r="AK48" s="45" t="str">
        <f t="shared" ref="AK48:AW48" ca="1" si="46">AK$10</f>
        <v>Q4'20A</v>
      </c>
      <c r="AL48" s="45" t="str">
        <f t="shared" ca="1" si="46"/>
        <v>Q1'21A</v>
      </c>
      <c r="AM48" s="46" t="str">
        <f t="shared" ca="1" si="46"/>
        <v>Q2'21A</v>
      </c>
      <c r="AN48" s="45" t="str">
        <f t="shared" ca="1" si="46"/>
        <v>Q3'21F</v>
      </c>
      <c r="AO48" s="45" t="str">
        <f t="shared" ca="1" si="46"/>
        <v>Q4'21F</v>
      </c>
      <c r="AP48" s="45" t="str">
        <f t="shared" ca="1" si="46"/>
        <v>Q1'22F</v>
      </c>
      <c r="AQ48" s="45" t="str">
        <f t="shared" ca="1" si="46"/>
        <v>Q2'22F</v>
      </c>
      <c r="AR48" s="45" t="str">
        <f t="shared" ca="1" si="46"/>
        <v>Q3'22F</v>
      </c>
      <c r="AS48" s="45" t="str">
        <f t="shared" ca="1" si="46"/>
        <v>Q4'22F</v>
      </c>
      <c r="AU48" s="45" t="str">
        <f t="shared" ca="1" si="46"/>
        <v>FY20</v>
      </c>
      <c r="AV48" s="45" t="str">
        <f t="shared" ca="1" si="46"/>
        <v>FY21</v>
      </c>
      <c r="AW48" s="45" t="str">
        <f t="shared" ca="1" si="46"/>
        <v>FY22</v>
      </c>
    </row>
    <row r="49" spans="2:49" x14ac:dyDescent="0.25">
      <c r="C49" s="1" t="s">
        <v>194</v>
      </c>
      <c r="D49" s="1"/>
      <c r="E49" s="61">
        <f>D51</f>
        <v>4049.3515067609414</v>
      </c>
      <c r="F49" s="61">
        <f t="shared" ref="F49:AH49" si="47">E51</f>
        <v>3894.0977857368161</v>
      </c>
      <c r="G49" s="61">
        <f t="shared" si="47"/>
        <v>3957.23097101249</v>
      </c>
      <c r="H49" s="61">
        <f t="shared" si="47"/>
        <v>3561.3413318490293</v>
      </c>
      <c r="I49" s="61">
        <f t="shared" si="47"/>
        <v>3429.9283940462769</v>
      </c>
      <c r="J49" s="61">
        <f t="shared" si="47"/>
        <v>4590.082650445358</v>
      </c>
      <c r="K49" s="61">
        <f t="shared" si="47"/>
        <v>2903.7436473891348</v>
      </c>
      <c r="L49" s="61">
        <f t="shared" si="47"/>
        <v>3314.1396539688617</v>
      </c>
      <c r="M49" s="61">
        <f t="shared" si="47"/>
        <v>3116.9373257259399</v>
      </c>
      <c r="N49" s="61">
        <f t="shared" si="47"/>
        <v>3433.420989640942</v>
      </c>
      <c r="O49" s="61">
        <f t="shared" si="47"/>
        <v>2899.1880612812151</v>
      </c>
      <c r="P49" s="17">
        <f t="shared" si="47"/>
        <v>3199.7125826791689</v>
      </c>
      <c r="Q49" s="15">
        <f t="shared" si="47"/>
        <v>2989.6771642932367</v>
      </c>
      <c r="R49" s="15">
        <f t="shared" si="47"/>
        <v>3222.3588741417425</v>
      </c>
      <c r="S49" s="15">
        <f t="shared" si="47"/>
        <v>2873.3848426174309</v>
      </c>
      <c r="T49" s="15">
        <f t="shared" si="47"/>
        <v>2959.5915966445818</v>
      </c>
      <c r="U49" s="15">
        <f t="shared" si="47"/>
        <v>2805.4570379516131</v>
      </c>
      <c r="V49" s="15">
        <f t="shared" si="47"/>
        <v>2757.4228225521824</v>
      </c>
      <c r="W49" s="104">
        <f t="shared" si="47"/>
        <v>2619.1390558413541</v>
      </c>
      <c r="X49" s="15">
        <f t="shared" si="47"/>
        <v>2959.0478903521998</v>
      </c>
      <c r="Y49" s="15">
        <f t="shared" si="47"/>
        <v>3427.0065086894033</v>
      </c>
      <c r="Z49" s="15">
        <f t="shared" si="47"/>
        <v>3760.755522689009</v>
      </c>
      <c r="AA49" s="15">
        <f t="shared" si="47"/>
        <v>2945.0305832855061</v>
      </c>
      <c r="AB49" s="15">
        <f t="shared" si="47"/>
        <v>3123.4976019381534</v>
      </c>
      <c r="AC49" s="15">
        <f t="shared" si="47"/>
        <v>3606.6232465284743</v>
      </c>
      <c r="AD49" s="15">
        <f t="shared" si="47"/>
        <v>4072.7173879479501</v>
      </c>
      <c r="AE49" s="15">
        <f t="shared" si="47"/>
        <v>3781.2327917942912</v>
      </c>
      <c r="AF49" s="15">
        <f t="shared" si="47"/>
        <v>3913.8520641883733</v>
      </c>
      <c r="AG49" s="15">
        <f t="shared" si="47"/>
        <v>3780.9723925345356</v>
      </c>
      <c r="AH49" s="15">
        <f t="shared" si="47"/>
        <v>3788.7133954440746</v>
      </c>
      <c r="AJ49" s="13">
        <f ca="1">AJ51-AJ50</f>
        <v>4049.3515067609419</v>
      </c>
      <c r="AK49" s="13">
        <f t="shared" ref="AK49:AS49" ca="1" si="48">AK51-AK50</f>
        <v>3561.3413318490293</v>
      </c>
      <c r="AL49" s="13">
        <f t="shared" ca="1" si="48"/>
        <v>2903.7436473891353</v>
      </c>
      <c r="AM49" s="17">
        <f t="shared" ca="1" si="48"/>
        <v>3433.4209896409416</v>
      </c>
      <c r="AN49" s="13">
        <f t="shared" ca="1" si="48"/>
        <v>2989.6771642932363</v>
      </c>
      <c r="AO49" s="13">
        <f t="shared" ca="1" si="48"/>
        <v>2959.5915966445818</v>
      </c>
      <c r="AP49" s="13">
        <f t="shared" ca="1" si="48"/>
        <v>2619.1390558413541</v>
      </c>
      <c r="AQ49" s="13">
        <f t="shared" ca="1" si="48"/>
        <v>3760.755522689009</v>
      </c>
      <c r="AR49" s="13">
        <f t="shared" ca="1" si="48"/>
        <v>3606.6232465284743</v>
      </c>
      <c r="AS49" s="13">
        <f t="shared" ca="1" si="48"/>
        <v>3913.8520641883733</v>
      </c>
      <c r="AU49" s="13">
        <f t="shared" ref="AU49:AV49" ca="1" si="49">AU51-AU50</f>
        <v>4049.3515067609419</v>
      </c>
      <c r="AV49" s="13">
        <f t="shared" ca="1" si="49"/>
        <v>2903.7436473891344</v>
      </c>
      <c r="AW49" s="13">
        <f ca="1">AW51-AW50</f>
        <v>2619.1390558413545</v>
      </c>
    </row>
    <row r="50" spans="2:49" x14ac:dyDescent="0.25">
      <c r="C50" s="109" t="s">
        <v>196</v>
      </c>
      <c r="D50" s="23"/>
      <c r="E50" s="74">
        <f>Cash_Flow_Stmt!E42</f>
        <v>-155.25372102412547</v>
      </c>
      <c r="F50" s="74">
        <f>Cash_Flow_Stmt!F42</f>
        <v>63.133185275673895</v>
      </c>
      <c r="G50" s="74">
        <f>Cash_Flow_Stmt!G42</f>
        <v>-395.88963916346086</v>
      </c>
      <c r="H50" s="74">
        <f>Cash_Flow_Stmt!H42</f>
        <v>-131.41293780275237</v>
      </c>
      <c r="I50" s="74">
        <f>Cash_Flow_Stmt!I42</f>
        <v>1160.1542563990809</v>
      </c>
      <c r="J50" s="74">
        <f>Cash_Flow_Stmt!J42</f>
        <v>-1686.3390030562232</v>
      </c>
      <c r="K50" s="74">
        <f>Cash_Flow_Stmt!K42</f>
        <v>410.3960065797267</v>
      </c>
      <c r="L50" s="74">
        <f>Cash_Flow_Stmt!L42</f>
        <v>-197.20232824292174</v>
      </c>
      <c r="M50" s="74">
        <f>Cash_Flow_Stmt!M42</f>
        <v>316.4836639150019</v>
      </c>
      <c r="N50" s="74">
        <f>Cash_Flow_Stmt!N42</f>
        <v>-534.23292835972688</v>
      </c>
      <c r="O50" s="74">
        <f>Cash_Flow_Stmt!O42</f>
        <v>300.52452139795395</v>
      </c>
      <c r="P50" s="75">
        <f>Cash_Flow_Stmt!P42</f>
        <v>-210.03541838593202</v>
      </c>
      <c r="Q50" s="74">
        <f>Cash_Flow_Stmt!Q42</f>
        <v>232.68170984850599</v>
      </c>
      <c r="R50" s="74">
        <f>Cash_Flow_Stmt!R42</f>
        <v>-348.97403152431144</v>
      </c>
      <c r="S50" s="74">
        <f>Cash_Flow_Stmt!S42</f>
        <v>86.206754027151021</v>
      </c>
      <c r="T50" s="74">
        <f>Cash_Flow_Stmt!T42</f>
        <v>-154.1345586929686</v>
      </c>
      <c r="U50" s="74">
        <f>Cash_Flow_Stmt!U42</f>
        <v>-48.034215399430565</v>
      </c>
      <c r="V50" s="74">
        <f>Cash_Flow_Stmt!V42</f>
        <v>-138.2837667108285</v>
      </c>
      <c r="W50" s="74">
        <f>Cash_Flow_Stmt!W42</f>
        <v>339.90883451084574</v>
      </c>
      <c r="X50" s="74">
        <f>Cash_Flow_Stmt!X42</f>
        <v>467.95861833720346</v>
      </c>
      <c r="Y50" s="74">
        <f>Cash_Flow_Stmt!Y42</f>
        <v>333.74901399960549</v>
      </c>
      <c r="Z50" s="74">
        <f>Cash_Flow_Stmt!Z42</f>
        <v>-815.72493940350296</v>
      </c>
      <c r="AA50" s="74">
        <f>Cash_Flow_Stmt!AA42</f>
        <v>178.46701865264743</v>
      </c>
      <c r="AB50" s="74">
        <f>Cash_Flow_Stmt!AB42</f>
        <v>483.12564459032097</v>
      </c>
      <c r="AC50" s="74">
        <f>Cash_Flow_Stmt!AC42</f>
        <v>466.09414141947599</v>
      </c>
      <c r="AD50" s="74">
        <f>Cash_Flow_Stmt!AD42</f>
        <v>-291.48459615365908</v>
      </c>
      <c r="AE50" s="74">
        <f>Cash_Flow_Stmt!AE42</f>
        <v>132.61927239408197</v>
      </c>
      <c r="AF50" s="74">
        <f>Cash_Flow_Stmt!AF42</f>
        <v>-132.87967165383787</v>
      </c>
      <c r="AG50" s="74">
        <f>Cash_Flow_Stmt!AG42</f>
        <v>7.7410029095391195</v>
      </c>
      <c r="AH50" s="74">
        <f>Cash_Flow_Stmt!AH42</f>
        <v>-145.09324376350116</v>
      </c>
      <c r="AJ50" s="24" cm="1">
        <f t="array" aca="1" ref="AJ50" ca="1">SUMPRODUCT(($E50:$AH50)*(AJ$3&amp;AJ$4&amp;AJ$5&amp;AJ$6=$E$3:$AH$3&amp;$E$4:$AH$4&amp;$E$5:$AH$5&amp;$E$6:$AH$6))</f>
        <v>-488.01017491191243</v>
      </c>
      <c r="AK50" s="24" cm="1">
        <f t="array" aca="1" ref="AK50" ca="1">SUMPRODUCT(($E50:$AH50)*(AK$3=$E$3:$AH$3)*(AK$4=$E$4:$AH$4)*(AK$5=$E$5:$AH$5)*(AK$6=$E$6:$AH$6))</f>
        <v>-657.59768445989471</v>
      </c>
      <c r="AL50" s="24" cm="1">
        <f t="array" aca="1" ref="AL50" ca="1">SUMPRODUCT(($E50:$AH50)*(AL$3=$E$3:$AH$3)*(AL$4=$E$4:$AH$4)*(AL$5=$E$5:$AH$5)*(AL$6=$E$6:$AH$6))</f>
        <v>529.67734225180686</v>
      </c>
      <c r="AM50" s="64" cm="1">
        <f t="array" aca="1" ref="AM50" ca="1">SUMPRODUCT(($E50:$AH50)*(AM$3=$E$3:$AH$3)*(AM$4=$E$4:$AH$4)*(AM$5=$E$5:$AH$5)*(AM$6=$E$6:$AH$6))</f>
        <v>-443.74382534770496</v>
      </c>
      <c r="AN50" s="24" cm="1">
        <f t="array" aca="1" ref="AN50" ca="1">SUMPRODUCT(($E50:$AH50)*(AN$3=$E$3:$AH$3)*(AN$4=$E$4:$AH$4)*(AN$5=$E$5:$AH$5)*(AN$6=$E$6:$AH$6))</f>
        <v>-30.085567648654433</v>
      </c>
      <c r="AO50" s="24" cm="1">
        <f t="array" aca="1" ref="AO50" ca="1">SUMPRODUCT(($E50:$AH50)*(AO$3=$E$3:$AH$3)*(AO$4=$E$4:$AH$4)*(AO$5=$E$5:$AH$5)*(AO$6=$E$6:$AH$6))</f>
        <v>-340.45254080322763</v>
      </c>
      <c r="AP50" s="24" cm="1">
        <f t="array" aca="1" ref="AP50" ca="1">SUMPRODUCT(($E50:$AH50)*(AP$3=$E$3:$AH$3)*(AP$4=$E$4:$AH$4)*(AP$5=$E$5:$AH$5)*(AP$6=$E$6:$AH$6))</f>
        <v>1141.6164668476547</v>
      </c>
      <c r="AQ50" s="24" cm="1">
        <f t="array" aca="1" ref="AQ50" ca="1">SUMPRODUCT(($E50:$AH50)*(AQ$3=$E$3:$AH$3)*(AQ$4=$E$4:$AH$4)*(AQ$5=$E$5:$AH$5)*(AQ$6=$E$6:$AH$6))</f>
        <v>-154.13227616053456</v>
      </c>
      <c r="AR50" s="24" cm="1">
        <f t="array" aca="1" ref="AR50" ca="1">SUMPRODUCT(($E50:$AH50)*(AR$3=$E$3:$AH$3)*(AR$4=$E$4:$AH$4)*(AR$5=$E$5:$AH$5)*(AR$6=$E$6:$AH$6))</f>
        <v>307.22881765989888</v>
      </c>
      <c r="AS50" s="24" cm="1">
        <f t="array" aca="1" ref="AS50" ca="1">SUMPRODUCT(($E50:$AH50)*(AS$3=$E$3:$AH$3)*(AS$4=$E$4:$AH$4)*(AS$5=$E$5:$AH$5)*(AS$6=$E$6:$AH$6))</f>
        <v>-270.2319125077999</v>
      </c>
      <c r="AU50" s="24" cm="1">
        <f t="array" aca="1" ref="AU50" ca="1">SUMPRODUCT(($E50:$AH50)*(AU$5=$E$5:$AH$5))</f>
        <v>-1145.6078593718071</v>
      </c>
      <c r="AV50" s="24" cm="1">
        <f t="array" aca="1" ref="AV50" ca="1">SUMPRODUCT(($E50:$AH50)*(AV$5=$E$5:$AH$5))</f>
        <v>-284.60459154778016</v>
      </c>
      <c r="AW50" s="24" cm="1">
        <f t="array" aca="1" ref="AW50" ca="1">SUMPRODUCT(($E50:$AH50)*(AW$5=$E$5:$AH$5))</f>
        <v>1024.4810958392191</v>
      </c>
    </row>
    <row r="51" spans="2:49" x14ac:dyDescent="0.25">
      <c r="B51" t="s">
        <v>231</v>
      </c>
      <c r="C51" s="2" t="s">
        <v>195</v>
      </c>
      <c r="D51" s="37">
        <v>4049.3515067609414</v>
      </c>
      <c r="E51" s="31">
        <v>3894.0977857368161</v>
      </c>
      <c r="F51" s="31">
        <v>3957.23097101249</v>
      </c>
      <c r="G51" s="31">
        <v>3561.3413318490293</v>
      </c>
      <c r="H51" s="31">
        <v>3429.9283940462769</v>
      </c>
      <c r="I51" s="31">
        <v>4590.082650445358</v>
      </c>
      <c r="J51" s="37">
        <v>2903.7436473891348</v>
      </c>
      <c r="K51" s="31">
        <v>3314.1396539688617</v>
      </c>
      <c r="L51" s="31">
        <v>3116.9373257259399</v>
      </c>
      <c r="M51" s="31">
        <v>3433.420989640942</v>
      </c>
      <c r="N51" s="31">
        <v>2899.1880612812151</v>
      </c>
      <c r="O51" s="31">
        <v>3199.7125826791689</v>
      </c>
      <c r="P51" s="32">
        <v>2989.6771642932367</v>
      </c>
      <c r="Q51" s="15">
        <f t="shared" ref="Q51:AH51" si="50">SUM(Q49:Q50)</f>
        <v>3222.3588741417425</v>
      </c>
      <c r="R51" s="15">
        <f t="shared" si="50"/>
        <v>2873.3848426174309</v>
      </c>
      <c r="S51" s="15">
        <f t="shared" si="50"/>
        <v>2959.5915966445818</v>
      </c>
      <c r="T51" s="15">
        <f t="shared" si="50"/>
        <v>2805.4570379516131</v>
      </c>
      <c r="U51" s="15">
        <f t="shared" si="50"/>
        <v>2757.4228225521824</v>
      </c>
      <c r="V51" s="15">
        <f t="shared" si="50"/>
        <v>2619.1390558413541</v>
      </c>
      <c r="W51" s="15">
        <f t="shared" si="50"/>
        <v>2959.0478903521998</v>
      </c>
      <c r="X51" s="15">
        <f t="shared" si="50"/>
        <v>3427.0065086894033</v>
      </c>
      <c r="Y51" s="15">
        <f t="shared" si="50"/>
        <v>3760.755522689009</v>
      </c>
      <c r="Z51" s="15">
        <f t="shared" si="50"/>
        <v>2945.0305832855061</v>
      </c>
      <c r="AA51" s="15">
        <f t="shared" si="50"/>
        <v>3123.4976019381534</v>
      </c>
      <c r="AB51" s="15">
        <f t="shared" si="50"/>
        <v>3606.6232465284743</v>
      </c>
      <c r="AC51" s="15">
        <f t="shared" si="50"/>
        <v>4072.7173879479501</v>
      </c>
      <c r="AD51" s="15">
        <f t="shared" si="50"/>
        <v>3781.2327917942912</v>
      </c>
      <c r="AE51" s="15">
        <f t="shared" si="50"/>
        <v>3913.8520641883733</v>
      </c>
      <c r="AF51" s="15">
        <f t="shared" si="50"/>
        <v>3780.9723925345356</v>
      </c>
      <c r="AG51" s="15">
        <f t="shared" si="50"/>
        <v>3788.7133954440746</v>
      </c>
      <c r="AH51" s="15">
        <f t="shared" si="50"/>
        <v>3643.6201516805736</v>
      </c>
      <c r="AJ51" s="15" cm="1">
        <f t="array" aca="1" ref="AJ51" ca="1">INDEX($E51:$AH51,1,MATCH(AJ$3&amp;AJ$4&amp;AJ$5&amp;AJ$6,$E$3:$AH$3&amp;$E$4:$AH$4&amp;$E$5:$AH$5&amp;$E$6:$AH$6,1))</f>
        <v>3561.3413318490293</v>
      </c>
      <c r="AK51" s="15" cm="1">
        <f t="array" aca="1" ref="AK51" ca="1">INDEX($E51:$AH51,1,MATCH(AK$3&amp;AK$4&amp;AK$5&amp;AK$6,$E$3:$AH$3&amp;$E$4:$AH$4&amp;$E$5:$AH$5&amp;$E$6:$AH$6,1))</f>
        <v>2903.7436473891348</v>
      </c>
      <c r="AL51" s="15" cm="1">
        <f t="array" aca="1" ref="AL51" ca="1">INDEX($E51:$AH51,1,MATCH(AL$3&amp;AL$4&amp;AL$5&amp;AL$6,$E$3:$AH$3&amp;$E$4:$AH$4&amp;$E$5:$AH$5&amp;$E$6:$AH$6,1))</f>
        <v>3433.420989640942</v>
      </c>
      <c r="AM51" s="351" cm="1">
        <f t="array" aca="1" ref="AM51" ca="1">INDEX($E51:$AH51,1,MATCH(AM$3&amp;AM$4&amp;AM$5&amp;AM$6,$E$3:$AH$3&amp;$E$4:$AH$4&amp;$E$5:$AH$5&amp;$E$6:$AH$6,1))</f>
        <v>2989.6771642932367</v>
      </c>
      <c r="AN51" s="15" cm="1">
        <f t="array" aca="1" ref="AN51" ca="1">INDEX($E51:$AH51,1,MATCH(AN$3&amp;AN$4&amp;AN$5&amp;AN$6,$E$3:$AH$3&amp;$E$4:$AH$4&amp;$E$5:$AH$5&amp;$E$6:$AH$6,1))</f>
        <v>2959.5915966445818</v>
      </c>
      <c r="AO51" s="15" cm="1">
        <f t="array" aca="1" ref="AO51" ca="1">INDEX($E51:$AH51,1,MATCH(AO$3&amp;AO$4&amp;AO$5&amp;AO$6,$E$3:$AH$3&amp;$E$4:$AH$4&amp;$E$5:$AH$5&amp;$E$6:$AH$6,1))</f>
        <v>2619.1390558413541</v>
      </c>
      <c r="AP51" s="15" cm="1">
        <f t="array" aca="1" ref="AP51" ca="1">INDEX($E51:$AH51,1,MATCH(AP$3&amp;AP$4&amp;AP$5&amp;AP$6,$E$3:$AH$3&amp;$E$4:$AH$4&amp;$E$5:$AH$5&amp;$E$6:$AH$6,1))</f>
        <v>3760.755522689009</v>
      </c>
      <c r="AQ51" s="15" cm="1">
        <f t="array" aca="1" ref="AQ51" ca="1">INDEX($E51:$AH51,1,MATCH(AQ$3&amp;AQ$4&amp;AQ$5&amp;AQ$6,$E$3:$AH$3&amp;$E$4:$AH$4&amp;$E$5:$AH$5&amp;$E$6:$AH$6,1))</f>
        <v>3606.6232465284743</v>
      </c>
      <c r="AR51" s="15" cm="1">
        <f t="array" aca="1" ref="AR51" ca="1">INDEX($E51:$AH51,1,MATCH(AR$3&amp;AR$4&amp;AR$5&amp;AR$6,$E$3:$AH$3&amp;$E$4:$AH$4&amp;$E$5:$AH$5&amp;$E$6:$AH$6,1))</f>
        <v>3913.8520641883733</v>
      </c>
      <c r="AS51" s="15" cm="1">
        <f t="array" aca="1" ref="AS51" ca="1">INDEX($E51:$AH51,1,MATCH(AS$3&amp;AS$4&amp;AS$5&amp;AS$6,$E$3:$AH$3&amp;$E$4:$AH$4&amp;$E$5:$AH$5&amp;$E$6:$AH$6,1))</f>
        <v>3643.6201516805736</v>
      </c>
      <c r="AU51" s="13">
        <f ca="1">INDEX($E51:$AH51,1,MATCH(AU$5,$E$5:$AH$5,1))</f>
        <v>2903.7436473891348</v>
      </c>
      <c r="AV51" s="13">
        <f t="shared" ref="AV51:AW51" ca="1" si="51">INDEX($E51:$AH51,1,MATCH(AV$5,$E$5:$AH$5,1))</f>
        <v>2619.1390558413541</v>
      </c>
      <c r="AW51" s="13">
        <f t="shared" ca="1" si="51"/>
        <v>3643.6201516805736</v>
      </c>
    </row>
    <row r="52" spans="2:49" x14ac:dyDescent="0.25">
      <c r="P52" s="8"/>
      <c r="AM52" s="8"/>
    </row>
    <row r="53" spans="2:49" x14ac:dyDescent="0.25">
      <c r="C53" s="110" t="s">
        <v>486</v>
      </c>
      <c r="E53" s="110" t="b">
        <f>ABS(E49+E50-E51)&lt;0.001</f>
        <v>1</v>
      </c>
      <c r="F53" s="110" t="b">
        <f t="shared" ref="F53:AW53" si="52">ABS(F49+F50-F51)&lt;0.001</f>
        <v>1</v>
      </c>
      <c r="G53" s="110" t="b">
        <f t="shared" si="52"/>
        <v>1</v>
      </c>
      <c r="H53" s="110" t="b">
        <f t="shared" si="52"/>
        <v>1</v>
      </c>
      <c r="I53" s="110" t="b">
        <f t="shared" si="52"/>
        <v>1</v>
      </c>
      <c r="J53" s="110" t="b">
        <f t="shared" si="52"/>
        <v>1</v>
      </c>
      <c r="K53" s="110" t="b">
        <f t="shared" si="52"/>
        <v>1</v>
      </c>
      <c r="L53" s="110" t="b">
        <f t="shared" si="52"/>
        <v>1</v>
      </c>
      <c r="M53" s="110" t="b">
        <f t="shared" si="52"/>
        <v>1</v>
      </c>
      <c r="N53" s="110" t="b">
        <f t="shared" si="52"/>
        <v>1</v>
      </c>
      <c r="O53" s="110" t="b">
        <f t="shared" si="52"/>
        <v>1</v>
      </c>
      <c r="P53" s="111" t="b">
        <f t="shared" si="52"/>
        <v>1</v>
      </c>
      <c r="Q53" s="110" t="b">
        <f t="shared" si="52"/>
        <v>1</v>
      </c>
      <c r="R53" s="110" t="b">
        <f t="shared" si="52"/>
        <v>1</v>
      </c>
      <c r="S53" s="110" t="b">
        <f t="shared" si="52"/>
        <v>1</v>
      </c>
      <c r="T53" s="110" t="b">
        <f t="shared" si="52"/>
        <v>1</v>
      </c>
      <c r="U53" s="110" t="b">
        <f t="shared" si="52"/>
        <v>1</v>
      </c>
      <c r="V53" s="110" t="b">
        <f t="shared" si="52"/>
        <v>1</v>
      </c>
      <c r="W53" s="110" t="b">
        <f t="shared" si="52"/>
        <v>1</v>
      </c>
      <c r="X53" s="110" t="b">
        <f t="shared" si="52"/>
        <v>1</v>
      </c>
      <c r="Y53" s="110" t="b">
        <f t="shared" si="52"/>
        <v>1</v>
      </c>
      <c r="Z53" s="110" t="b">
        <f t="shared" si="52"/>
        <v>1</v>
      </c>
      <c r="AA53" s="110" t="b">
        <f t="shared" si="52"/>
        <v>1</v>
      </c>
      <c r="AB53" s="110" t="b">
        <f t="shared" si="52"/>
        <v>1</v>
      </c>
      <c r="AC53" s="110" t="b">
        <f t="shared" si="52"/>
        <v>1</v>
      </c>
      <c r="AD53" s="110" t="b">
        <f t="shared" si="52"/>
        <v>1</v>
      </c>
      <c r="AE53" s="110" t="b">
        <f t="shared" si="52"/>
        <v>1</v>
      </c>
      <c r="AF53" s="110" t="b">
        <f t="shared" si="52"/>
        <v>1</v>
      </c>
      <c r="AG53" s="110" t="b">
        <f t="shared" si="52"/>
        <v>1</v>
      </c>
      <c r="AH53" s="110" t="b">
        <f t="shared" si="52"/>
        <v>1</v>
      </c>
      <c r="AJ53" s="110" t="b">
        <f t="shared" ca="1" si="52"/>
        <v>1</v>
      </c>
      <c r="AK53" s="110" t="b">
        <f t="shared" ca="1" si="52"/>
        <v>1</v>
      </c>
      <c r="AL53" s="110" t="b">
        <f t="shared" ca="1" si="52"/>
        <v>1</v>
      </c>
      <c r="AM53" s="111" t="b">
        <f t="shared" ca="1" si="52"/>
        <v>1</v>
      </c>
      <c r="AN53" s="110" t="b">
        <f t="shared" ca="1" si="52"/>
        <v>1</v>
      </c>
      <c r="AO53" s="110" t="b">
        <f t="shared" ca="1" si="52"/>
        <v>1</v>
      </c>
      <c r="AP53" s="110" t="b">
        <f t="shared" ca="1" si="52"/>
        <v>1</v>
      </c>
      <c r="AQ53" s="110" t="b">
        <f t="shared" ca="1" si="52"/>
        <v>1</v>
      </c>
      <c r="AR53" s="110" t="b">
        <f t="shared" ca="1" si="52"/>
        <v>1</v>
      </c>
      <c r="AS53" s="110" t="b">
        <f t="shared" ca="1" si="52"/>
        <v>1</v>
      </c>
      <c r="AU53" s="110" t="b">
        <f t="shared" ca="1" si="52"/>
        <v>1</v>
      </c>
      <c r="AV53" s="110" t="b">
        <f t="shared" ca="1" si="52"/>
        <v>1</v>
      </c>
      <c r="AW53" s="110" t="b">
        <f t="shared" ca="1" si="52"/>
        <v>1</v>
      </c>
    </row>
    <row r="54" spans="2:49" x14ac:dyDescent="0.25">
      <c r="P54" s="8"/>
      <c r="AM54" s="8"/>
    </row>
    <row r="55" spans="2:49" x14ac:dyDescent="0.25">
      <c r="C55" s="30" t="s">
        <v>222</v>
      </c>
      <c r="D55" s="30"/>
      <c r="E55" s="45" t="str">
        <f t="shared" ref="E55:AH55" si="53">E$9</f>
        <v>Jul-20A</v>
      </c>
      <c r="F55" s="45" t="str">
        <f t="shared" si="53"/>
        <v>Aug-20A</v>
      </c>
      <c r="G55" s="45" t="str">
        <f t="shared" si="53"/>
        <v>Sep-20A</v>
      </c>
      <c r="H55" s="45" t="str">
        <f t="shared" si="53"/>
        <v>Oct-20A</v>
      </c>
      <c r="I55" s="45" t="str">
        <f t="shared" si="53"/>
        <v>Nov-20A</v>
      </c>
      <c r="J55" s="45" t="str">
        <f t="shared" si="53"/>
        <v>Dec-20A</v>
      </c>
      <c r="K55" s="45" t="str">
        <f t="shared" si="53"/>
        <v>Jan-21A</v>
      </c>
      <c r="L55" s="45" t="str">
        <f t="shared" si="53"/>
        <v>Feb-21A</v>
      </c>
      <c r="M55" s="45" t="str">
        <f t="shared" si="53"/>
        <v>Mar-21A</v>
      </c>
      <c r="N55" s="45" t="str">
        <f t="shared" si="53"/>
        <v>Apr-21A</v>
      </c>
      <c r="O55" s="45" t="str">
        <f t="shared" si="53"/>
        <v>May-21A</v>
      </c>
      <c r="P55" s="46" t="str">
        <f t="shared" si="53"/>
        <v>Jun-21A</v>
      </c>
      <c r="Q55" s="45" t="str">
        <f t="shared" si="53"/>
        <v>Jul-21F</v>
      </c>
      <c r="R55" s="45" t="str">
        <f t="shared" si="53"/>
        <v>Aug-21F</v>
      </c>
      <c r="S55" s="45" t="str">
        <f t="shared" si="53"/>
        <v>Sep-21F</v>
      </c>
      <c r="T55" s="45" t="str">
        <f t="shared" si="53"/>
        <v>Oct-21F</v>
      </c>
      <c r="U55" s="45" t="str">
        <f t="shared" si="53"/>
        <v>Nov-21F</v>
      </c>
      <c r="V55" s="45" t="str">
        <f t="shared" si="53"/>
        <v>Dec-21F</v>
      </c>
      <c r="W55" s="45" t="str">
        <f t="shared" si="53"/>
        <v>Jan-22F</v>
      </c>
      <c r="X55" s="45" t="str">
        <f t="shared" si="53"/>
        <v>Feb-22F</v>
      </c>
      <c r="Y55" s="45" t="str">
        <f t="shared" si="53"/>
        <v>Mar-22F</v>
      </c>
      <c r="Z55" s="45" t="str">
        <f t="shared" si="53"/>
        <v>Apr-22F</v>
      </c>
      <c r="AA55" s="45" t="str">
        <f t="shared" si="53"/>
        <v>May-22F</v>
      </c>
      <c r="AB55" s="45" t="str">
        <f t="shared" si="53"/>
        <v>Jun-22F</v>
      </c>
      <c r="AC55" s="45" t="str">
        <f t="shared" si="53"/>
        <v>Jul-22F</v>
      </c>
      <c r="AD55" s="45" t="str">
        <f t="shared" si="53"/>
        <v>Aug-22F</v>
      </c>
      <c r="AE55" s="45" t="str">
        <f t="shared" si="53"/>
        <v>Sep-22F</v>
      </c>
      <c r="AF55" s="45" t="str">
        <f t="shared" si="53"/>
        <v>Oct-22F</v>
      </c>
      <c r="AG55" s="45" t="str">
        <f t="shared" si="53"/>
        <v>Nov-22F</v>
      </c>
      <c r="AH55" s="45" t="str">
        <f t="shared" si="53"/>
        <v>Dec-22F</v>
      </c>
      <c r="AJ55" s="45" t="str">
        <f ca="1">AJ$10</f>
        <v>Q3'20A</v>
      </c>
      <c r="AK55" s="45" t="str">
        <f t="shared" ref="AK55:AW55" ca="1" si="54">AK$10</f>
        <v>Q4'20A</v>
      </c>
      <c r="AL55" s="45" t="str">
        <f t="shared" ca="1" si="54"/>
        <v>Q1'21A</v>
      </c>
      <c r="AM55" s="46" t="str">
        <f t="shared" ca="1" si="54"/>
        <v>Q2'21A</v>
      </c>
      <c r="AN55" s="45" t="str">
        <f t="shared" ca="1" si="54"/>
        <v>Q3'21F</v>
      </c>
      <c r="AO55" s="45" t="str">
        <f t="shared" ca="1" si="54"/>
        <v>Q4'21F</v>
      </c>
      <c r="AP55" s="45" t="str">
        <f t="shared" ca="1" si="54"/>
        <v>Q1'22F</v>
      </c>
      <c r="AQ55" s="45" t="str">
        <f t="shared" ca="1" si="54"/>
        <v>Q2'22F</v>
      </c>
      <c r="AR55" s="45" t="str">
        <f t="shared" ca="1" si="54"/>
        <v>Q3'22F</v>
      </c>
      <c r="AS55" s="45" t="str">
        <f t="shared" ca="1" si="54"/>
        <v>Q4'22F</v>
      </c>
      <c r="AU55" s="45" t="str">
        <f t="shared" ca="1" si="54"/>
        <v>FY20</v>
      </c>
      <c r="AV55" s="45" t="str">
        <f t="shared" ca="1" si="54"/>
        <v>FY21</v>
      </c>
      <c r="AW55" s="45" t="str">
        <f t="shared" ca="1" si="54"/>
        <v>FY22</v>
      </c>
    </row>
    <row r="56" spans="2:49" x14ac:dyDescent="0.25">
      <c r="C56" s="1" t="s">
        <v>194</v>
      </c>
      <c r="D56" s="1"/>
      <c r="E56" s="61">
        <f>D60</f>
        <v>2434.70914046394</v>
      </c>
      <c r="F56" s="61">
        <f t="shared" ref="F56:AH56" si="55">E60</f>
        <v>2319.8273818745402</v>
      </c>
      <c r="G56" s="61">
        <f t="shared" si="55"/>
        <v>1848.5829287906502</v>
      </c>
      <c r="H56" s="61">
        <f t="shared" si="55"/>
        <v>1879.090699649136</v>
      </c>
      <c r="I56" s="61">
        <f t="shared" si="55"/>
        <v>2022.7807369570864</v>
      </c>
      <c r="J56" s="61">
        <f t="shared" si="55"/>
        <v>2076.9790138423041</v>
      </c>
      <c r="K56" s="61">
        <f t="shared" si="55"/>
        <v>2699.9129700260582</v>
      </c>
      <c r="L56" s="61">
        <f t="shared" si="55"/>
        <v>2645.9877229947488</v>
      </c>
      <c r="M56" s="61">
        <f t="shared" si="55"/>
        <v>2345.5154003806301</v>
      </c>
      <c r="N56" s="61">
        <f t="shared" si="55"/>
        <v>2491.1125510031875</v>
      </c>
      <c r="O56" s="61">
        <f t="shared" si="55"/>
        <v>3111.6599671922027</v>
      </c>
      <c r="P56" s="17">
        <f t="shared" si="55"/>
        <v>3529.7159467625393</v>
      </c>
      <c r="Q56" s="15">
        <f t="shared" si="55"/>
        <v>3975.3129316642453</v>
      </c>
      <c r="R56" s="15">
        <f t="shared" si="55"/>
        <v>3769.2092298183461</v>
      </c>
      <c r="S56" s="15">
        <f t="shared" si="55"/>
        <v>3112.9883914277962</v>
      </c>
      <c r="T56" s="15">
        <f t="shared" si="55"/>
        <v>2993.9127752125532</v>
      </c>
      <c r="U56" s="15">
        <f t="shared" si="55"/>
        <v>3061.9716853190307</v>
      </c>
      <c r="V56" s="15">
        <f t="shared" si="55"/>
        <v>3177.2354250797066</v>
      </c>
      <c r="W56" s="104">
        <f t="shared" si="55"/>
        <v>4164.4012745889459</v>
      </c>
      <c r="X56" s="15">
        <f t="shared" si="55"/>
        <v>3598.9245970022694</v>
      </c>
      <c r="Y56" s="15">
        <f t="shared" si="55"/>
        <v>3107.4585939230233</v>
      </c>
      <c r="Z56" s="15">
        <f t="shared" si="55"/>
        <v>3074.0607436857599</v>
      </c>
      <c r="AA56" s="15">
        <f t="shared" si="55"/>
        <v>4408.1283981859851</v>
      </c>
      <c r="AB56" s="15">
        <f t="shared" si="55"/>
        <v>4140.6449333144128</v>
      </c>
      <c r="AC56" s="15">
        <f t="shared" si="55"/>
        <v>4500.8254363204642</v>
      </c>
      <c r="AD56" s="15">
        <f t="shared" si="55"/>
        <v>4056.6757843830005</v>
      </c>
      <c r="AE56" s="15">
        <f t="shared" si="55"/>
        <v>3313.7262988796792</v>
      </c>
      <c r="AF56" s="15">
        <f t="shared" si="55"/>
        <v>3161.8021147215177</v>
      </c>
      <c r="AG56" s="15">
        <f t="shared" si="55"/>
        <v>3221.0599844269136</v>
      </c>
      <c r="AH56" s="15">
        <f t="shared" si="55"/>
        <v>3286.8762630916476</v>
      </c>
      <c r="AJ56" s="15">
        <f ca="1">AJ60+AJ59+AJ58-AJ57</f>
        <v>2434.7091404639395</v>
      </c>
      <c r="AK56" s="15">
        <f t="shared" ref="AK56" ca="1" si="56">AK60+AK59+AK58-AK57</f>
        <v>1879.0906996491353</v>
      </c>
      <c r="AL56" s="15">
        <f t="shared" ref="AL56" ca="1" si="57">AL60+AL59+AL58-AL57</f>
        <v>2699.9129700260587</v>
      </c>
      <c r="AM56" s="16">
        <f t="shared" ref="AM56" ca="1" si="58">AM60+AM59+AM58-AM57</f>
        <v>2491.1125510031875</v>
      </c>
      <c r="AN56" s="15">
        <f t="shared" ref="AN56" ca="1" si="59">AN60+AN59+AN58-AN57</f>
        <v>3975.3129316642453</v>
      </c>
      <c r="AO56" s="15">
        <f t="shared" ref="AO56" ca="1" si="60">AO60+AO59+AO58-AO57</f>
        <v>2993.9127752125523</v>
      </c>
      <c r="AP56" s="15">
        <f t="shared" ref="AP56" ca="1" si="61">AP60+AP59+AP58-AP57</f>
        <v>4164.4012745889459</v>
      </c>
      <c r="AQ56" s="15">
        <f t="shared" ref="AQ56" ca="1" si="62">AQ60+AQ59+AQ58-AQ57</f>
        <v>3074.0607436857595</v>
      </c>
      <c r="AR56" s="15">
        <f t="shared" ref="AR56" ca="1" si="63">AR60+AR59+AR58-AR57</f>
        <v>4500.8254363204642</v>
      </c>
      <c r="AS56" s="15">
        <f t="shared" ref="AS56" ca="1" si="64">AS60+AS59+AS58-AS57</f>
        <v>3161.8021147215177</v>
      </c>
      <c r="AU56" s="15">
        <f t="shared" ref="AU56" ca="1" si="65">AU60+AU59+AU58-AU57</f>
        <v>2434.7091404639405</v>
      </c>
      <c r="AV56" s="15">
        <f t="shared" ref="AV56" ca="1" si="66">AV60+AV59+AV58-AV57</f>
        <v>2699.9129700260564</v>
      </c>
      <c r="AW56" s="15">
        <f t="shared" ref="AW56" ca="1" si="67">AW60+AW59+AW58-AW57</f>
        <v>4164.4012745889449</v>
      </c>
    </row>
    <row r="57" spans="2:49" x14ac:dyDescent="0.25">
      <c r="C57" s="108" t="s">
        <v>197</v>
      </c>
      <c r="D57" s="1"/>
      <c r="E57" s="56">
        <f>Revenue!E145</f>
        <v>927.93095274981602</v>
      </c>
      <c r="F57" s="56">
        <f>Revenue!F145</f>
        <v>735.34790537528625</v>
      </c>
      <c r="G57" s="56">
        <f>Revenue!G145</f>
        <v>715.08736984533709</v>
      </c>
      <c r="H57" s="56">
        <f>Revenue!H145</f>
        <v>737.79236606337486</v>
      </c>
      <c r="I57" s="56">
        <f>Revenue!I145</f>
        <v>727.34673636500895</v>
      </c>
      <c r="J57" s="56">
        <f>Revenue!J145</f>
        <v>1012.467363759772</v>
      </c>
      <c r="K57" s="56">
        <f>Revenue!K145</f>
        <v>858.15818043072909</v>
      </c>
      <c r="L57" s="56">
        <f>Revenue!L145</f>
        <v>733.61037718247314</v>
      </c>
      <c r="M57" s="56">
        <f>Revenue!M145</f>
        <v>752.34942815532486</v>
      </c>
      <c r="N57" s="56">
        <f>Revenue!N145</f>
        <v>1014.6717284322399</v>
      </c>
      <c r="O57" s="56">
        <f>Revenue!O145</f>
        <v>997.40795983870771</v>
      </c>
      <c r="P57" s="34">
        <f>Revenue!P145</f>
        <v>1055.3928137161713</v>
      </c>
      <c r="Q57" s="33">
        <f>Revenue!Q21</f>
        <v>1132.808116934413</v>
      </c>
      <c r="R57" s="33">
        <f>Revenue!R21</f>
        <v>924.28989330578554</v>
      </c>
      <c r="S57" s="33">
        <f>Revenue!S21</f>
        <v>881.48613024466636</v>
      </c>
      <c r="T57" s="33">
        <f>Revenue!T21</f>
        <v>897.76544844326088</v>
      </c>
      <c r="U57" s="33">
        <f>Revenue!U21</f>
        <v>916.16025491466962</v>
      </c>
      <c r="V57" s="33">
        <f>Revenue!V21</f>
        <v>1204.916359100057</v>
      </c>
      <c r="W57" s="33">
        <f>Revenue!W21</f>
        <v>1057.131134894355</v>
      </c>
      <c r="X57" s="33">
        <f>Revenue!X21</f>
        <v>909.33744398212934</v>
      </c>
      <c r="Y57" s="33">
        <f>Revenue!Y21</f>
        <v>897.40647334653238</v>
      </c>
      <c r="Z57" s="33">
        <f>Revenue!Z21</f>
        <v>1285.0423590273199</v>
      </c>
      <c r="AA57" s="33">
        <f>Revenue!AA21</f>
        <v>1205.9135471960133</v>
      </c>
      <c r="AB57" s="33">
        <f>Revenue!AB21</f>
        <v>1313.002590548946</v>
      </c>
      <c r="AC57" s="33">
        <f>Revenue!AC21</f>
        <v>1185.0629560611505</v>
      </c>
      <c r="AD57" s="33">
        <f>Revenue!AD21</f>
        <v>967.14486205329683</v>
      </c>
      <c r="AE57" s="33">
        <f>Revenue!AE21</f>
        <v>922.39951981466538</v>
      </c>
      <c r="AF57" s="33">
        <f>Revenue!AF21</f>
        <v>939.58156234665057</v>
      </c>
      <c r="AG57" s="33">
        <f>Revenue!AG21</f>
        <v>958.88043189295263</v>
      </c>
      <c r="AH57" s="33">
        <f>Revenue!AH21</f>
        <v>1260.9299508968747</v>
      </c>
      <c r="AJ57" s="15" cm="1">
        <f t="array" aca="1" ref="AJ57" ca="1">SUMPRODUCT(($E57:$AH57)*(AJ$3&amp;AJ$4&amp;AJ$5&amp;AJ$6=$E$3:$AH$3&amp;$E$4:$AH$4&amp;$E$5:$AH$5&amp;$E$6:$AH$6))</f>
        <v>2378.3662279704395</v>
      </c>
      <c r="AK57" s="15" cm="1">
        <f t="array" aca="1" ref="AK57" ca="1">SUMPRODUCT(($E57:$AH57)*(AK$3=$E$3:$AH$3)*(AK$4=$E$4:$AH$4)*(AK$5=$E$5:$AH$5)*(AK$6=$E$6:$AH$6))</f>
        <v>2477.606466188156</v>
      </c>
      <c r="AL57" s="15" cm="1">
        <f t="array" aca="1" ref="AL57" ca="1">SUMPRODUCT(($E57:$AH57)*(AL$3=$E$3:$AH$3)*(AL$4=$E$4:$AH$4)*(AL$5=$E$5:$AH$5)*(AL$6=$E$6:$AH$6))</f>
        <v>2344.117985768527</v>
      </c>
      <c r="AM57" s="16" cm="1">
        <f t="array" aca="1" ref="AM57" ca="1">SUMPRODUCT(($E57:$AH57)*(AM$3=$E$3:$AH$3)*(AM$4=$E$4:$AH$4)*(AM$5=$E$5:$AH$5)*(AM$6=$E$6:$AH$6))</f>
        <v>3067.4725019871189</v>
      </c>
      <c r="AN57" s="15" cm="1">
        <f t="array" aca="1" ref="AN57" ca="1">SUMPRODUCT(($E57:$AH57)*(AN$3=$E$3:$AH$3)*(AN$4=$E$4:$AH$4)*(AN$5=$E$5:$AH$5)*(AN$6=$E$6:$AH$6))</f>
        <v>2938.5841404848652</v>
      </c>
      <c r="AO57" s="15" cm="1">
        <f t="array" aca="1" ref="AO57" ca="1">SUMPRODUCT(($E57:$AH57)*(AO$3=$E$3:$AH$3)*(AO$4=$E$4:$AH$4)*(AO$5=$E$5:$AH$5)*(AO$6=$E$6:$AH$6))</f>
        <v>3018.8420624579876</v>
      </c>
      <c r="AP57" s="15" cm="1">
        <f t="array" aca="1" ref="AP57" ca="1">SUMPRODUCT(($E57:$AH57)*(AP$3=$E$3:$AH$3)*(AP$4=$E$4:$AH$4)*(AP$5=$E$5:$AH$5)*(AP$6=$E$6:$AH$6))</f>
        <v>2863.8750522230166</v>
      </c>
      <c r="AQ57" s="15" cm="1">
        <f t="array" aca="1" ref="AQ57" ca="1">SUMPRODUCT(($E57:$AH57)*(AQ$3=$E$3:$AH$3)*(AQ$4=$E$4:$AH$4)*(AQ$5=$E$5:$AH$5)*(AQ$6=$E$6:$AH$6))</f>
        <v>3803.958496772279</v>
      </c>
      <c r="AR57" s="15" cm="1">
        <f t="array" aca="1" ref="AR57" ca="1">SUMPRODUCT(($E57:$AH57)*(AR$3=$E$3:$AH$3)*(AR$4=$E$4:$AH$4)*(AR$5=$E$5:$AH$5)*(AR$6=$E$6:$AH$6))</f>
        <v>3074.6073379291129</v>
      </c>
      <c r="AS57" s="15" cm="1">
        <f t="array" aca="1" ref="AS57" ca="1">SUMPRODUCT(($E57:$AH57)*(AS$3=$E$3:$AH$3)*(AS$4=$E$4:$AH$4)*(AS$5=$E$5:$AH$5)*(AS$6=$E$6:$AH$6))</f>
        <v>3159.3919451364782</v>
      </c>
      <c r="AU57" s="15" cm="1">
        <f t="array" aca="1" ref="AU57" ca="1">SUMPRODUCT(($E57:$AH57)*(AU$5=$E$5:$AH$5))</f>
        <v>4855.972694158595</v>
      </c>
      <c r="AV57" s="15" cm="1">
        <f t="array" aca="1" ref="AV57" ca="1">SUMPRODUCT(($E57:$AH57)*(AV$5=$E$5:$AH$5))</f>
        <v>11369.0166906985</v>
      </c>
      <c r="AW57" s="15" cm="1">
        <f t="array" aca="1" ref="AW57" ca="1">SUMPRODUCT(($E57:$AH57)*(AW$5=$E$5:$AH$5))</f>
        <v>12901.832832060889</v>
      </c>
    </row>
    <row r="58" spans="2:49" x14ac:dyDescent="0.25">
      <c r="C58" s="108" t="s">
        <v>198</v>
      </c>
      <c r="D58" s="1"/>
      <c r="E58" s="61">
        <f>E57-(E60-E56)-E59</f>
        <v>1008.3990728622337</v>
      </c>
      <c r="F58" s="61">
        <f t="shared" ref="F58:AH58" si="68">F57-(F60-F56)-F59</f>
        <v>1157.6699791776589</v>
      </c>
      <c r="G58" s="61">
        <f t="shared" si="68"/>
        <v>654.13225925726033</v>
      </c>
      <c r="H58" s="61">
        <f t="shared" si="68"/>
        <v>578.03319894685831</v>
      </c>
      <c r="I58" s="61">
        <f t="shared" si="68"/>
        <v>651.75372703403934</v>
      </c>
      <c r="J58" s="61">
        <f t="shared" si="68"/>
        <v>382.77467257122726</v>
      </c>
      <c r="K58" s="61">
        <f t="shared" si="68"/>
        <v>866.26050152706023</v>
      </c>
      <c r="L58" s="61">
        <f t="shared" si="68"/>
        <v>988.67253162535258</v>
      </c>
      <c r="M58" s="61">
        <f t="shared" si="68"/>
        <v>577.39747991356774</v>
      </c>
      <c r="N58" s="61">
        <f t="shared" si="68"/>
        <v>384.83798751245371</v>
      </c>
      <c r="O58" s="61">
        <f t="shared" si="68"/>
        <v>552.07850966921592</v>
      </c>
      <c r="P58" s="17">
        <f t="shared" si="68"/>
        <v>576.08733309891579</v>
      </c>
      <c r="Q58" s="15">
        <f t="shared" si="68"/>
        <v>1288.3267366068635</v>
      </c>
      <c r="R58" s="15">
        <f t="shared" si="68"/>
        <v>1519.4129682618816</v>
      </c>
      <c r="S58" s="15">
        <f t="shared" si="68"/>
        <v>962.40630518795626</v>
      </c>
      <c r="T58" s="15">
        <f t="shared" si="68"/>
        <v>798.36100169636086</v>
      </c>
      <c r="U58" s="15">
        <f t="shared" si="68"/>
        <v>770.7269129070412</v>
      </c>
      <c r="V58" s="15">
        <f t="shared" si="68"/>
        <v>211.23552869811246</v>
      </c>
      <c r="W58" s="15">
        <f t="shared" si="68"/>
        <v>1560.0737841152729</v>
      </c>
      <c r="X58" s="15">
        <f t="shared" si="68"/>
        <v>1346.8117792926485</v>
      </c>
      <c r="Y58" s="15">
        <f t="shared" si="68"/>
        <v>895.4456304209823</v>
      </c>
      <c r="Z58" s="15">
        <f t="shared" si="68"/>
        <v>-44.810599741647543</v>
      </c>
      <c r="AA58" s="15">
        <f t="shared" si="68"/>
        <v>1417.0477831645369</v>
      </c>
      <c r="AB58" s="15">
        <f t="shared" si="68"/>
        <v>917.32330750703079</v>
      </c>
      <c r="AC58" s="15">
        <f t="shared" si="68"/>
        <v>1566.6423183113038</v>
      </c>
      <c r="AD58" s="15">
        <f t="shared" si="68"/>
        <v>1643.929138314478</v>
      </c>
      <c r="AE58" s="15">
        <f t="shared" si="68"/>
        <v>1033.3129236899299</v>
      </c>
      <c r="AF58" s="15">
        <f t="shared" si="68"/>
        <v>847.04301702531973</v>
      </c>
      <c r="AG58" s="15">
        <f t="shared" si="68"/>
        <v>859.31188943091831</v>
      </c>
      <c r="AH58" s="15">
        <f t="shared" si="68"/>
        <v>219.99899276384636</v>
      </c>
      <c r="AJ58" s="15" cm="1">
        <f t="array" aca="1" ref="AJ58" ca="1">SUMPRODUCT(($E58:$AH58)*(AJ$3&amp;AJ$4&amp;AJ$5&amp;AJ$6=$E$3:$AH$3&amp;$E$4:$AH$4&amp;$E$5:$AH$5&amp;$E$6:$AH$6))</f>
        <v>2820.2013112971526</v>
      </c>
      <c r="AK58" s="15" cm="1">
        <f t="array" aca="1" ref="AK58" ca="1">SUMPRODUCT(($E58:$AH58)*(AK$3=$E$3:$AH$3)*(AK$4=$E$4:$AH$4)*(AK$5=$E$5:$AH$5)*(AK$6=$E$6:$AH$6))</f>
        <v>1612.5615985521249</v>
      </c>
      <c r="AL58" s="15" cm="1">
        <f t="array" aca="1" ref="AL58" ca="1">SUMPRODUCT(($E58:$AH58)*(AL$3=$E$3:$AH$3)*(AL$4=$E$4:$AH$4)*(AL$5=$E$5:$AH$5)*(AL$6=$E$6:$AH$6))</f>
        <v>2432.3305130659805</v>
      </c>
      <c r="AM58" s="16" cm="1">
        <f t="array" aca="1" ref="AM58" ca="1">SUMPRODUCT(($E58:$AH58)*(AM$3=$E$3:$AH$3)*(AM$4=$E$4:$AH$4)*(AM$5=$E$5:$AH$5)*(AM$6=$E$6:$AH$6))</f>
        <v>1513.0038302805856</v>
      </c>
      <c r="AN58" s="15" cm="1">
        <f t="array" aca="1" ref="AN58" ca="1">SUMPRODUCT(($E58:$AH58)*(AN$3=$E$3:$AH$3)*(AN$4=$E$4:$AH$4)*(AN$5=$E$5:$AH$5)*(AN$6=$E$6:$AH$6))</f>
        <v>3770.1460100567015</v>
      </c>
      <c r="AO58" s="15" cm="1">
        <f t="array" aca="1" ref="AO58" ca="1">SUMPRODUCT(($E58:$AH58)*(AO$3=$E$3:$AH$3)*(AO$4=$E$4:$AH$4)*(AO$5=$E$5:$AH$5)*(AO$6=$E$6:$AH$6))</f>
        <v>1780.3234433015145</v>
      </c>
      <c r="AP58" s="15" cm="1">
        <f t="array" aca="1" ref="AP58" ca="1">SUMPRODUCT(($E58:$AH58)*(AP$3=$E$3:$AH$3)*(AP$4=$E$4:$AH$4)*(AP$5=$E$5:$AH$5)*(AP$6=$E$6:$AH$6))</f>
        <v>3802.3311938289035</v>
      </c>
      <c r="AQ58" s="15" cm="1">
        <f t="array" aca="1" ref="AQ58" ca="1">SUMPRODUCT(($E58:$AH58)*(AQ$3=$E$3:$AH$3)*(AQ$4=$E$4:$AH$4)*(AQ$5=$E$5:$AH$5)*(AQ$6=$E$6:$AH$6))</f>
        <v>2289.56049092992</v>
      </c>
      <c r="AR58" s="15" cm="1">
        <f t="array" aca="1" ref="AR58" ca="1">SUMPRODUCT(($E58:$AH58)*(AR$3=$E$3:$AH$3)*(AR$4=$E$4:$AH$4)*(AR$5=$E$5:$AH$5)*(AR$6=$E$6:$AH$6))</f>
        <v>4243.8843803157124</v>
      </c>
      <c r="AS58" s="15" cm="1">
        <f t="array" aca="1" ref="AS58" ca="1">SUMPRODUCT(($E58:$AH58)*(AS$3=$E$3:$AH$3)*(AS$4=$E$4:$AH$4)*(AS$5=$E$5:$AH$5)*(AS$6=$E$6:$AH$6))</f>
        <v>1926.3538992200845</v>
      </c>
      <c r="AU58" s="15" cm="1">
        <f t="array" aca="1" ref="AU58" ca="1">SUMPRODUCT(($E58:$AH58)*(AU$5=$E$5:$AH$5))</f>
        <v>4432.762909849278</v>
      </c>
      <c r="AV58" s="15" cm="1">
        <f t="array" aca="1" ref="AV58" ca="1">SUMPRODUCT(($E58:$AH58)*(AV$5=$E$5:$AH$5))</f>
        <v>9495.8037967047821</v>
      </c>
      <c r="AW58" s="15" cm="1">
        <f t="array" aca="1" ref="AW58" ca="1">SUMPRODUCT(($E58:$AH58)*(AW$5=$E$5:$AH$5))</f>
        <v>12262.129964294621</v>
      </c>
    </row>
    <row r="59" spans="2:49" x14ac:dyDescent="0.25">
      <c r="C59" s="109" t="s">
        <v>199</v>
      </c>
      <c r="D59" s="23"/>
      <c r="E59" s="24">
        <f>E67</f>
        <v>34.413638476982157</v>
      </c>
      <c r="F59" s="24">
        <f t="shared" ref="F59:AH59" si="69">F67</f>
        <v>48.922379281517379</v>
      </c>
      <c r="G59" s="24">
        <f t="shared" si="69"/>
        <v>30.447339729590873</v>
      </c>
      <c r="H59" s="24">
        <f t="shared" si="69"/>
        <v>16.069129808566107</v>
      </c>
      <c r="I59" s="24">
        <f t="shared" si="69"/>
        <v>21.394732445751984</v>
      </c>
      <c r="J59" s="24">
        <f t="shared" si="69"/>
        <v>6.7587350047905517</v>
      </c>
      <c r="K59" s="24">
        <f t="shared" si="69"/>
        <v>45.822925934978315</v>
      </c>
      <c r="L59" s="24">
        <f t="shared" si="69"/>
        <v>45.410168171239299</v>
      </c>
      <c r="M59" s="24">
        <f t="shared" si="69"/>
        <v>29.354797619199715</v>
      </c>
      <c r="N59" s="24">
        <f t="shared" si="69"/>
        <v>9.2863247307709926</v>
      </c>
      <c r="O59" s="24">
        <f t="shared" si="69"/>
        <v>27.273470599155154</v>
      </c>
      <c r="P59" s="64">
        <f t="shared" si="69"/>
        <v>33.708495715549518</v>
      </c>
      <c r="Q59" s="29">
        <f t="shared" si="69"/>
        <v>50.585082173448747</v>
      </c>
      <c r="R59" s="29">
        <f t="shared" si="69"/>
        <v>61.097763434453874</v>
      </c>
      <c r="S59" s="29">
        <f t="shared" si="69"/>
        <v>38.155441271953038</v>
      </c>
      <c r="T59" s="29">
        <f t="shared" si="69"/>
        <v>31.34553664042258</v>
      </c>
      <c r="U59" s="29">
        <f t="shared" si="69"/>
        <v>30.169602246952536</v>
      </c>
      <c r="V59" s="29">
        <f t="shared" si="69"/>
        <v>6.5149808927052746</v>
      </c>
      <c r="W59" s="29">
        <f t="shared" si="69"/>
        <v>62.534028365758637</v>
      </c>
      <c r="X59" s="29">
        <f t="shared" si="69"/>
        <v>53.991667768727076</v>
      </c>
      <c r="Y59" s="29">
        <f t="shared" si="69"/>
        <v>35.358693162813438</v>
      </c>
      <c r="Z59" s="29">
        <f t="shared" si="69"/>
        <v>-4.214695731257784</v>
      </c>
      <c r="AA59" s="29">
        <f t="shared" si="69"/>
        <v>56.349228903048626</v>
      </c>
      <c r="AB59" s="29">
        <f t="shared" si="69"/>
        <v>35.498780035863881</v>
      </c>
      <c r="AC59" s="29">
        <f t="shared" si="69"/>
        <v>62.570289687310265</v>
      </c>
      <c r="AD59" s="29">
        <f t="shared" si="69"/>
        <v>66.165209242140136</v>
      </c>
      <c r="AE59" s="29">
        <f t="shared" si="69"/>
        <v>41.010780282897123</v>
      </c>
      <c r="AF59" s="29">
        <f t="shared" si="69"/>
        <v>33.280675615934875</v>
      </c>
      <c r="AG59" s="29">
        <f t="shared" si="69"/>
        <v>33.752263797300287</v>
      </c>
      <c r="AH59" s="29">
        <f t="shared" si="69"/>
        <v>6.7741872652603448</v>
      </c>
      <c r="AJ59" s="29" cm="1">
        <f t="array" aca="1" ref="AJ59" ca="1">SUMPRODUCT(($E59:$AH59)*(AJ$3&amp;AJ$4&amp;AJ$5&amp;AJ$6=$E$3:$AH$3&amp;$E$4:$AH$4&amp;$E$5:$AH$5&amp;$E$6:$AH$6))</f>
        <v>113.78335748809042</v>
      </c>
      <c r="AK59" s="29" cm="1">
        <f t="array" aca="1" ref="AK59" ca="1">SUMPRODUCT(($E59:$AH59)*(AK$3=$E$3:$AH$3)*(AK$4=$E$4:$AH$4)*(AK$5=$E$5:$AH$5)*(AK$6=$E$6:$AH$6))</f>
        <v>44.222597259108639</v>
      </c>
      <c r="AL59" s="29" cm="1">
        <f t="array" aca="1" ref="AL59" ca="1">SUMPRODUCT(($E59:$AH59)*(AL$3=$E$3:$AH$3)*(AL$4=$E$4:$AH$4)*(AL$5=$E$5:$AH$5)*(AL$6=$E$6:$AH$6))</f>
        <v>120.58789172541732</v>
      </c>
      <c r="AM59" s="240" cm="1">
        <f t="array" aca="1" ref="AM59" ca="1">SUMPRODUCT(($E59:$AH59)*(AM$3=$E$3:$AH$3)*(AM$4=$E$4:$AH$4)*(AM$5=$E$5:$AH$5)*(AM$6=$E$6:$AH$6))</f>
        <v>70.268291045475664</v>
      </c>
      <c r="AN59" s="29" cm="1">
        <f t="array" aca="1" ref="AN59" ca="1">SUMPRODUCT(($E59:$AH59)*(AN$3=$E$3:$AH$3)*(AN$4=$E$4:$AH$4)*(AN$5=$E$5:$AH$5)*(AN$6=$E$6:$AH$6))</f>
        <v>149.83828687985567</v>
      </c>
      <c r="AO59" s="29" cm="1">
        <f t="array" aca="1" ref="AO59" ca="1">SUMPRODUCT(($E59:$AH59)*(AO$3=$E$3:$AH$3)*(AO$4=$E$4:$AH$4)*(AO$5=$E$5:$AH$5)*(AO$6=$E$6:$AH$6))</f>
        <v>68.030119780080383</v>
      </c>
      <c r="AP59" s="29" cm="1">
        <f t="array" aca="1" ref="AP59" ca="1">SUMPRODUCT(($E59:$AH59)*(AP$3=$E$3:$AH$3)*(AP$4=$E$4:$AH$4)*(AP$5=$E$5:$AH$5)*(AP$6=$E$6:$AH$6))</f>
        <v>151.88438929729915</v>
      </c>
      <c r="AQ59" s="29" cm="1">
        <f t="array" aca="1" ref="AQ59" ca="1">SUMPRODUCT(($E59:$AH59)*(AQ$3=$E$3:$AH$3)*(AQ$4=$E$4:$AH$4)*(AQ$5=$E$5:$AH$5)*(AQ$6=$E$6:$AH$6))</f>
        <v>87.633313207654723</v>
      </c>
      <c r="AR59" s="29" cm="1">
        <f t="array" aca="1" ref="AR59" ca="1">SUMPRODUCT(($E59:$AH59)*(AR$3=$E$3:$AH$3)*(AR$4=$E$4:$AH$4)*(AR$5=$E$5:$AH$5)*(AR$6=$E$6:$AH$6))</f>
        <v>169.7462792123475</v>
      </c>
      <c r="AS59" s="29" cm="1">
        <f t="array" aca="1" ref="AS59" ca="1">SUMPRODUCT(($E59:$AH59)*(AS$3=$E$3:$AH$3)*(AS$4=$E$4:$AH$4)*(AS$5=$E$5:$AH$5)*(AS$6=$E$6:$AH$6))</f>
        <v>73.807126678495507</v>
      </c>
      <c r="AU59" s="29" cm="1">
        <f t="array" aca="1" ref="AU59" ca="1">SUMPRODUCT(($E59:$AH59)*(AU$5=$E$5:$AH$5))</f>
        <v>158.00595474719904</v>
      </c>
      <c r="AV59" s="29" cm="1">
        <f t="array" aca="1" ref="AV59" ca="1">SUMPRODUCT(($E59:$AH59)*(AV$5=$E$5:$AH$5))</f>
        <v>408.72458943082898</v>
      </c>
      <c r="AW59" s="29" cm="1">
        <f t="array" aca="1" ref="AW59" ca="1">SUMPRODUCT(($E59:$AH59)*(AW$5=$E$5:$AH$5))</f>
        <v>483.07110839579695</v>
      </c>
    </row>
    <row r="60" spans="2:49" x14ac:dyDescent="0.25">
      <c r="B60" t="s">
        <v>231</v>
      </c>
      <c r="C60" s="2" t="s">
        <v>195</v>
      </c>
      <c r="D60" s="37">
        <v>2434.70914046394</v>
      </c>
      <c r="E60" s="31">
        <v>2319.8273818745402</v>
      </c>
      <c r="F60" s="31">
        <v>1848.5829287906502</v>
      </c>
      <c r="G60" s="31">
        <v>1879.090699649136</v>
      </c>
      <c r="H60" s="31">
        <v>2022.7807369570864</v>
      </c>
      <c r="I60" s="31">
        <v>2076.9790138423041</v>
      </c>
      <c r="J60" s="37">
        <v>2699.9129700260582</v>
      </c>
      <c r="K60" s="31">
        <v>2645.9877229947488</v>
      </c>
      <c r="L60" s="31">
        <v>2345.5154003806301</v>
      </c>
      <c r="M60" s="31">
        <v>2491.1125510031875</v>
      </c>
      <c r="N60" s="31">
        <v>3111.6599671922027</v>
      </c>
      <c r="O60" s="31">
        <v>3529.7159467625393</v>
      </c>
      <c r="P60" s="32">
        <v>3975.3129316642453</v>
      </c>
      <c r="Q60" s="15">
        <f t="shared" ref="Q60:AH60" si="70">Q57/30*Q62</f>
        <v>3769.2092298183461</v>
      </c>
      <c r="R60" s="15">
        <f t="shared" si="70"/>
        <v>3112.9883914277962</v>
      </c>
      <c r="S60" s="15">
        <f t="shared" si="70"/>
        <v>2993.9127752125532</v>
      </c>
      <c r="T60" s="15">
        <f t="shared" si="70"/>
        <v>3061.9716853190307</v>
      </c>
      <c r="U60" s="15">
        <f t="shared" si="70"/>
        <v>3177.2354250797066</v>
      </c>
      <c r="V60" s="15">
        <f t="shared" si="70"/>
        <v>4164.4012745889459</v>
      </c>
      <c r="W60" s="15">
        <f t="shared" si="70"/>
        <v>3598.9245970022694</v>
      </c>
      <c r="X60" s="15">
        <f t="shared" si="70"/>
        <v>3107.4585939230233</v>
      </c>
      <c r="Y60" s="15">
        <f t="shared" si="70"/>
        <v>3074.0607436857599</v>
      </c>
      <c r="Z60" s="15">
        <f t="shared" si="70"/>
        <v>4408.1283981859851</v>
      </c>
      <c r="AA60" s="15">
        <f t="shared" si="70"/>
        <v>4140.6449333144128</v>
      </c>
      <c r="AB60" s="15">
        <f t="shared" si="70"/>
        <v>4500.8254363204642</v>
      </c>
      <c r="AC60" s="15">
        <f t="shared" si="70"/>
        <v>4056.6757843830005</v>
      </c>
      <c r="AD60" s="15">
        <f t="shared" si="70"/>
        <v>3313.7262988796792</v>
      </c>
      <c r="AE60" s="15">
        <f t="shared" si="70"/>
        <v>3161.8021147215177</v>
      </c>
      <c r="AF60" s="15">
        <f t="shared" si="70"/>
        <v>3221.0599844269136</v>
      </c>
      <c r="AG60" s="15">
        <f t="shared" si="70"/>
        <v>3286.8762630916476</v>
      </c>
      <c r="AH60" s="15">
        <f t="shared" si="70"/>
        <v>4321.0330339594157</v>
      </c>
      <c r="AJ60" s="15" cm="1">
        <f t="array" aca="1" ref="AJ60" ca="1">INDEX($E60:$AH60,1,MATCH(AJ$3&amp;AJ$4&amp;AJ$5&amp;AJ$6,$E$3:$AH$3&amp;$E$4:$AH$4&amp;$E$5:$AH$5&amp;$E$6:$AH$6,1))</f>
        <v>1879.090699649136</v>
      </c>
      <c r="AK60" s="15" cm="1">
        <f t="array" aca="1" ref="AK60" ca="1">INDEX($E60:$AH60,1,MATCH(AK$3&amp;AK$4&amp;AK$5&amp;AK$6,$E$3:$AH$3&amp;$E$4:$AH$4&amp;$E$5:$AH$5&amp;$E$6:$AH$6,1))</f>
        <v>2699.9129700260582</v>
      </c>
      <c r="AL60" s="15" cm="1">
        <f t="array" aca="1" ref="AL60" ca="1">INDEX($E60:$AH60,1,MATCH(AL$3&amp;AL$4&amp;AL$5&amp;AL$6,$E$3:$AH$3&amp;$E$4:$AH$4&amp;$E$5:$AH$5&amp;$E$6:$AH$6,1))</f>
        <v>2491.1125510031875</v>
      </c>
      <c r="AM60" s="16" cm="1">
        <f t="array" aca="1" ref="AM60" ca="1">INDEX($E60:$AH60,1,MATCH(AM$3&amp;AM$4&amp;AM$5&amp;AM$6,$E$3:$AH$3&amp;$E$4:$AH$4&amp;$E$5:$AH$5&amp;$E$6:$AH$6,1))</f>
        <v>3975.3129316642453</v>
      </c>
      <c r="AN60" s="15" cm="1">
        <f t="array" aca="1" ref="AN60" ca="1">INDEX($E60:$AH60,1,MATCH(AN$3&amp;AN$4&amp;AN$5&amp;AN$6,$E$3:$AH$3&amp;$E$4:$AH$4&amp;$E$5:$AH$5&amp;$E$6:$AH$6,1))</f>
        <v>2993.9127752125532</v>
      </c>
      <c r="AO60" s="15" cm="1">
        <f t="array" aca="1" ref="AO60" ca="1">INDEX($E60:$AH60,1,MATCH(AO$3&amp;AO$4&amp;AO$5&amp;AO$6,$E$3:$AH$3&amp;$E$4:$AH$4&amp;$E$5:$AH$5&amp;$E$6:$AH$6,1))</f>
        <v>4164.4012745889459</v>
      </c>
      <c r="AP60" s="15" cm="1">
        <f t="array" aca="1" ref="AP60" ca="1">INDEX($E60:$AH60,1,MATCH(AP$3&amp;AP$4&amp;AP$5&amp;AP$6,$E$3:$AH$3&amp;$E$4:$AH$4&amp;$E$5:$AH$5&amp;$E$6:$AH$6,1))</f>
        <v>3074.0607436857599</v>
      </c>
      <c r="AQ60" s="15" cm="1">
        <f t="array" aca="1" ref="AQ60" ca="1">INDEX($E60:$AH60,1,MATCH(AQ$3&amp;AQ$4&amp;AQ$5&amp;AQ$6,$E$3:$AH$3&amp;$E$4:$AH$4&amp;$E$5:$AH$5&amp;$E$6:$AH$6,1))</f>
        <v>4500.8254363204642</v>
      </c>
      <c r="AR60" s="15" cm="1">
        <f t="array" aca="1" ref="AR60" ca="1">INDEX($E60:$AH60,1,MATCH(AR$3&amp;AR$4&amp;AR$5&amp;AR$6,$E$3:$AH$3&amp;$E$4:$AH$4&amp;$E$5:$AH$5&amp;$E$6:$AH$6,1))</f>
        <v>3161.8021147215177</v>
      </c>
      <c r="AS60" s="15" cm="1">
        <f t="array" aca="1" ref="AS60" ca="1">INDEX($E60:$AH60,1,MATCH(AS$3&amp;AS$4&amp;AS$5&amp;AS$6,$E$3:$AH$3&amp;$E$4:$AH$4&amp;$E$5:$AH$5&amp;$E$6:$AH$6,1))</f>
        <v>4321.0330339594157</v>
      </c>
      <c r="AU60" s="13">
        <f ca="1">INDEX($E60:$AH60,1,MATCH(AU$5,$E$5:$AH$5,1))</f>
        <v>2699.9129700260582</v>
      </c>
      <c r="AV60" s="13">
        <f t="shared" ref="AV60:AW60" ca="1" si="71">INDEX($E60:$AH60,1,MATCH(AV$5,$E$5:$AH$5,1))</f>
        <v>4164.4012745889459</v>
      </c>
      <c r="AW60" s="13">
        <f t="shared" ca="1" si="71"/>
        <v>4321.0330339594157</v>
      </c>
    </row>
    <row r="61" spans="2:49" x14ac:dyDescent="0.25">
      <c r="E61" s="13"/>
      <c r="P61" s="8"/>
      <c r="Q61" s="112"/>
      <c r="AM61" s="8"/>
    </row>
    <row r="62" spans="2:49" x14ac:dyDescent="0.25">
      <c r="C62" s="1" t="s">
        <v>200</v>
      </c>
      <c r="E62" s="116">
        <f>E60/(E57/E46)</f>
        <v>75</v>
      </c>
      <c r="F62" s="116">
        <f t="shared" ref="F62:P62" si="72">F60/(F57/F46)</f>
        <v>75.416666666666671</v>
      </c>
      <c r="G62" s="116">
        <f t="shared" si="72"/>
        <v>78.833333333333343</v>
      </c>
      <c r="H62" s="116">
        <f t="shared" si="72"/>
        <v>82.250000000000014</v>
      </c>
      <c r="I62" s="116">
        <f t="shared" si="72"/>
        <v>85.6666666666667</v>
      </c>
      <c r="J62" s="116">
        <f t="shared" si="72"/>
        <v>80</v>
      </c>
      <c r="K62" s="116">
        <f t="shared" si="72"/>
        <v>92.500000000000028</v>
      </c>
      <c r="L62" s="116">
        <f t="shared" si="72"/>
        <v>95.9166666666667</v>
      </c>
      <c r="M62" s="116">
        <f t="shared" si="72"/>
        <v>99.333333333333371</v>
      </c>
      <c r="N62" s="116">
        <f t="shared" si="72"/>
        <v>92</v>
      </c>
      <c r="O62" s="116">
        <f t="shared" si="72"/>
        <v>106.16666666666671</v>
      </c>
      <c r="P62" s="118">
        <f t="shared" si="72"/>
        <v>113</v>
      </c>
      <c r="Q62" s="119">
        <f>AVERAGE(K62:P62)</f>
        <v>99.819444444444471</v>
      </c>
      <c r="R62" s="119">
        <f t="shared" ref="R62:AH62" si="73">AVERAGE(L62:Q62)</f>
        <v>101.03935185185186</v>
      </c>
      <c r="S62" s="119">
        <f t="shared" si="73"/>
        <v>101.89313271604941</v>
      </c>
      <c r="T62" s="119">
        <f t="shared" si="73"/>
        <v>102.31976594650207</v>
      </c>
      <c r="U62" s="119">
        <f t="shared" si="73"/>
        <v>104.03972693758577</v>
      </c>
      <c r="V62" s="119">
        <f t="shared" si="73"/>
        <v>103.68523698273894</v>
      </c>
      <c r="W62" s="119">
        <f t="shared" si="73"/>
        <v>102.13277647986207</v>
      </c>
      <c r="X62" s="119">
        <f t="shared" si="73"/>
        <v>102.51833181909835</v>
      </c>
      <c r="Y62" s="119">
        <f t="shared" si="73"/>
        <v>102.76482848030611</v>
      </c>
      <c r="Z62" s="119">
        <f t="shared" si="73"/>
        <v>102.91011110768223</v>
      </c>
      <c r="AA62" s="119">
        <f t="shared" si="73"/>
        <v>103.00850196787893</v>
      </c>
      <c r="AB62" s="119">
        <f t="shared" si="73"/>
        <v>102.83663113959445</v>
      </c>
      <c r="AC62" s="119">
        <f t="shared" si="73"/>
        <v>102.69519683240368</v>
      </c>
      <c r="AD62" s="119">
        <f t="shared" si="73"/>
        <v>102.78893355782729</v>
      </c>
      <c r="AE62" s="119">
        <f t="shared" si="73"/>
        <v>102.83403384761544</v>
      </c>
      <c r="AF62" s="119">
        <f t="shared" si="73"/>
        <v>102.84556807550034</v>
      </c>
      <c r="AG62" s="119">
        <f t="shared" si="73"/>
        <v>102.83481090347</v>
      </c>
      <c r="AH62" s="119">
        <f t="shared" si="73"/>
        <v>102.80586239273521</v>
      </c>
      <c r="AJ62" s="116">
        <f t="shared" ref="AJ62:AW62" ca="1" si="74">AJ60/(AJ57/AJ46)</f>
        <v>71.106863602220727</v>
      </c>
      <c r="AK62" s="116">
        <f t="shared" ca="1" si="74"/>
        <v>98.075368553664319</v>
      </c>
      <c r="AL62" s="116">
        <f t="shared" ca="1" si="74"/>
        <v>95.64370520231391</v>
      </c>
      <c r="AM62" s="118">
        <f t="shared" ca="1" si="74"/>
        <v>116.63614380178214</v>
      </c>
      <c r="AN62" s="116">
        <f t="shared" ca="1" si="74"/>
        <v>91.694549785690427</v>
      </c>
      <c r="AO62" s="116">
        <f t="shared" ca="1" si="74"/>
        <v>124.15227658774582</v>
      </c>
      <c r="AP62" s="116">
        <f t="shared" ca="1" si="74"/>
        <v>96.605285456487792</v>
      </c>
      <c r="AQ62" s="116">
        <f t="shared" ca="1" si="74"/>
        <v>106.48756804590637</v>
      </c>
      <c r="AR62" s="116">
        <f t="shared" ca="1" si="74"/>
        <v>92.552368172191422</v>
      </c>
      <c r="AS62" s="116">
        <f t="shared" ca="1" si="74"/>
        <v>123.09108202133754</v>
      </c>
      <c r="AU62" s="116">
        <f t="shared" ca="1" si="74"/>
        <v>100.07970909500719</v>
      </c>
      <c r="AV62" s="116">
        <f t="shared" ca="1" si="74"/>
        <v>131.86579804026238</v>
      </c>
      <c r="AW62" s="116">
        <f t="shared" ca="1" si="74"/>
        <v>120.56983782643761</v>
      </c>
    </row>
    <row r="63" spans="2:49" x14ac:dyDescent="0.25">
      <c r="P63" s="8"/>
      <c r="AM63" s="8"/>
    </row>
    <row r="64" spans="2:49" x14ac:dyDescent="0.25">
      <c r="C64" s="30" t="s">
        <v>440</v>
      </c>
      <c r="D64" s="30"/>
      <c r="E64" s="45" t="str">
        <f t="shared" ref="E64:AH64" si="75">E$9</f>
        <v>Jul-20A</v>
      </c>
      <c r="F64" s="45" t="str">
        <f t="shared" si="75"/>
        <v>Aug-20A</v>
      </c>
      <c r="G64" s="45" t="str">
        <f t="shared" si="75"/>
        <v>Sep-20A</v>
      </c>
      <c r="H64" s="45" t="str">
        <f t="shared" si="75"/>
        <v>Oct-20A</v>
      </c>
      <c r="I64" s="45" t="str">
        <f t="shared" si="75"/>
        <v>Nov-20A</v>
      </c>
      <c r="J64" s="45" t="str">
        <f t="shared" si="75"/>
        <v>Dec-20A</v>
      </c>
      <c r="K64" s="45" t="str">
        <f t="shared" si="75"/>
        <v>Jan-21A</v>
      </c>
      <c r="L64" s="45" t="str">
        <f t="shared" si="75"/>
        <v>Feb-21A</v>
      </c>
      <c r="M64" s="45" t="str">
        <f t="shared" si="75"/>
        <v>Mar-21A</v>
      </c>
      <c r="N64" s="45" t="str">
        <f t="shared" si="75"/>
        <v>Apr-21A</v>
      </c>
      <c r="O64" s="45" t="str">
        <f t="shared" si="75"/>
        <v>May-21A</v>
      </c>
      <c r="P64" s="46" t="str">
        <f t="shared" si="75"/>
        <v>Jun-21A</v>
      </c>
      <c r="Q64" s="45" t="str">
        <f t="shared" si="75"/>
        <v>Jul-21F</v>
      </c>
      <c r="R64" s="45" t="str">
        <f t="shared" si="75"/>
        <v>Aug-21F</v>
      </c>
      <c r="S64" s="45" t="str">
        <f t="shared" si="75"/>
        <v>Sep-21F</v>
      </c>
      <c r="T64" s="45" t="str">
        <f t="shared" si="75"/>
        <v>Oct-21F</v>
      </c>
      <c r="U64" s="45" t="str">
        <f t="shared" si="75"/>
        <v>Nov-21F</v>
      </c>
      <c r="V64" s="45" t="str">
        <f t="shared" si="75"/>
        <v>Dec-21F</v>
      </c>
      <c r="W64" s="45" t="str">
        <f t="shared" si="75"/>
        <v>Jan-22F</v>
      </c>
      <c r="X64" s="45" t="str">
        <f t="shared" si="75"/>
        <v>Feb-22F</v>
      </c>
      <c r="Y64" s="45" t="str">
        <f t="shared" si="75"/>
        <v>Mar-22F</v>
      </c>
      <c r="Z64" s="45" t="str">
        <f t="shared" si="75"/>
        <v>Apr-22F</v>
      </c>
      <c r="AA64" s="45" t="str">
        <f t="shared" si="75"/>
        <v>May-22F</v>
      </c>
      <c r="AB64" s="45" t="str">
        <f t="shared" si="75"/>
        <v>Jun-22F</v>
      </c>
      <c r="AC64" s="45" t="str">
        <f t="shared" si="75"/>
        <v>Jul-22F</v>
      </c>
      <c r="AD64" s="45" t="str">
        <f t="shared" si="75"/>
        <v>Aug-22F</v>
      </c>
      <c r="AE64" s="45" t="str">
        <f t="shared" si="75"/>
        <v>Sep-22F</v>
      </c>
      <c r="AF64" s="45" t="str">
        <f t="shared" si="75"/>
        <v>Oct-22F</v>
      </c>
      <c r="AG64" s="45" t="str">
        <f t="shared" si="75"/>
        <v>Nov-22F</v>
      </c>
      <c r="AH64" s="45" t="str">
        <f t="shared" si="75"/>
        <v>Dec-22F</v>
      </c>
      <c r="AJ64" s="45" t="str">
        <f ca="1">AJ$10</f>
        <v>Q3'20A</v>
      </c>
      <c r="AK64" s="45" t="str">
        <f t="shared" ref="AK64:AW64" ca="1" si="76">AK$10</f>
        <v>Q4'20A</v>
      </c>
      <c r="AL64" s="45" t="str">
        <f t="shared" ca="1" si="76"/>
        <v>Q1'21A</v>
      </c>
      <c r="AM64" s="46" t="str">
        <f t="shared" ca="1" si="76"/>
        <v>Q2'21A</v>
      </c>
      <c r="AN64" s="45" t="str">
        <f t="shared" ca="1" si="76"/>
        <v>Q3'21F</v>
      </c>
      <c r="AO64" s="45" t="str">
        <f t="shared" ca="1" si="76"/>
        <v>Q4'21F</v>
      </c>
      <c r="AP64" s="45" t="str">
        <f t="shared" ca="1" si="76"/>
        <v>Q1'22F</v>
      </c>
      <c r="AQ64" s="45" t="str">
        <f t="shared" ca="1" si="76"/>
        <v>Q2'22F</v>
      </c>
      <c r="AR64" s="45" t="str">
        <f t="shared" ca="1" si="76"/>
        <v>Q3'22F</v>
      </c>
      <c r="AS64" s="45" t="str">
        <f t="shared" ca="1" si="76"/>
        <v>Q4'22F</v>
      </c>
      <c r="AU64" s="45" t="str">
        <f t="shared" ca="1" si="76"/>
        <v>FY20</v>
      </c>
      <c r="AV64" s="45" t="str">
        <f t="shared" ca="1" si="76"/>
        <v>FY21</v>
      </c>
      <c r="AW64" s="45" t="str">
        <f t="shared" ca="1" si="76"/>
        <v>FY22</v>
      </c>
    </row>
    <row r="65" spans="2:49" x14ac:dyDescent="0.25">
      <c r="C65" s="1" t="s">
        <v>194</v>
      </c>
      <c r="D65" s="1"/>
      <c r="E65" s="61">
        <f>D68</f>
        <v>100</v>
      </c>
      <c r="F65" s="61">
        <f t="shared" ref="F65" si="77">E68</f>
        <v>97.38636152301784</v>
      </c>
      <c r="G65" s="61">
        <f t="shared" ref="G65" si="78">F68</f>
        <v>76.968376993737479</v>
      </c>
      <c r="H65" s="61">
        <f t="shared" ref="H65" si="79">G68</f>
        <v>71.637285709415394</v>
      </c>
      <c r="I65" s="61">
        <f t="shared" ref="I65" si="80">H68</f>
        <v>80.695469362292769</v>
      </c>
      <c r="J65" s="61">
        <f t="shared" ref="J65" si="81">I68</f>
        <v>87.175151926998325</v>
      </c>
      <c r="K65" s="61">
        <f t="shared" ref="K65" si="82">J68</f>
        <v>107.73816309169592</v>
      </c>
      <c r="L65" s="61">
        <f t="shared" ref="L65" si="83">K68</f>
        <v>104.69639545661283</v>
      </c>
      <c r="M65" s="61">
        <f t="shared" ref="M65" si="84">L68</f>
        <v>93.695306721814362</v>
      </c>
      <c r="N65" s="61">
        <f t="shared" ref="N65" si="85">M68</f>
        <v>97.164361419112552</v>
      </c>
      <c r="O65" s="61">
        <f t="shared" ref="O65" si="86">N68</f>
        <v>122.30985192696619</v>
      </c>
      <c r="P65" s="17">
        <f t="shared" ref="P65" si="87">O68</f>
        <v>143.87635332876184</v>
      </c>
      <c r="Q65" s="15">
        <f t="shared" ref="Q65" si="88">P68</f>
        <v>157.22269680238202</v>
      </c>
      <c r="R65" s="15">
        <f t="shared" ref="R65" si="89">Q68</f>
        <v>149.59811021227728</v>
      </c>
      <c r="S65" s="15">
        <f t="shared" ref="S65" si="90">R68</f>
        <v>123.55301923443479</v>
      </c>
      <c r="T65" s="15">
        <f t="shared" ref="T65" si="91">S68</f>
        <v>118.8269650219916</v>
      </c>
      <c r="U65" s="15">
        <f t="shared" ref="U65" si="92">T68</f>
        <v>121.52819058795122</v>
      </c>
      <c r="V65" s="15">
        <f t="shared" ref="V65" si="93">U68</f>
        <v>126.10295324845437</v>
      </c>
      <c r="W65" s="104">
        <f t="shared" ref="W65" si="94">V68</f>
        <v>165.28309331189064</v>
      </c>
      <c r="X65" s="15">
        <f t="shared" ref="X65" si="95">W68</f>
        <v>142.83959464196909</v>
      </c>
      <c r="Y65" s="15">
        <f t="shared" ref="Y65" si="96">X68</f>
        <v>123.33354421828916</v>
      </c>
      <c r="Z65" s="15">
        <f t="shared" ref="Z65" si="97">Y68</f>
        <v>122.00799952813992</v>
      </c>
      <c r="AA65" s="15">
        <f t="shared" ref="AA65" si="98">Z68</f>
        <v>174.95650618829612</v>
      </c>
      <c r="AB65" s="15">
        <f t="shared" ref="AB65" si="99">AA68</f>
        <v>164.34021549759657</v>
      </c>
      <c r="AC65" s="15">
        <f t="shared" ref="AC65" si="100">AB68</f>
        <v>178.63560726273073</v>
      </c>
      <c r="AD65" s="15">
        <f t="shared" ref="AD65" si="101">AC68</f>
        <v>161.00752016805714</v>
      </c>
      <c r="AE65" s="15">
        <f t="shared" ref="AE65" si="102">AD68</f>
        <v>131.52021069868152</v>
      </c>
      <c r="AF65" s="15">
        <f t="shared" ref="AF65" si="103">AE68</f>
        <v>125.4904125474395</v>
      </c>
      <c r="AG65" s="15">
        <f t="shared" ref="AG65" si="104">AF68</f>
        <v>127.84232903246834</v>
      </c>
      <c r="AH65" s="15">
        <f t="shared" ref="AH65" si="105">AG68</f>
        <v>130.45454562993311</v>
      </c>
      <c r="AJ65" s="15">
        <f ca="1">AJ68+AJ67-AJ66</f>
        <v>99.999999999999986</v>
      </c>
      <c r="AK65" s="15">
        <f t="shared" ref="AK65" ca="1" si="106">AK68+AK67-AK66</f>
        <v>71.63728570941538</v>
      </c>
      <c r="AL65" s="15">
        <f t="shared" ref="AL65" ca="1" si="107">AL68+AL67-AL66</f>
        <v>107.73816309169591</v>
      </c>
      <c r="AM65" s="16">
        <f t="shared" ref="AM65" ca="1" si="108">AM68+AM67-AM66</f>
        <v>97.164361419112566</v>
      </c>
      <c r="AN65" s="15">
        <f t="shared" ref="AN65" ca="1" si="109">AN68+AN67-AN66</f>
        <v>157.22269680238205</v>
      </c>
      <c r="AO65" s="15">
        <f t="shared" ref="AO65" ca="1" si="110">AO68+AO67-AO66</f>
        <v>118.82696502199158</v>
      </c>
      <c r="AP65" s="15">
        <f t="shared" ref="AP65" ca="1" si="111">AP68+AP67-AP66</f>
        <v>165.28309331189064</v>
      </c>
      <c r="AQ65" s="15">
        <f t="shared" ref="AQ65" ca="1" si="112">AQ68+AQ67-AQ66</f>
        <v>122.00799952813992</v>
      </c>
      <c r="AR65" s="15">
        <f t="shared" ref="AR65" ca="1" si="113">AR68+AR67-AR66</f>
        <v>178.6356072627307</v>
      </c>
      <c r="AS65" s="15">
        <f t="shared" ref="AS65" ca="1" si="114">AS68+AS67-AS66</f>
        <v>125.49041254743952</v>
      </c>
      <c r="AT65" s="15">
        <f t="shared" ref="AT65" si="115">AT68+AT67-AT66</f>
        <v>0</v>
      </c>
      <c r="AU65" s="15">
        <f t="shared" ref="AU65" ca="1" si="116">AU68+AU67-AU66</f>
        <v>100</v>
      </c>
      <c r="AV65" s="15">
        <f t="shared" ref="AV65" ca="1" si="117">AV68+AV67-AV66</f>
        <v>107.73816309169592</v>
      </c>
      <c r="AW65" s="15">
        <f t="shared" ref="AW65" ca="1" si="118">AW68+AW67-AW66</f>
        <v>165.28309331189064</v>
      </c>
    </row>
    <row r="66" spans="2:49" x14ac:dyDescent="0.25">
      <c r="C66" s="108" t="s">
        <v>441</v>
      </c>
      <c r="D66" s="1"/>
      <c r="E66" s="56">
        <f>Expense!E79</f>
        <v>31.8</v>
      </c>
      <c r="F66" s="56">
        <f>Expense!F79</f>
        <v>28.504394752237022</v>
      </c>
      <c r="G66" s="56">
        <f>Expense!G79</f>
        <v>25.116248445268788</v>
      </c>
      <c r="H66" s="56">
        <f>Expense!H79</f>
        <v>25.127313461443482</v>
      </c>
      <c r="I66" s="56">
        <f>Expense!I79</f>
        <v>27.87441501045754</v>
      </c>
      <c r="J66" s="56">
        <f>Expense!J79</f>
        <v>27.321746169488151</v>
      </c>
      <c r="K66" s="56">
        <f>Expense!K79</f>
        <v>42.781158299895225</v>
      </c>
      <c r="L66" s="56">
        <f>Expense!L79</f>
        <v>34.409079436440827</v>
      </c>
      <c r="M66" s="56">
        <f>Expense!M79</f>
        <v>32.823852316497906</v>
      </c>
      <c r="N66" s="56">
        <f>Expense!N79</f>
        <v>34.43181523862463</v>
      </c>
      <c r="O66" s="56">
        <f>Expense!O79</f>
        <v>48.839972000950802</v>
      </c>
      <c r="P66" s="34">
        <f>Expense!P79</f>
        <v>47.054839189169698</v>
      </c>
      <c r="Q66" s="33">
        <f>Expense!Q79</f>
        <v>42.960495583344006</v>
      </c>
      <c r="R66" s="33">
        <f>Expense!R79</f>
        <v>35.052672456611383</v>
      </c>
      <c r="S66" s="33">
        <f>Expense!S79</f>
        <v>33.42938705950985</v>
      </c>
      <c r="T66" s="33">
        <f>Expense!T79</f>
        <v>34.046762206382198</v>
      </c>
      <c r="U66" s="33">
        <f>Expense!U79</f>
        <v>34.74436490745569</v>
      </c>
      <c r="V66" s="33">
        <f>Expense!V79</f>
        <v>45.695120956141544</v>
      </c>
      <c r="W66" s="33">
        <f>Expense!W79</f>
        <v>40.090529695837084</v>
      </c>
      <c r="X66" s="33">
        <f>Expense!X79</f>
        <v>34.485617345047153</v>
      </c>
      <c r="Y66" s="33">
        <f>Expense!Y79</f>
        <v>34.033148472664195</v>
      </c>
      <c r="Z66" s="33">
        <f>Expense!Z79</f>
        <v>48.733810928898414</v>
      </c>
      <c r="AA66" s="33">
        <f>Expense!AA79</f>
        <v>45.732938212349083</v>
      </c>
      <c r="AB66" s="33">
        <f>Expense!AB79</f>
        <v>49.794171800998036</v>
      </c>
      <c r="AC66" s="33">
        <f>Expense!AC79</f>
        <v>44.942202592636676</v>
      </c>
      <c r="AD66" s="33">
        <f>Expense!AD79</f>
        <v>36.677899772764519</v>
      </c>
      <c r="AE66" s="33">
        <f>Expense!AE79</f>
        <v>34.980982131655104</v>
      </c>
      <c r="AF66" s="33">
        <f>Expense!AF79</f>
        <v>35.632592100963713</v>
      </c>
      <c r="AG66" s="33">
        <f>Expense!AG79</f>
        <v>36.364480394765053</v>
      </c>
      <c r="AH66" s="33">
        <f>Expense!AH79</f>
        <v>47.819374505371492</v>
      </c>
      <c r="AJ66" s="15" cm="1">
        <f t="array" aca="1" ref="AJ66" ca="1">SUMPRODUCT(($E66:$AH66)*(AJ$3&amp;AJ$4&amp;AJ$5&amp;AJ$6=$E$3:$AH$3&amp;$E$4:$AH$4&amp;$E$5:$AH$5&amp;$E$6:$AH$6))</f>
        <v>85.420643197505811</v>
      </c>
      <c r="AK66" s="15" cm="1">
        <f t="array" aca="1" ref="AK66" ca="1">SUMPRODUCT(($E66:$AH66)*(AK$3=$E$3:$AH$3)*(AK$4=$E$4:$AH$4)*(AK$5=$E$5:$AH$5)*(AK$6=$E$6:$AH$6))</f>
        <v>80.323474641389168</v>
      </c>
      <c r="AL66" s="15" cm="1">
        <f t="array" aca="1" ref="AL66" ca="1">SUMPRODUCT(($E66:$AH66)*(AL$3=$E$3:$AH$3)*(AL$4=$E$4:$AH$4)*(AL$5=$E$5:$AH$5)*(AL$6=$E$6:$AH$6))</f>
        <v>110.01409005283396</v>
      </c>
      <c r="AM66" s="16" cm="1">
        <f t="array" aca="1" ref="AM66" ca="1">SUMPRODUCT(($E66:$AH66)*(AM$3=$E$3:$AH$3)*(AM$4=$E$4:$AH$4)*(AM$5=$E$5:$AH$5)*(AM$6=$E$6:$AH$6))</f>
        <v>130.32662642874513</v>
      </c>
      <c r="AN66" s="15" cm="1">
        <f t="array" aca="1" ref="AN66" ca="1">SUMPRODUCT(($E66:$AH66)*(AN$3=$E$3:$AH$3)*(AN$4=$E$4:$AH$4)*(AN$5=$E$5:$AH$5)*(AN$6=$E$6:$AH$6))</f>
        <v>111.44255509946524</v>
      </c>
      <c r="AO66" s="15" cm="1">
        <f t="array" aca="1" ref="AO66" ca="1">SUMPRODUCT(($E66:$AH66)*(AO$3=$E$3:$AH$3)*(AO$4=$E$4:$AH$4)*(AO$5=$E$5:$AH$5)*(AO$6=$E$6:$AH$6))</f>
        <v>114.48624806997944</v>
      </c>
      <c r="AP66" s="15" cm="1">
        <f t="array" aca="1" ref="AP66" ca="1">SUMPRODUCT(($E66:$AH66)*(AP$3=$E$3:$AH$3)*(AP$4=$E$4:$AH$4)*(AP$5=$E$5:$AH$5)*(AP$6=$E$6:$AH$6))</f>
        <v>108.60929551354843</v>
      </c>
      <c r="AQ66" s="15" cm="1">
        <f t="array" aca="1" ref="AQ66" ca="1">SUMPRODUCT(($E66:$AH66)*(AQ$3=$E$3:$AH$3)*(AQ$4=$E$4:$AH$4)*(AQ$5=$E$5:$AH$5)*(AQ$6=$E$6:$AH$6))</f>
        <v>144.26092094224555</v>
      </c>
      <c r="AR66" s="15" cm="1">
        <f t="array" aca="1" ref="AR66" ca="1">SUMPRODUCT(($E66:$AH66)*(AR$3=$E$3:$AH$3)*(AR$4=$E$4:$AH$4)*(AR$5=$E$5:$AH$5)*(AR$6=$E$6:$AH$6))</f>
        <v>116.60108449705629</v>
      </c>
      <c r="AS66" s="15" cm="1">
        <f t="array" aca="1" ref="AS66" ca="1">SUMPRODUCT(($E66:$AH66)*(AS$3=$E$3:$AH$3)*(AS$4=$E$4:$AH$4)*(AS$5=$E$5:$AH$5)*(AS$6=$E$6:$AH$6))</f>
        <v>119.81644700110024</v>
      </c>
      <c r="AU66" s="15" cm="1">
        <f t="array" aca="1" ref="AU66" ca="1">SUMPRODUCT(($E66:$AH66)*(AU$5=$E$5:$AH$5))</f>
        <v>165.74411783889497</v>
      </c>
      <c r="AV66" s="15" cm="1">
        <f t="array" aca="1" ref="AV66" ca="1">SUMPRODUCT(($E66:$AH66)*(AV$5=$E$5:$AH$5))</f>
        <v>466.26951965102376</v>
      </c>
      <c r="AW66" s="15" cm="1">
        <f t="array" aca="1" ref="AW66" ca="1">SUMPRODUCT(($E66:$AH66)*(AW$5=$E$5:$AH$5))</f>
        <v>489.28774795395054</v>
      </c>
    </row>
    <row r="67" spans="2:49" x14ac:dyDescent="0.25">
      <c r="C67" s="109" t="s">
        <v>199</v>
      </c>
      <c r="D67" s="23"/>
      <c r="E67" s="24">
        <f>E66-(E68-E65)</f>
        <v>34.413638476982157</v>
      </c>
      <c r="F67" s="24">
        <f t="shared" ref="F67:AH67" si="119">F66-(F68-F65)</f>
        <v>48.922379281517379</v>
      </c>
      <c r="G67" s="24">
        <f t="shared" si="119"/>
        <v>30.447339729590873</v>
      </c>
      <c r="H67" s="24">
        <f t="shared" si="119"/>
        <v>16.069129808566107</v>
      </c>
      <c r="I67" s="24">
        <f t="shared" si="119"/>
        <v>21.394732445751984</v>
      </c>
      <c r="J67" s="24">
        <f t="shared" si="119"/>
        <v>6.7587350047905517</v>
      </c>
      <c r="K67" s="24">
        <f t="shared" si="119"/>
        <v>45.822925934978315</v>
      </c>
      <c r="L67" s="24">
        <f t="shared" si="119"/>
        <v>45.410168171239299</v>
      </c>
      <c r="M67" s="24">
        <f t="shared" si="119"/>
        <v>29.354797619199715</v>
      </c>
      <c r="N67" s="24">
        <f t="shared" si="119"/>
        <v>9.2863247307709926</v>
      </c>
      <c r="O67" s="24">
        <f t="shared" si="119"/>
        <v>27.273470599155154</v>
      </c>
      <c r="P67" s="64">
        <f t="shared" si="119"/>
        <v>33.708495715549518</v>
      </c>
      <c r="Q67" s="24">
        <f t="shared" si="119"/>
        <v>50.585082173448747</v>
      </c>
      <c r="R67" s="24">
        <f t="shared" si="119"/>
        <v>61.097763434453874</v>
      </c>
      <c r="S67" s="24">
        <f t="shared" si="119"/>
        <v>38.155441271953038</v>
      </c>
      <c r="T67" s="24">
        <f t="shared" si="119"/>
        <v>31.34553664042258</v>
      </c>
      <c r="U67" s="24">
        <f t="shared" si="119"/>
        <v>30.169602246952536</v>
      </c>
      <c r="V67" s="24">
        <f t="shared" si="119"/>
        <v>6.5149808927052746</v>
      </c>
      <c r="W67" s="24">
        <f t="shared" si="119"/>
        <v>62.534028365758637</v>
      </c>
      <c r="X67" s="24">
        <f t="shared" si="119"/>
        <v>53.991667768727076</v>
      </c>
      <c r="Y67" s="24">
        <f t="shared" si="119"/>
        <v>35.358693162813438</v>
      </c>
      <c r="Z67" s="24">
        <f t="shared" si="119"/>
        <v>-4.214695731257784</v>
      </c>
      <c r="AA67" s="24">
        <f t="shared" si="119"/>
        <v>56.349228903048626</v>
      </c>
      <c r="AB67" s="24">
        <f t="shared" si="119"/>
        <v>35.498780035863881</v>
      </c>
      <c r="AC67" s="24">
        <f t="shared" si="119"/>
        <v>62.570289687310265</v>
      </c>
      <c r="AD67" s="24">
        <f t="shared" si="119"/>
        <v>66.165209242140136</v>
      </c>
      <c r="AE67" s="24">
        <f t="shared" si="119"/>
        <v>41.010780282897123</v>
      </c>
      <c r="AF67" s="24">
        <f t="shared" si="119"/>
        <v>33.280675615934875</v>
      </c>
      <c r="AG67" s="24">
        <f t="shared" si="119"/>
        <v>33.752263797300287</v>
      </c>
      <c r="AH67" s="24">
        <f t="shared" si="119"/>
        <v>6.7741872652603448</v>
      </c>
      <c r="AJ67" s="29" cm="1">
        <f t="array" aca="1" ref="AJ67" ca="1">SUMPRODUCT(($E67:$AH67)*(AJ$3&amp;AJ$4&amp;AJ$5&amp;AJ$6=$E$3:$AH$3&amp;$E$4:$AH$4&amp;$E$5:$AH$5&amp;$E$6:$AH$6))</f>
        <v>113.78335748809042</v>
      </c>
      <c r="AK67" s="29" cm="1">
        <f t="array" aca="1" ref="AK67" ca="1">SUMPRODUCT(($E67:$AH67)*(AK$3=$E$3:$AH$3)*(AK$4=$E$4:$AH$4)*(AK$5=$E$5:$AH$5)*(AK$6=$E$6:$AH$6))</f>
        <v>44.222597259108639</v>
      </c>
      <c r="AL67" s="29" cm="1">
        <f t="array" aca="1" ref="AL67" ca="1">SUMPRODUCT(($E67:$AH67)*(AL$3=$E$3:$AH$3)*(AL$4=$E$4:$AH$4)*(AL$5=$E$5:$AH$5)*(AL$6=$E$6:$AH$6))</f>
        <v>120.58789172541732</v>
      </c>
      <c r="AM67" s="240" cm="1">
        <f t="array" aca="1" ref="AM67" ca="1">SUMPRODUCT(($E67:$AH67)*(AM$3=$E$3:$AH$3)*(AM$4=$E$4:$AH$4)*(AM$5=$E$5:$AH$5)*(AM$6=$E$6:$AH$6))</f>
        <v>70.268291045475664</v>
      </c>
      <c r="AN67" s="29" cm="1">
        <f t="array" aca="1" ref="AN67" ca="1">SUMPRODUCT(($E67:$AH67)*(AN$3=$E$3:$AH$3)*(AN$4=$E$4:$AH$4)*(AN$5=$E$5:$AH$5)*(AN$6=$E$6:$AH$6))</f>
        <v>149.83828687985567</v>
      </c>
      <c r="AO67" s="29" cm="1">
        <f t="array" aca="1" ref="AO67" ca="1">SUMPRODUCT(($E67:$AH67)*(AO$3=$E$3:$AH$3)*(AO$4=$E$4:$AH$4)*(AO$5=$E$5:$AH$5)*(AO$6=$E$6:$AH$6))</f>
        <v>68.030119780080383</v>
      </c>
      <c r="AP67" s="29" cm="1">
        <f t="array" aca="1" ref="AP67" ca="1">SUMPRODUCT(($E67:$AH67)*(AP$3=$E$3:$AH$3)*(AP$4=$E$4:$AH$4)*(AP$5=$E$5:$AH$5)*(AP$6=$E$6:$AH$6))</f>
        <v>151.88438929729915</v>
      </c>
      <c r="AQ67" s="29" cm="1">
        <f t="array" aca="1" ref="AQ67" ca="1">SUMPRODUCT(($E67:$AH67)*(AQ$3=$E$3:$AH$3)*(AQ$4=$E$4:$AH$4)*(AQ$5=$E$5:$AH$5)*(AQ$6=$E$6:$AH$6))</f>
        <v>87.633313207654723</v>
      </c>
      <c r="AR67" s="29" cm="1">
        <f t="array" aca="1" ref="AR67" ca="1">SUMPRODUCT(($E67:$AH67)*(AR$3=$E$3:$AH$3)*(AR$4=$E$4:$AH$4)*(AR$5=$E$5:$AH$5)*(AR$6=$E$6:$AH$6))</f>
        <v>169.7462792123475</v>
      </c>
      <c r="AS67" s="29" cm="1">
        <f t="array" aca="1" ref="AS67" ca="1">SUMPRODUCT(($E67:$AH67)*(AS$3=$E$3:$AH$3)*(AS$4=$E$4:$AH$4)*(AS$5=$E$5:$AH$5)*(AS$6=$E$6:$AH$6))</f>
        <v>73.807126678495507</v>
      </c>
      <c r="AU67" s="29" cm="1">
        <f t="array" aca="1" ref="AU67" ca="1">SUMPRODUCT(($E67:$AH67)*(AU$5=$E$5:$AH$5))</f>
        <v>158.00595474719904</v>
      </c>
      <c r="AV67" s="29" cm="1">
        <f t="array" aca="1" ref="AV67" ca="1">SUMPRODUCT(($E67:$AH67)*(AV$5=$E$5:$AH$5))</f>
        <v>408.72458943082898</v>
      </c>
      <c r="AW67" s="29" cm="1">
        <f t="array" aca="1" ref="AW67" ca="1">SUMPRODUCT(($E67:$AH67)*(AW$5=$E$5:$AH$5))</f>
        <v>483.07110839579695</v>
      </c>
    </row>
    <row r="68" spans="2:49" x14ac:dyDescent="0.25">
      <c r="B68" t="s">
        <v>231</v>
      </c>
      <c r="C68" s="2" t="s">
        <v>195</v>
      </c>
      <c r="D68" s="37">
        <v>100</v>
      </c>
      <c r="E68" s="31">
        <v>97.38636152301784</v>
      </c>
      <c r="F68" s="31">
        <v>76.968376993737479</v>
      </c>
      <c r="G68" s="31">
        <v>71.637285709415394</v>
      </c>
      <c r="H68" s="31">
        <v>80.695469362292769</v>
      </c>
      <c r="I68" s="31">
        <v>87.175151926998325</v>
      </c>
      <c r="J68" s="37">
        <v>107.73816309169592</v>
      </c>
      <c r="K68" s="31">
        <v>104.69639545661283</v>
      </c>
      <c r="L68" s="31">
        <v>93.695306721814362</v>
      </c>
      <c r="M68" s="31">
        <v>97.164361419112552</v>
      </c>
      <c r="N68" s="31">
        <v>122.30985192696619</v>
      </c>
      <c r="O68" s="31">
        <v>143.87635332876184</v>
      </c>
      <c r="P68" s="32">
        <v>157.22269680238202</v>
      </c>
      <c r="Q68" s="15">
        <f t="shared" ref="Q68:AH68" si="120">Q60*Q70</f>
        <v>149.59811021227728</v>
      </c>
      <c r="R68" s="15">
        <f t="shared" si="120"/>
        <v>123.55301923443479</v>
      </c>
      <c r="S68" s="15">
        <f t="shared" si="120"/>
        <v>118.8269650219916</v>
      </c>
      <c r="T68" s="15">
        <f t="shared" si="120"/>
        <v>121.52819058795122</v>
      </c>
      <c r="U68" s="15">
        <f t="shared" si="120"/>
        <v>126.10295324845437</v>
      </c>
      <c r="V68" s="15">
        <f t="shared" si="120"/>
        <v>165.28309331189064</v>
      </c>
      <c r="W68" s="15">
        <f t="shared" si="120"/>
        <v>142.83959464196909</v>
      </c>
      <c r="X68" s="15">
        <f t="shared" si="120"/>
        <v>123.33354421828916</v>
      </c>
      <c r="Y68" s="15">
        <f t="shared" si="120"/>
        <v>122.00799952813992</v>
      </c>
      <c r="Z68" s="15">
        <f t="shared" si="120"/>
        <v>174.95650618829612</v>
      </c>
      <c r="AA68" s="15">
        <f t="shared" si="120"/>
        <v>164.34021549759657</v>
      </c>
      <c r="AB68" s="15">
        <f t="shared" si="120"/>
        <v>178.63560726273073</v>
      </c>
      <c r="AC68" s="15">
        <f t="shared" si="120"/>
        <v>161.00752016805714</v>
      </c>
      <c r="AD68" s="15">
        <f t="shared" si="120"/>
        <v>131.52021069868152</v>
      </c>
      <c r="AE68" s="15">
        <f t="shared" si="120"/>
        <v>125.4904125474395</v>
      </c>
      <c r="AF68" s="15">
        <f t="shared" si="120"/>
        <v>127.84232903246834</v>
      </c>
      <c r="AG68" s="15">
        <f t="shared" si="120"/>
        <v>130.45454562993311</v>
      </c>
      <c r="AH68" s="15">
        <f t="shared" si="120"/>
        <v>171.49973287004426</v>
      </c>
      <c r="AJ68" s="15" cm="1">
        <f t="array" aca="1" ref="AJ68" ca="1">INDEX($E68:$AH68,1,MATCH(AJ$3&amp;AJ$4&amp;AJ$5&amp;AJ$6,$E$3:$AH$3&amp;$E$4:$AH$4&amp;$E$5:$AH$5&amp;$E$6:$AH$6,1))</f>
        <v>71.637285709415394</v>
      </c>
      <c r="AK68" s="15" cm="1">
        <f t="array" aca="1" ref="AK68" ca="1">INDEX($E68:$AH68,1,MATCH(AK$3&amp;AK$4&amp;AK$5&amp;AK$6,$E$3:$AH$3&amp;$E$4:$AH$4&amp;$E$5:$AH$5&amp;$E$6:$AH$6,1))</f>
        <v>107.73816309169592</v>
      </c>
      <c r="AL68" s="15" cm="1">
        <f t="array" aca="1" ref="AL68" ca="1">INDEX($E68:$AH68,1,MATCH(AL$3&amp;AL$4&amp;AL$5&amp;AL$6,$E$3:$AH$3&amp;$E$4:$AH$4&amp;$E$5:$AH$5&amp;$E$6:$AH$6,1))</f>
        <v>97.164361419112552</v>
      </c>
      <c r="AM68" s="16" cm="1">
        <f t="array" aca="1" ref="AM68" ca="1">INDEX($E68:$AH68,1,MATCH(AM$3&amp;AM$4&amp;AM$5&amp;AM$6,$E$3:$AH$3&amp;$E$4:$AH$4&amp;$E$5:$AH$5&amp;$E$6:$AH$6,1))</f>
        <v>157.22269680238202</v>
      </c>
      <c r="AN68" s="15" cm="1">
        <f t="array" aca="1" ref="AN68" ca="1">INDEX($E68:$AH68,1,MATCH(AN$3&amp;AN$4&amp;AN$5&amp;AN$6,$E$3:$AH$3&amp;$E$4:$AH$4&amp;$E$5:$AH$5&amp;$E$6:$AH$6,1))</f>
        <v>118.8269650219916</v>
      </c>
      <c r="AO68" s="15" cm="1">
        <f t="array" aca="1" ref="AO68" ca="1">INDEX($E68:$AH68,1,MATCH(AO$3&amp;AO$4&amp;AO$5&amp;AO$6,$E$3:$AH$3&amp;$E$4:$AH$4&amp;$E$5:$AH$5&amp;$E$6:$AH$6,1))</f>
        <v>165.28309331189064</v>
      </c>
      <c r="AP68" s="15" cm="1">
        <f t="array" aca="1" ref="AP68" ca="1">INDEX($E68:$AH68,1,MATCH(AP$3&amp;AP$4&amp;AP$5&amp;AP$6,$E$3:$AH$3&amp;$E$4:$AH$4&amp;$E$5:$AH$5&amp;$E$6:$AH$6,1))</f>
        <v>122.00799952813992</v>
      </c>
      <c r="AQ68" s="15" cm="1">
        <f t="array" aca="1" ref="AQ68" ca="1">INDEX($E68:$AH68,1,MATCH(AQ$3&amp;AQ$4&amp;AQ$5&amp;AQ$6,$E$3:$AH$3&amp;$E$4:$AH$4&amp;$E$5:$AH$5&amp;$E$6:$AH$6,1))</f>
        <v>178.63560726273073</v>
      </c>
      <c r="AR68" s="15" cm="1">
        <f t="array" aca="1" ref="AR68" ca="1">INDEX($E68:$AH68,1,MATCH(AR$3&amp;AR$4&amp;AR$5&amp;AR$6,$E$3:$AH$3&amp;$E$4:$AH$4&amp;$E$5:$AH$5&amp;$E$6:$AH$6,1))</f>
        <v>125.4904125474395</v>
      </c>
      <c r="AS68" s="15" cm="1">
        <f t="array" aca="1" ref="AS68" ca="1">INDEX($E68:$AH68,1,MATCH(AS$3&amp;AS$4&amp;AS$5&amp;AS$6,$E$3:$AH$3&amp;$E$4:$AH$4&amp;$E$5:$AH$5&amp;$E$6:$AH$6,1))</f>
        <v>171.49973287004426</v>
      </c>
      <c r="AU68" s="13">
        <f ca="1">INDEX($E68:$AH68,1,MATCH(AU$5,$E$5:$AH$5,1))</f>
        <v>107.73816309169592</v>
      </c>
      <c r="AV68" s="13">
        <f t="shared" ref="AV68:AW68" ca="1" si="121">INDEX($E68:$AH68,1,MATCH(AV$5,$E$5:$AH$5,1))</f>
        <v>165.28309331189064</v>
      </c>
      <c r="AW68" s="13">
        <f t="shared" ca="1" si="121"/>
        <v>171.49973287004426</v>
      </c>
    </row>
    <row r="69" spans="2:49" x14ac:dyDescent="0.25">
      <c r="E69" s="13"/>
      <c r="P69" s="8"/>
      <c r="Q69" s="112"/>
      <c r="AM69" s="8"/>
    </row>
    <row r="70" spans="2:49" x14ac:dyDescent="0.25">
      <c r="C70" s="2" t="s">
        <v>443</v>
      </c>
      <c r="E70" s="58">
        <f>E68/E60</f>
        <v>4.1980003462294094E-2</v>
      </c>
      <c r="F70" s="58">
        <f t="shared" ref="F70:P70" si="122">F68/F60</f>
        <v>4.1636420955207282E-2</v>
      </c>
      <c r="G70" s="58">
        <f t="shared" si="122"/>
        <v>3.8123378356771979E-2</v>
      </c>
      <c r="H70" s="58">
        <f t="shared" si="122"/>
        <v>3.9893334896833527E-2</v>
      </c>
      <c r="I70" s="58">
        <f t="shared" si="122"/>
        <v>4.1972090881038218E-2</v>
      </c>
      <c r="J70" s="59">
        <f t="shared" si="122"/>
        <v>3.9904309615822947E-2</v>
      </c>
      <c r="K70" s="58">
        <f t="shared" si="122"/>
        <v>3.9567982325374007E-2</v>
      </c>
      <c r="L70" s="58">
        <f t="shared" si="122"/>
        <v>3.994657494323401E-2</v>
      </c>
      <c r="M70" s="58">
        <f t="shared" si="122"/>
        <v>3.9004404429652854E-2</v>
      </c>
      <c r="N70" s="58">
        <f t="shared" si="122"/>
        <v>3.9306946522608681E-2</v>
      </c>
      <c r="O70" s="58">
        <f t="shared" si="122"/>
        <v>4.0761453754012543E-2</v>
      </c>
      <c r="P70" s="60">
        <f t="shared" si="122"/>
        <v>3.9549766145469588E-2</v>
      </c>
      <c r="Q70" s="57">
        <f>AVERAGE(K70:P70)</f>
        <v>3.9689521353391953E-2</v>
      </c>
      <c r="R70" s="57">
        <f>Q70</f>
        <v>3.9689521353391953E-2</v>
      </c>
      <c r="S70" s="57">
        <f t="shared" ref="S70" si="123">R70</f>
        <v>3.9689521353391953E-2</v>
      </c>
      <c r="T70" s="57">
        <f t="shared" ref="T70" si="124">S70</f>
        <v>3.9689521353391953E-2</v>
      </c>
      <c r="U70" s="57">
        <f t="shared" ref="U70" si="125">T70</f>
        <v>3.9689521353391953E-2</v>
      </c>
      <c r="V70" s="57">
        <f t="shared" ref="V70" si="126">U70</f>
        <v>3.9689521353391953E-2</v>
      </c>
      <c r="W70" s="57">
        <f t="shared" ref="W70" si="127">V70</f>
        <v>3.9689521353391953E-2</v>
      </c>
      <c r="X70" s="57">
        <f t="shared" ref="X70" si="128">W70</f>
        <v>3.9689521353391953E-2</v>
      </c>
      <c r="Y70" s="57">
        <f t="shared" ref="Y70" si="129">X70</f>
        <v>3.9689521353391953E-2</v>
      </c>
      <c r="Z70" s="57">
        <f t="shared" ref="Z70" si="130">Y70</f>
        <v>3.9689521353391953E-2</v>
      </c>
      <c r="AA70" s="57">
        <f t="shared" ref="AA70" si="131">Z70</f>
        <v>3.9689521353391953E-2</v>
      </c>
      <c r="AB70" s="57">
        <f t="shared" ref="AB70" si="132">AA70</f>
        <v>3.9689521353391953E-2</v>
      </c>
      <c r="AC70" s="57">
        <f t="shared" ref="AC70" si="133">AB70</f>
        <v>3.9689521353391953E-2</v>
      </c>
      <c r="AD70" s="57">
        <f t="shared" ref="AD70" si="134">AC70</f>
        <v>3.9689521353391953E-2</v>
      </c>
      <c r="AE70" s="57">
        <f t="shared" ref="AE70" si="135">AD70</f>
        <v>3.9689521353391953E-2</v>
      </c>
      <c r="AF70" s="57">
        <f t="shared" ref="AF70" si="136">AE70</f>
        <v>3.9689521353391953E-2</v>
      </c>
      <c r="AG70" s="57">
        <f t="shared" ref="AG70" si="137">AF70</f>
        <v>3.9689521353391953E-2</v>
      </c>
      <c r="AH70" s="57">
        <f t="shared" ref="AH70" si="138">AG70</f>
        <v>3.9689521353391953E-2</v>
      </c>
      <c r="AJ70" s="58">
        <f t="shared" ref="AJ70:AW70" ca="1" si="139">AJ68/AJ60</f>
        <v>3.8123378356771979E-2</v>
      </c>
      <c r="AK70" s="58">
        <f t="shared" ca="1" si="139"/>
        <v>3.9904309615822947E-2</v>
      </c>
      <c r="AL70" s="58">
        <f t="shared" ca="1" si="139"/>
        <v>3.9004404429652854E-2</v>
      </c>
      <c r="AM70" s="60">
        <f t="shared" ca="1" si="139"/>
        <v>3.9549766145469588E-2</v>
      </c>
      <c r="AN70" s="58">
        <f t="shared" ca="1" si="139"/>
        <v>3.9689521353391953E-2</v>
      </c>
      <c r="AO70" s="58">
        <f t="shared" ca="1" si="139"/>
        <v>3.9689521353391953E-2</v>
      </c>
      <c r="AP70" s="58">
        <f t="shared" ca="1" si="139"/>
        <v>3.9689521353391953E-2</v>
      </c>
      <c r="AQ70" s="58">
        <f t="shared" ca="1" si="139"/>
        <v>3.9689521353391953E-2</v>
      </c>
      <c r="AR70" s="58">
        <f t="shared" ca="1" si="139"/>
        <v>3.9689521353391953E-2</v>
      </c>
      <c r="AS70" s="58">
        <f t="shared" ca="1" si="139"/>
        <v>3.9689521353391953E-2</v>
      </c>
      <c r="AT70" s="58"/>
      <c r="AU70" s="58">
        <f t="shared" ca="1" si="139"/>
        <v>3.9904309615822947E-2</v>
      </c>
      <c r="AV70" s="58">
        <f t="shared" ca="1" si="139"/>
        <v>3.9689521353391953E-2</v>
      </c>
      <c r="AW70" s="58">
        <f t="shared" ca="1" si="139"/>
        <v>3.9689521353391953E-2</v>
      </c>
    </row>
    <row r="71" spans="2:49" x14ac:dyDescent="0.25">
      <c r="P71" s="8"/>
      <c r="AM71" s="8"/>
    </row>
    <row r="72" spans="2:49" x14ac:dyDescent="0.25">
      <c r="C72" s="30" t="s">
        <v>444</v>
      </c>
      <c r="D72" s="30"/>
      <c r="E72" s="45" t="str">
        <f t="shared" ref="E72:AH72" si="140">E$9</f>
        <v>Jul-20A</v>
      </c>
      <c r="F72" s="45" t="str">
        <f t="shared" si="140"/>
        <v>Aug-20A</v>
      </c>
      <c r="G72" s="45" t="str">
        <f t="shared" si="140"/>
        <v>Sep-20A</v>
      </c>
      <c r="H72" s="45" t="str">
        <f t="shared" si="140"/>
        <v>Oct-20A</v>
      </c>
      <c r="I72" s="45" t="str">
        <f t="shared" si="140"/>
        <v>Nov-20A</v>
      </c>
      <c r="J72" s="45" t="str">
        <f t="shared" si="140"/>
        <v>Dec-20A</v>
      </c>
      <c r="K72" s="45" t="str">
        <f t="shared" si="140"/>
        <v>Jan-21A</v>
      </c>
      <c r="L72" s="45" t="str">
        <f t="shared" si="140"/>
        <v>Feb-21A</v>
      </c>
      <c r="M72" s="45" t="str">
        <f t="shared" si="140"/>
        <v>Mar-21A</v>
      </c>
      <c r="N72" s="45" t="str">
        <f t="shared" si="140"/>
        <v>Apr-21A</v>
      </c>
      <c r="O72" s="45" t="str">
        <f t="shared" si="140"/>
        <v>May-21A</v>
      </c>
      <c r="P72" s="46" t="str">
        <f t="shared" si="140"/>
        <v>Jun-21A</v>
      </c>
      <c r="Q72" s="45" t="str">
        <f t="shared" si="140"/>
        <v>Jul-21F</v>
      </c>
      <c r="R72" s="45" t="str">
        <f t="shared" si="140"/>
        <v>Aug-21F</v>
      </c>
      <c r="S72" s="45" t="str">
        <f t="shared" si="140"/>
        <v>Sep-21F</v>
      </c>
      <c r="T72" s="45" t="str">
        <f t="shared" si="140"/>
        <v>Oct-21F</v>
      </c>
      <c r="U72" s="45" t="str">
        <f t="shared" si="140"/>
        <v>Nov-21F</v>
      </c>
      <c r="V72" s="45" t="str">
        <f t="shared" si="140"/>
        <v>Dec-21F</v>
      </c>
      <c r="W72" s="45" t="str">
        <f t="shared" si="140"/>
        <v>Jan-22F</v>
      </c>
      <c r="X72" s="45" t="str">
        <f t="shared" si="140"/>
        <v>Feb-22F</v>
      </c>
      <c r="Y72" s="45" t="str">
        <f t="shared" si="140"/>
        <v>Mar-22F</v>
      </c>
      <c r="Z72" s="45" t="str">
        <f t="shared" si="140"/>
        <v>Apr-22F</v>
      </c>
      <c r="AA72" s="45" t="str">
        <f t="shared" si="140"/>
        <v>May-22F</v>
      </c>
      <c r="AB72" s="45" t="str">
        <f t="shared" si="140"/>
        <v>Jun-22F</v>
      </c>
      <c r="AC72" s="45" t="str">
        <f t="shared" si="140"/>
        <v>Jul-22F</v>
      </c>
      <c r="AD72" s="45" t="str">
        <f t="shared" si="140"/>
        <v>Aug-22F</v>
      </c>
      <c r="AE72" s="45" t="str">
        <f t="shared" si="140"/>
        <v>Sep-22F</v>
      </c>
      <c r="AF72" s="45" t="str">
        <f t="shared" si="140"/>
        <v>Oct-22F</v>
      </c>
      <c r="AG72" s="45" t="str">
        <f t="shared" si="140"/>
        <v>Nov-22F</v>
      </c>
      <c r="AH72" s="45" t="str">
        <f t="shared" si="140"/>
        <v>Dec-22F</v>
      </c>
      <c r="AJ72" s="45" t="str">
        <f ca="1">AJ$10</f>
        <v>Q3'20A</v>
      </c>
      <c r="AK72" s="45" t="str">
        <f t="shared" ref="AK72:AW72" ca="1" si="141">AK$10</f>
        <v>Q4'20A</v>
      </c>
      <c r="AL72" s="45" t="str">
        <f t="shared" ca="1" si="141"/>
        <v>Q1'21A</v>
      </c>
      <c r="AM72" s="46" t="str">
        <f t="shared" ca="1" si="141"/>
        <v>Q2'21A</v>
      </c>
      <c r="AN72" s="45" t="str">
        <f t="shared" ca="1" si="141"/>
        <v>Q3'21F</v>
      </c>
      <c r="AO72" s="45" t="str">
        <f t="shared" ca="1" si="141"/>
        <v>Q4'21F</v>
      </c>
      <c r="AP72" s="45" t="str">
        <f t="shared" ca="1" si="141"/>
        <v>Q1'22F</v>
      </c>
      <c r="AQ72" s="45" t="str">
        <f t="shared" ca="1" si="141"/>
        <v>Q2'22F</v>
      </c>
      <c r="AR72" s="45" t="str">
        <f t="shared" ca="1" si="141"/>
        <v>Q3'22F</v>
      </c>
      <c r="AS72" s="45" t="str">
        <f t="shared" ca="1" si="141"/>
        <v>Q4'22F</v>
      </c>
      <c r="AU72" s="45" t="str">
        <f t="shared" ca="1" si="141"/>
        <v>FY20</v>
      </c>
      <c r="AV72" s="45" t="str">
        <f t="shared" ca="1" si="141"/>
        <v>FY21</v>
      </c>
      <c r="AW72" s="45" t="str">
        <f t="shared" ca="1" si="141"/>
        <v>FY22</v>
      </c>
    </row>
    <row r="73" spans="2:49" x14ac:dyDescent="0.25">
      <c r="B73" t="s">
        <v>231</v>
      </c>
      <c r="C73" s="2" t="s">
        <v>195</v>
      </c>
      <c r="D73" s="13">
        <f>D60-D68</f>
        <v>2334.70914046394</v>
      </c>
      <c r="E73" s="13">
        <f t="shared" ref="E73:AW73" si="142">E60-E68</f>
        <v>2222.4410203515222</v>
      </c>
      <c r="F73" s="15">
        <f t="shared" si="142"/>
        <v>1771.6145517969126</v>
      </c>
      <c r="G73" s="15">
        <f t="shared" si="142"/>
        <v>1807.4534139397206</v>
      </c>
      <c r="H73" s="15">
        <f t="shared" si="142"/>
        <v>1942.0852675947938</v>
      </c>
      <c r="I73" s="15">
        <f t="shared" si="142"/>
        <v>1989.8038619153058</v>
      </c>
      <c r="J73" s="15">
        <f t="shared" si="142"/>
        <v>2592.1748069343621</v>
      </c>
      <c r="K73" s="13">
        <f t="shared" si="142"/>
        <v>2541.2913275381361</v>
      </c>
      <c r="L73" s="15">
        <f t="shared" si="142"/>
        <v>2251.8200936588159</v>
      </c>
      <c r="M73" s="15">
        <f t="shared" si="142"/>
        <v>2393.948189584075</v>
      </c>
      <c r="N73" s="15">
        <f t="shared" si="142"/>
        <v>2989.3501152652366</v>
      </c>
      <c r="O73" s="15">
        <f t="shared" si="142"/>
        <v>3385.8395934337773</v>
      </c>
      <c r="P73" s="16">
        <f t="shared" si="142"/>
        <v>3818.0902348618633</v>
      </c>
      <c r="Q73" s="15">
        <f t="shared" si="142"/>
        <v>3619.6111196060688</v>
      </c>
      <c r="R73" s="15">
        <f t="shared" si="142"/>
        <v>2989.4353721933612</v>
      </c>
      <c r="S73" s="15">
        <f t="shared" si="142"/>
        <v>2875.0858101905615</v>
      </c>
      <c r="T73" s="15">
        <f t="shared" si="142"/>
        <v>2940.4434947310797</v>
      </c>
      <c r="U73" s="15">
        <f t="shared" si="142"/>
        <v>3051.1324718312521</v>
      </c>
      <c r="V73" s="15">
        <f t="shared" si="142"/>
        <v>3999.1181812770551</v>
      </c>
      <c r="W73" s="15">
        <f t="shared" si="142"/>
        <v>3456.0850023603002</v>
      </c>
      <c r="X73" s="15">
        <f t="shared" si="142"/>
        <v>2984.125049704734</v>
      </c>
      <c r="Y73" s="15">
        <f t="shared" si="142"/>
        <v>2952.0527441576201</v>
      </c>
      <c r="Z73" s="15">
        <f t="shared" si="142"/>
        <v>4233.1718919976893</v>
      </c>
      <c r="AA73" s="15">
        <f t="shared" si="142"/>
        <v>3976.3047178168163</v>
      </c>
      <c r="AB73" s="15">
        <f t="shared" si="142"/>
        <v>4322.1898290577337</v>
      </c>
      <c r="AC73" s="15">
        <f t="shared" si="142"/>
        <v>3895.6682642149435</v>
      </c>
      <c r="AD73" s="15">
        <f t="shared" si="142"/>
        <v>3182.2060881809975</v>
      </c>
      <c r="AE73" s="15">
        <f t="shared" si="142"/>
        <v>3036.3117021740782</v>
      </c>
      <c r="AF73" s="15">
        <f t="shared" si="142"/>
        <v>3093.2176553944455</v>
      </c>
      <c r="AG73" s="15">
        <f t="shared" si="142"/>
        <v>3156.4217174617147</v>
      </c>
      <c r="AH73" s="15">
        <f t="shared" si="142"/>
        <v>4149.533301089371</v>
      </c>
      <c r="AJ73" s="15">
        <f t="shared" ca="1" si="142"/>
        <v>1807.4534139397206</v>
      </c>
      <c r="AK73" s="15">
        <f t="shared" ca="1" si="142"/>
        <v>2592.1748069343621</v>
      </c>
      <c r="AL73" s="15">
        <f t="shared" ca="1" si="142"/>
        <v>2393.948189584075</v>
      </c>
      <c r="AM73" s="16">
        <f t="shared" ca="1" si="142"/>
        <v>3818.0902348618633</v>
      </c>
      <c r="AN73" s="15">
        <f t="shared" ca="1" si="142"/>
        <v>2875.0858101905615</v>
      </c>
      <c r="AO73" s="15">
        <f t="shared" ca="1" si="142"/>
        <v>3999.1181812770551</v>
      </c>
      <c r="AP73" s="15">
        <f t="shared" ca="1" si="142"/>
        <v>2952.0527441576201</v>
      </c>
      <c r="AQ73" s="15">
        <f t="shared" ca="1" si="142"/>
        <v>4322.1898290577337</v>
      </c>
      <c r="AR73" s="15">
        <f t="shared" ca="1" si="142"/>
        <v>3036.3117021740782</v>
      </c>
      <c r="AS73" s="15">
        <f t="shared" ca="1" si="142"/>
        <v>4149.533301089371</v>
      </c>
      <c r="AU73" s="15">
        <f t="shared" ca="1" si="142"/>
        <v>2592.1748069343621</v>
      </c>
      <c r="AV73" s="15">
        <f t="shared" ca="1" si="142"/>
        <v>3999.1181812770551</v>
      </c>
      <c r="AW73" s="15">
        <f t="shared" ca="1" si="142"/>
        <v>4149.533301089371</v>
      </c>
    </row>
    <row r="74" spans="2:49" x14ac:dyDescent="0.25">
      <c r="P74" s="8"/>
      <c r="AM74" s="8"/>
    </row>
    <row r="75" spans="2:49" x14ac:dyDescent="0.25">
      <c r="C75" s="30" t="s">
        <v>157</v>
      </c>
      <c r="D75" s="30"/>
      <c r="E75" s="45" t="str">
        <f t="shared" ref="E75:AH75" si="143">E$9</f>
        <v>Jul-20A</v>
      </c>
      <c r="F75" s="45" t="str">
        <f t="shared" si="143"/>
        <v>Aug-20A</v>
      </c>
      <c r="G75" s="45" t="str">
        <f t="shared" si="143"/>
        <v>Sep-20A</v>
      </c>
      <c r="H75" s="45" t="str">
        <f t="shared" si="143"/>
        <v>Oct-20A</v>
      </c>
      <c r="I75" s="45" t="str">
        <f t="shared" si="143"/>
        <v>Nov-20A</v>
      </c>
      <c r="J75" s="45" t="str">
        <f t="shared" si="143"/>
        <v>Dec-20A</v>
      </c>
      <c r="K75" s="45" t="str">
        <f t="shared" si="143"/>
        <v>Jan-21A</v>
      </c>
      <c r="L75" s="45" t="str">
        <f t="shared" si="143"/>
        <v>Feb-21A</v>
      </c>
      <c r="M75" s="45" t="str">
        <f t="shared" si="143"/>
        <v>Mar-21A</v>
      </c>
      <c r="N75" s="45" t="str">
        <f t="shared" si="143"/>
        <v>Apr-21A</v>
      </c>
      <c r="O75" s="45" t="str">
        <f t="shared" si="143"/>
        <v>May-21A</v>
      </c>
      <c r="P75" s="46" t="str">
        <f t="shared" si="143"/>
        <v>Jun-21A</v>
      </c>
      <c r="Q75" s="45" t="str">
        <f t="shared" si="143"/>
        <v>Jul-21F</v>
      </c>
      <c r="R75" s="45" t="str">
        <f t="shared" si="143"/>
        <v>Aug-21F</v>
      </c>
      <c r="S75" s="45" t="str">
        <f t="shared" si="143"/>
        <v>Sep-21F</v>
      </c>
      <c r="T75" s="45" t="str">
        <f t="shared" si="143"/>
        <v>Oct-21F</v>
      </c>
      <c r="U75" s="45" t="str">
        <f t="shared" si="143"/>
        <v>Nov-21F</v>
      </c>
      <c r="V75" s="45" t="str">
        <f t="shared" si="143"/>
        <v>Dec-21F</v>
      </c>
      <c r="W75" s="45" t="str">
        <f t="shared" si="143"/>
        <v>Jan-22F</v>
      </c>
      <c r="X75" s="45" t="str">
        <f t="shared" si="143"/>
        <v>Feb-22F</v>
      </c>
      <c r="Y75" s="45" t="str">
        <f t="shared" si="143"/>
        <v>Mar-22F</v>
      </c>
      <c r="Z75" s="45" t="str">
        <f t="shared" si="143"/>
        <v>Apr-22F</v>
      </c>
      <c r="AA75" s="45" t="str">
        <f t="shared" si="143"/>
        <v>May-22F</v>
      </c>
      <c r="AB75" s="45" t="str">
        <f t="shared" si="143"/>
        <v>Jun-22F</v>
      </c>
      <c r="AC75" s="45" t="str">
        <f t="shared" si="143"/>
        <v>Jul-22F</v>
      </c>
      <c r="AD75" s="45" t="str">
        <f t="shared" si="143"/>
        <v>Aug-22F</v>
      </c>
      <c r="AE75" s="45" t="str">
        <f t="shared" si="143"/>
        <v>Sep-22F</v>
      </c>
      <c r="AF75" s="45" t="str">
        <f t="shared" si="143"/>
        <v>Oct-22F</v>
      </c>
      <c r="AG75" s="45" t="str">
        <f t="shared" si="143"/>
        <v>Nov-22F</v>
      </c>
      <c r="AH75" s="45" t="str">
        <f t="shared" si="143"/>
        <v>Dec-22F</v>
      </c>
      <c r="AJ75" s="45" t="str">
        <f ca="1">AJ$10</f>
        <v>Q3'20A</v>
      </c>
      <c r="AK75" s="45" t="str">
        <f t="shared" ref="AK75:AW75" ca="1" si="144">AK$10</f>
        <v>Q4'20A</v>
      </c>
      <c r="AL75" s="45" t="str">
        <f t="shared" ca="1" si="144"/>
        <v>Q1'21A</v>
      </c>
      <c r="AM75" s="46" t="str">
        <f t="shared" ca="1" si="144"/>
        <v>Q2'21A</v>
      </c>
      <c r="AN75" s="45" t="str">
        <f t="shared" ca="1" si="144"/>
        <v>Q3'21F</v>
      </c>
      <c r="AO75" s="45" t="str">
        <f t="shared" ca="1" si="144"/>
        <v>Q4'21F</v>
      </c>
      <c r="AP75" s="45" t="str">
        <f t="shared" ca="1" si="144"/>
        <v>Q1'22F</v>
      </c>
      <c r="AQ75" s="45" t="str">
        <f t="shared" ca="1" si="144"/>
        <v>Q2'22F</v>
      </c>
      <c r="AR75" s="45" t="str">
        <f t="shared" ca="1" si="144"/>
        <v>Q3'22F</v>
      </c>
      <c r="AS75" s="45" t="str">
        <f t="shared" ca="1" si="144"/>
        <v>Q4'22F</v>
      </c>
      <c r="AU75" s="45" t="str">
        <f t="shared" ca="1" si="144"/>
        <v>FY20</v>
      </c>
      <c r="AV75" s="45" t="str">
        <f t="shared" ca="1" si="144"/>
        <v>FY21</v>
      </c>
      <c r="AW75" s="45" t="str">
        <f t="shared" ca="1" si="144"/>
        <v>FY22</v>
      </c>
    </row>
    <row r="76" spans="2:49" x14ac:dyDescent="0.25">
      <c r="C76" s="1" t="s">
        <v>194</v>
      </c>
      <c r="D76" s="1"/>
      <c r="E76" s="61">
        <f>D79</f>
        <v>1370.5173024899711</v>
      </c>
      <c r="F76" s="61">
        <f t="shared" ref="F76:AH76" si="145">E79</f>
        <v>1323.8</v>
      </c>
      <c r="G76" s="61">
        <f t="shared" si="145"/>
        <v>1202</v>
      </c>
      <c r="H76" s="61">
        <f t="shared" si="145"/>
        <v>1075</v>
      </c>
      <c r="I76" s="61">
        <f t="shared" si="145"/>
        <v>1063.9000000000001</v>
      </c>
      <c r="J76" s="61">
        <f t="shared" si="145"/>
        <v>1029</v>
      </c>
      <c r="K76" s="61">
        <f t="shared" si="145"/>
        <v>1195.0999999999999</v>
      </c>
      <c r="L76" s="61">
        <f t="shared" si="145"/>
        <v>1274.2</v>
      </c>
      <c r="M76" s="61">
        <f t="shared" si="145"/>
        <v>1164.5</v>
      </c>
      <c r="N76" s="61">
        <f t="shared" si="145"/>
        <v>1118.2</v>
      </c>
      <c r="O76" s="61">
        <f t="shared" si="145"/>
        <v>1196.7</v>
      </c>
      <c r="P76" s="17">
        <f t="shared" si="145"/>
        <v>1323</v>
      </c>
      <c r="Q76" s="15">
        <f>P79</f>
        <v>1495</v>
      </c>
      <c r="R76" s="15">
        <f t="shared" si="145"/>
        <v>1448.9389392357605</v>
      </c>
      <c r="S76" s="15">
        <f t="shared" si="145"/>
        <v>1289.7609609953947</v>
      </c>
      <c r="T76" s="15">
        <f t="shared" si="145"/>
        <v>1170.8679691972261</v>
      </c>
      <c r="U76" s="15">
        <f t="shared" si="145"/>
        <v>1163.1777869256564</v>
      </c>
      <c r="V76" s="15">
        <f t="shared" si="145"/>
        <v>1109.6999695183017</v>
      </c>
      <c r="W76" s="104">
        <f t="shared" si="145"/>
        <v>1359.8618963751701</v>
      </c>
      <c r="X76" s="15">
        <f t="shared" si="145"/>
        <v>1295.747684193236</v>
      </c>
      <c r="Y76" s="15">
        <f t="shared" si="145"/>
        <v>1201.2858653191549</v>
      </c>
      <c r="Z76" s="15">
        <f t="shared" si="145"/>
        <v>1161.1442385399109</v>
      </c>
      <c r="AA76" s="15">
        <f t="shared" si="145"/>
        <v>1321.2476072453912</v>
      </c>
      <c r="AB76" s="15">
        <f t="shared" si="145"/>
        <v>1343.5625404195066</v>
      </c>
      <c r="AC76" s="15">
        <f t="shared" si="145"/>
        <v>1561.5832290513108</v>
      </c>
      <c r="AD76" s="15">
        <f t="shared" si="145"/>
        <v>1509.0167369070716</v>
      </c>
      <c r="AE76" s="15">
        <f t="shared" si="145"/>
        <v>1342.612322939789</v>
      </c>
      <c r="AF76" s="15">
        <f t="shared" si="145"/>
        <v>1218.3332897824409</v>
      </c>
      <c r="AG76" s="15">
        <f t="shared" si="145"/>
        <v>1210.5456871725514</v>
      </c>
      <c r="AH76" s="15">
        <f t="shared" si="145"/>
        <v>1154.8470474115093</v>
      </c>
      <c r="AJ76" s="15">
        <f ca="1">AJ79+AJ78-AJ77</f>
        <v>1370.5173024899709</v>
      </c>
      <c r="AK76" s="15">
        <f t="shared" ref="AK76" ca="1" si="146">AK79+AK78-AK77</f>
        <v>1075</v>
      </c>
      <c r="AL76" s="15">
        <f t="shared" ref="AL76" ca="1" si="147">AL79+AL78-AL77</f>
        <v>1195.0999999999999</v>
      </c>
      <c r="AM76" s="16">
        <f t="shared" ref="AM76" ca="1" si="148">AM79+AM78-AM77</f>
        <v>1118.1999999999998</v>
      </c>
      <c r="AN76" s="15">
        <f t="shared" ref="AN76" ca="1" si="149">AN79+AN78-AN77</f>
        <v>1495</v>
      </c>
      <c r="AO76" s="15">
        <f t="shared" ref="AO76" ca="1" si="150">AO79+AO78-AO77</f>
        <v>1170.8679691972261</v>
      </c>
      <c r="AP76" s="15">
        <f t="shared" ref="AP76" ca="1" si="151">AP79+AP78-AP77</f>
        <v>1359.8618963751701</v>
      </c>
      <c r="AQ76" s="15">
        <f t="shared" ref="AQ76" ca="1" si="152">AQ79+AQ78-AQ77</f>
        <v>1161.1442385399109</v>
      </c>
      <c r="AR76" s="15">
        <f t="shared" ref="AR76" ca="1" si="153">AR79+AR78-AR77</f>
        <v>1561.5832290513108</v>
      </c>
      <c r="AS76" s="15">
        <f t="shared" ref="AS76" ca="1" si="154">AS79+AS78-AS77</f>
        <v>1218.3332897824409</v>
      </c>
      <c r="AT76" s="15">
        <f t="shared" ref="AT76" si="155">AT79+AT78-AT77</f>
        <v>0</v>
      </c>
      <c r="AU76" s="15">
        <f t="shared" ref="AU76" ca="1" si="156">AU79+AU78-AU77</f>
        <v>1370.5173024899714</v>
      </c>
      <c r="AV76" s="15">
        <f t="shared" ref="AV76" ca="1" si="157">AV79+AV78-AV77</f>
        <v>1195.0999999999999</v>
      </c>
      <c r="AW76" s="15">
        <f t="shared" ref="AW76" ca="1" si="158">AW79+AW78-AW77</f>
        <v>1359.8618963751696</v>
      </c>
    </row>
    <row r="77" spans="2:49" x14ac:dyDescent="0.25">
      <c r="C77" s="108" t="s">
        <v>201</v>
      </c>
      <c r="D77" s="1"/>
      <c r="E77" s="61">
        <f>E78+(E79-E76)</f>
        <v>134.05556157355508</v>
      </c>
      <c r="F77" s="61">
        <f t="shared" ref="F77:P77" si="159">F78+(F79-F76)</f>
        <v>38.811123901661887</v>
      </c>
      <c r="G77" s="61">
        <f t="shared" si="159"/>
        <v>18.036048748754411</v>
      </c>
      <c r="H77" s="61">
        <f t="shared" si="159"/>
        <v>134.41900925897124</v>
      </c>
      <c r="I77" s="61">
        <f t="shared" si="159"/>
        <v>110.46732897796898</v>
      </c>
      <c r="J77" s="61">
        <f t="shared" si="159"/>
        <v>342.857012933855</v>
      </c>
      <c r="K77" s="61">
        <f t="shared" si="159"/>
        <v>269.73777283984748</v>
      </c>
      <c r="L77" s="61">
        <f t="shared" si="159"/>
        <v>57.074503331757967</v>
      </c>
      <c r="M77" s="61">
        <f t="shared" si="159"/>
        <v>112.06881377268681</v>
      </c>
      <c r="N77" s="61">
        <f t="shared" si="159"/>
        <v>282.4055347380168</v>
      </c>
      <c r="O77" s="61">
        <f t="shared" si="159"/>
        <v>331.81530888445133</v>
      </c>
      <c r="P77" s="17">
        <f t="shared" si="159"/>
        <v>385.40401187736416</v>
      </c>
      <c r="Q77" s="15">
        <f>Q78+(Q79-Q76)</f>
        <v>151.80027924090933</v>
      </c>
      <c r="R77" s="15">
        <f t="shared" ref="R77:AH77" si="160">R78+R79-R76</f>
        <v>13.159756792877033</v>
      </c>
      <c r="S77" s="15">
        <f t="shared" si="160"/>
        <v>39.077300163546624</v>
      </c>
      <c r="T77" s="15">
        <f t="shared" si="160"/>
        <v>151.4079276499117</v>
      </c>
      <c r="U77" s="15">
        <f t="shared" si="160"/>
        <v>103.29003539712471</v>
      </c>
      <c r="V77" s="15">
        <f t="shared" si="160"/>
        <v>451.28746179607242</v>
      </c>
      <c r="W77" s="15">
        <f t="shared" si="160"/>
        <v>129.74738935392224</v>
      </c>
      <c r="X77" s="15">
        <f t="shared" si="160"/>
        <v>77.58099224490843</v>
      </c>
      <c r="Y77" s="15">
        <f t="shared" si="160"/>
        <v>124.30930836344555</v>
      </c>
      <c r="Z77" s="15">
        <f t="shared" si="160"/>
        <v>385.23055168926635</v>
      </c>
      <c r="AA77" s="15">
        <f t="shared" si="160"/>
        <v>231.02443468575029</v>
      </c>
      <c r="AB77" s="15">
        <f t="shared" si="160"/>
        <v>440.9291340899706</v>
      </c>
      <c r="AC77" s="15">
        <f t="shared" si="160"/>
        <v>153.49883301854061</v>
      </c>
      <c r="AD77" s="15">
        <f t="shared" si="160"/>
        <v>12.995314944181928</v>
      </c>
      <c r="AE77" s="15">
        <f t="shared" si="160"/>
        <v>40.09514954880683</v>
      </c>
      <c r="AF77" s="15">
        <f t="shared" si="160"/>
        <v>157.78943382217176</v>
      </c>
      <c r="AG77" s="15">
        <f t="shared" si="160"/>
        <v>107.44716262992483</v>
      </c>
      <c r="AH77" s="15">
        <f t="shared" si="160"/>
        <v>471.48565302893121</v>
      </c>
      <c r="AJ77" s="15" cm="1">
        <f t="array" aca="1" ref="AJ77" ca="1">SUMPRODUCT(($E77:$AH77)*(AJ$3&amp;AJ$4&amp;AJ$5&amp;AJ$6=$E$3:$AH$3&amp;$E$4:$AH$4&amp;$E$5:$AH$5&amp;$E$6:$AH$6))</f>
        <v>190.90273422397138</v>
      </c>
      <c r="AK77" s="15" cm="1">
        <f t="array" aca="1" ref="AK77" ca="1">SUMPRODUCT(($E77:$AH77)*(AK$3=$E$3:$AH$3)*(AK$4=$E$4:$AH$4)*(AK$5=$E$5:$AH$5)*(AK$6=$E$6:$AH$6))</f>
        <v>587.74335117079522</v>
      </c>
      <c r="AL77" s="15" cm="1">
        <f t="array" aca="1" ref="AL77" ca="1">SUMPRODUCT(($E77:$AH77)*(AL$3=$E$3:$AH$3)*(AL$4=$E$4:$AH$4)*(AL$5=$E$5:$AH$5)*(AL$6=$E$6:$AH$6))</f>
        <v>438.88108994429228</v>
      </c>
      <c r="AM77" s="16" cm="1">
        <f t="array" aca="1" ref="AM77" ca="1">SUMPRODUCT(($E77:$AH77)*(AM$3=$E$3:$AH$3)*(AM$4=$E$4:$AH$4)*(AM$5=$E$5:$AH$5)*(AM$6=$E$6:$AH$6))</f>
        <v>999.62485549983228</v>
      </c>
      <c r="AN77" s="15" cm="1">
        <f t="array" aca="1" ref="AN77" ca="1">SUMPRODUCT(($E77:$AH77)*(AN$3=$E$3:$AH$3)*(AN$4=$E$4:$AH$4)*(AN$5=$E$5:$AH$5)*(AN$6=$E$6:$AH$6))</f>
        <v>204.03733619733299</v>
      </c>
      <c r="AO77" s="15" cm="1">
        <f t="array" aca="1" ref="AO77" ca="1">SUMPRODUCT(($E77:$AH77)*(AO$3=$E$3:$AH$3)*(AO$4=$E$4:$AH$4)*(AO$5=$E$5:$AH$5)*(AO$6=$E$6:$AH$6))</f>
        <v>705.98542484310883</v>
      </c>
      <c r="AP77" s="15" cm="1">
        <f t="array" aca="1" ref="AP77" ca="1">SUMPRODUCT(($E77:$AH77)*(AP$3=$E$3:$AH$3)*(AP$4=$E$4:$AH$4)*(AP$5=$E$5:$AH$5)*(AP$6=$E$6:$AH$6))</f>
        <v>331.63768996227623</v>
      </c>
      <c r="AQ77" s="15" cm="1">
        <f t="array" aca="1" ref="AQ77" ca="1">SUMPRODUCT(($E77:$AH77)*(AQ$3=$E$3:$AH$3)*(AQ$4=$E$4:$AH$4)*(AQ$5=$E$5:$AH$5)*(AQ$6=$E$6:$AH$6))</f>
        <v>1057.1841204649872</v>
      </c>
      <c r="AR77" s="15" cm="1">
        <f t="array" aca="1" ref="AR77" ca="1">SUMPRODUCT(($E77:$AH77)*(AR$3=$E$3:$AH$3)*(AR$4=$E$4:$AH$4)*(AR$5=$E$5:$AH$5)*(AR$6=$E$6:$AH$6))</f>
        <v>206.58929751152937</v>
      </c>
      <c r="AS77" s="15" cm="1">
        <f t="array" aca="1" ref="AS77" ca="1">SUMPRODUCT(($E77:$AH77)*(AS$3=$E$3:$AH$3)*(AS$4=$E$4:$AH$4)*(AS$5=$E$5:$AH$5)*(AS$6=$E$6:$AH$6))</f>
        <v>736.7222494810278</v>
      </c>
      <c r="AU77" s="15" cm="1">
        <f t="array" aca="1" ref="AU77" ca="1">SUMPRODUCT(($E77:$AH77)*(AU$5=$E$5:$AH$5))</f>
        <v>778.6460853947666</v>
      </c>
      <c r="AV77" s="15" cm="1">
        <f t="array" aca="1" ref="AV77" ca="1">SUMPRODUCT(($E77:$AH77)*(AV$5=$E$5:$AH$5))</f>
        <v>2348.5287064845661</v>
      </c>
      <c r="AW77" s="15" cm="1">
        <f t="array" aca="1" ref="AW77" ca="1">SUMPRODUCT(($E77:$AH77)*(AW$5=$E$5:$AH$5))</f>
        <v>2332.1333574198206</v>
      </c>
    </row>
    <row r="78" spans="2:49" x14ac:dyDescent="0.25">
      <c r="C78" s="109" t="s">
        <v>202</v>
      </c>
      <c r="D78" s="23"/>
      <c r="E78" s="74">
        <f>Expense!E97</f>
        <v>180.77286406352627</v>
      </c>
      <c r="F78" s="74">
        <f>Expense!F97</f>
        <v>160.61112390166184</v>
      </c>
      <c r="G78" s="74">
        <f>Expense!G97</f>
        <v>145.03604874875441</v>
      </c>
      <c r="H78" s="74">
        <f>Expense!H97</f>
        <v>145.51900925897115</v>
      </c>
      <c r="I78" s="74">
        <f>Expense!I97</f>
        <v>145.36732897796907</v>
      </c>
      <c r="J78" s="74">
        <f>Expense!J97</f>
        <v>176.75701293385509</v>
      </c>
      <c r="K78" s="74">
        <f>Expense!K97</f>
        <v>190.63777283984732</v>
      </c>
      <c r="L78" s="74">
        <f>Expense!L97</f>
        <v>166.77450333175801</v>
      </c>
      <c r="M78" s="74">
        <f>Expense!M97</f>
        <v>158.36881377268676</v>
      </c>
      <c r="N78" s="74">
        <f>Expense!N97</f>
        <v>203.9055347380168</v>
      </c>
      <c r="O78" s="74">
        <f>Expense!O97</f>
        <v>205.51530888445137</v>
      </c>
      <c r="P78" s="75">
        <f>Expense!P97</f>
        <v>213.40401187736418</v>
      </c>
      <c r="Q78" s="74">
        <f>Expense!Q97</f>
        <v>197.86134000514886</v>
      </c>
      <c r="R78" s="74">
        <f>Expense!R97</f>
        <v>172.33773503324275</v>
      </c>
      <c r="S78" s="74">
        <f>Expense!S97</f>
        <v>157.9702919617153</v>
      </c>
      <c r="T78" s="74">
        <f>Expense!T97</f>
        <v>159.09810992148149</v>
      </c>
      <c r="U78" s="74">
        <f>Expense!U97</f>
        <v>156.76785280447933</v>
      </c>
      <c r="V78" s="74">
        <f>Expense!V97</f>
        <v>201.12553493920399</v>
      </c>
      <c r="W78" s="74">
        <f>Expense!W97</f>
        <v>193.86160153585649</v>
      </c>
      <c r="X78" s="74">
        <f>Expense!X97</f>
        <v>172.04281111898945</v>
      </c>
      <c r="Y78" s="74">
        <f>Expense!Y97</f>
        <v>164.45093514268945</v>
      </c>
      <c r="Z78" s="74">
        <f>Expense!Z97</f>
        <v>225.12718298378599</v>
      </c>
      <c r="AA78" s="74">
        <f>Expense!AA97</f>
        <v>208.70950151163498</v>
      </c>
      <c r="AB78" s="74">
        <f>Expense!AB97</f>
        <v>222.90844545816631</v>
      </c>
      <c r="AC78" s="74">
        <f>Expense!AC97</f>
        <v>206.06532516277991</v>
      </c>
      <c r="AD78" s="74">
        <f>Expense!AD97</f>
        <v>179.39972891146462</v>
      </c>
      <c r="AE78" s="74">
        <f>Expense!AE97</f>
        <v>164.37418270615481</v>
      </c>
      <c r="AF78" s="74">
        <f>Expense!AF97</f>
        <v>165.57703643206136</v>
      </c>
      <c r="AG78" s="74">
        <f>Expense!AG97</f>
        <v>163.14580239096708</v>
      </c>
      <c r="AH78" s="74">
        <f>Expense!AH97</f>
        <v>209.54495071736952</v>
      </c>
      <c r="AJ78" s="29" cm="1">
        <f t="array" aca="1" ref="AJ78" ca="1">SUMPRODUCT(($E78:$AH78)*(AJ$3&amp;AJ$4&amp;AJ$5&amp;AJ$6=$E$3:$AH$3&amp;$E$4:$AH$4&amp;$E$5:$AH$5&amp;$E$6:$AH$6))</f>
        <v>486.42003671394252</v>
      </c>
      <c r="AK78" s="29" cm="1">
        <f t="array" aca="1" ref="AK78" ca="1">SUMPRODUCT(($E78:$AH78)*(AK$3=$E$3:$AH$3)*(AK$4=$E$4:$AH$4)*(AK$5=$E$5:$AH$5)*(AK$6=$E$6:$AH$6))</f>
        <v>467.64335117079531</v>
      </c>
      <c r="AL78" s="29" cm="1">
        <f t="array" aca="1" ref="AL78" ca="1">SUMPRODUCT(($E78:$AH78)*(AL$3=$E$3:$AH$3)*(AL$4=$E$4:$AH$4)*(AL$5=$E$5:$AH$5)*(AL$6=$E$6:$AH$6))</f>
        <v>515.78108994429203</v>
      </c>
      <c r="AM78" s="240" cm="1">
        <f t="array" aca="1" ref="AM78" ca="1">SUMPRODUCT(($E78:$AH78)*(AM$3=$E$3:$AH$3)*(AM$4=$E$4:$AH$4)*(AM$5=$E$5:$AH$5)*(AM$6=$E$6:$AH$6))</f>
        <v>622.82485549983232</v>
      </c>
      <c r="AN78" s="29" cm="1">
        <f t="array" aca="1" ref="AN78" ca="1">SUMPRODUCT(($E78:$AH78)*(AN$3=$E$3:$AH$3)*(AN$4=$E$4:$AH$4)*(AN$5=$E$5:$AH$5)*(AN$6=$E$6:$AH$6))</f>
        <v>528.16936700010683</v>
      </c>
      <c r="AO78" s="29" cm="1">
        <f t="array" aca="1" ref="AO78" ca="1">SUMPRODUCT(($E78:$AH78)*(AO$3=$E$3:$AH$3)*(AO$4=$E$4:$AH$4)*(AO$5=$E$5:$AH$5)*(AO$6=$E$6:$AH$6))</f>
        <v>516.99149766516484</v>
      </c>
      <c r="AP78" s="29" cm="1">
        <f t="array" aca="1" ref="AP78" ca="1">SUMPRODUCT(($E78:$AH78)*(AP$3=$E$3:$AH$3)*(AP$4=$E$4:$AH$4)*(AP$5=$E$5:$AH$5)*(AP$6=$E$6:$AH$6))</f>
        <v>530.35534779753539</v>
      </c>
      <c r="AQ78" s="29" cm="1">
        <f t="array" aca="1" ref="AQ78" ca="1">SUMPRODUCT(($E78:$AH78)*(AQ$3=$E$3:$AH$3)*(AQ$4=$E$4:$AH$4)*(AQ$5=$E$5:$AH$5)*(AQ$6=$E$6:$AH$6))</f>
        <v>656.74512995358725</v>
      </c>
      <c r="AR78" s="29" cm="1">
        <f t="array" aca="1" ref="AR78" ca="1">SUMPRODUCT(($E78:$AH78)*(AR$3=$E$3:$AH$3)*(AR$4=$E$4:$AH$4)*(AR$5=$E$5:$AH$5)*(AR$6=$E$6:$AH$6))</f>
        <v>549.83923678039935</v>
      </c>
      <c r="AS78" s="29" cm="1">
        <f t="array" aca="1" ref="AS78" ca="1">SUMPRODUCT(($E78:$AH78)*(AS$3=$E$3:$AH$3)*(AS$4=$E$4:$AH$4)*(AS$5=$E$5:$AH$5)*(AS$6=$E$6:$AH$6))</f>
        <v>538.26778954039798</v>
      </c>
      <c r="AU78" s="29" cm="1">
        <f t="array" aca="1" ref="AU78" ca="1">SUMPRODUCT(($E78:$AH78)*(AU$5=$E$5:$AH$5))</f>
        <v>954.06338788473772</v>
      </c>
      <c r="AV78" s="29" cm="1">
        <f t="array" aca="1" ref="AV78" ca="1">SUMPRODUCT(($E78:$AH78)*(AV$5=$E$5:$AH$5))</f>
        <v>2183.7668101093959</v>
      </c>
      <c r="AW78" s="29" cm="1">
        <f t="array" aca="1" ref="AW78" ca="1">SUMPRODUCT(($E78:$AH78)*(AW$5=$E$5:$AH$5))</f>
        <v>2275.2075040719196</v>
      </c>
    </row>
    <row r="79" spans="2:49" x14ac:dyDescent="0.25">
      <c r="B79" t="s">
        <v>231</v>
      </c>
      <c r="C79" s="2" t="s">
        <v>195</v>
      </c>
      <c r="D79" s="37">
        <v>1370.5173024899711</v>
      </c>
      <c r="E79" s="31">
        <v>1323.8</v>
      </c>
      <c r="F79" s="31">
        <v>1202</v>
      </c>
      <c r="G79" s="31">
        <v>1075</v>
      </c>
      <c r="H79" s="31">
        <v>1063.9000000000001</v>
      </c>
      <c r="I79" s="31">
        <v>1029</v>
      </c>
      <c r="J79" s="37">
        <v>1195.0999999999999</v>
      </c>
      <c r="K79" s="31">
        <v>1274.2</v>
      </c>
      <c r="L79" s="31">
        <v>1164.5</v>
      </c>
      <c r="M79" s="31">
        <v>1118.2</v>
      </c>
      <c r="N79" s="31">
        <v>1196.7</v>
      </c>
      <c r="O79" s="31">
        <v>1323</v>
      </c>
      <c r="P79" s="32">
        <v>1495</v>
      </c>
      <c r="Q79" s="15">
        <f>Q78/30*Q81</f>
        <v>1448.9389392357605</v>
      </c>
      <c r="R79" s="15">
        <f t="shared" ref="R79:AH79" si="161">R78/30*R81</f>
        <v>1289.7609609953947</v>
      </c>
      <c r="S79" s="15">
        <f t="shared" si="161"/>
        <v>1170.8679691972261</v>
      </c>
      <c r="T79" s="15">
        <f t="shared" si="161"/>
        <v>1163.1777869256564</v>
      </c>
      <c r="U79" s="15">
        <f t="shared" si="161"/>
        <v>1109.6999695183017</v>
      </c>
      <c r="V79" s="15">
        <f t="shared" si="161"/>
        <v>1359.8618963751701</v>
      </c>
      <c r="W79" s="15">
        <f t="shared" si="161"/>
        <v>1295.747684193236</v>
      </c>
      <c r="X79" s="15">
        <f t="shared" si="161"/>
        <v>1201.2858653191549</v>
      </c>
      <c r="Y79" s="15">
        <f t="shared" si="161"/>
        <v>1161.1442385399109</v>
      </c>
      <c r="Z79" s="15">
        <f t="shared" si="161"/>
        <v>1321.2476072453912</v>
      </c>
      <c r="AA79" s="15">
        <f t="shared" si="161"/>
        <v>1343.5625404195066</v>
      </c>
      <c r="AB79" s="15">
        <f t="shared" si="161"/>
        <v>1561.5832290513108</v>
      </c>
      <c r="AC79" s="15">
        <f t="shared" si="161"/>
        <v>1509.0167369070716</v>
      </c>
      <c r="AD79" s="15">
        <f t="shared" si="161"/>
        <v>1342.612322939789</v>
      </c>
      <c r="AE79" s="15">
        <f t="shared" si="161"/>
        <v>1218.3332897824409</v>
      </c>
      <c r="AF79" s="15">
        <f t="shared" si="161"/>
        <v>1210.5456871725514</v>
      </c>
      <c r="AG79" s="15">
        <f t="shared" si="161"/>
        <v>1154.8470474115093</v>
      </c>
      <c r="AH79" s="15">
        <f t="shared" si="161"/>
        <v>1416.7877497230709</v>
      </c>
      <c r="AJ79" s="15" cm="1">
        <f t="array" aca="1" ref="AJ79" ca="1">INDEX($E79:$AH79,1,MATCH(AJ$3&amp;AJ$4&amp;AJ$5&amp;AJ$6,$E$3:$AH$3&amp;$E$4:$AH$4&amp;$E$5:$AH$5&amp;$E$6:$AH$6,1))</f>
        <v>1075</v>
      </c>
      <c r="AK79" s="15" cm="1">
        <f t="array" aca="1" ref="AK79" ca="1">INDEX($E79:$AH79,1,MATCH(AK$3&amp;AK$4&amp;AK$5&amp;AK$6,$E$3:$AH$3&amp;$E$4:$AH$4&amp;$E$5:$AH$5&amp;$E$6:$AH$6,1))</f>
        <v>1195.0999999999999</v>
      </c>
      <c r="AL79" s="15" cm="1">
        <f t="array" aca="1" ref="AL79" ca="1">INDEX($E79:$AH79,1,MATCH(AL$3&amp;AL$4&amp;AL$5&amp;AL$6,$E$3:$AH$3&amp;$E$4:$AH$4&amp;$E$5:$AH$5&amp;$E$6:$AH$6,1))</f>
        <v>1118.2</v>
      </c>
      <c r="AM79" s="16" cm="1">
        <f t="array" aca="1" ref="AM79" ca="1">INDEX($E79:$AH79,1,MATCH(AM$3&amp;AM$4&amp;AM$5&amp;AM$6,$E$3:$AH$3&amp;$E$4:$AH$4&amp;$E$5:$AH$5&amp;$E$6:$AH$6,1))</f>
        <v>1495</v>
      </c>
      <c r="AN79" s="15" cm="1">
        <f t="array" aca="1" ref="AN79" ca="1">INDEX($E79:$AH79,1,MATCH(AN$3&amp;AN$4&amp;AN$5&amp;AN$6,$E$3:$AH$3&amp;$E$4:$AH$4&amp;$E$5:$AH$5&amp;$E$6:$AH$6,1))</f>
        <v>1170.8679691972261</v>
      </c>
      <c r="AO79" s="15" cm="1">
        <f t="array" aca="1" ref="AO79" ca="1">INDEX($E79:$AH79,1,MATCH(AO$3&amp;AO$4&amp;AO$5&amp;AO$6,$E$3:$AH$3&amp;$E$4:$AH$4&amp;$E$5:$AH$5&amp;$E$6:$AH$6,1))</f>
        <v>1359.8618963751701</v>
      </c>
      <c r="AP79" s="15" cm="1">
        <f t="array" aca="1" ref="AP79" ca="1">INDEX($E79:$AH79,1,MATCH(AP$3&amp;AP$4&amp;AP$5&amp;AP$6,$E$3:$AH$3&amp;$E$4:$AH$4&amp;$E$5:$AH$5&amp;$E$6:$AH$6,1))</f>
        <v>1161.1442385399109</v>
      </c>
      <c r="AQ79" s="15" cm="1">
        <f t="array" aca="1" ref="AQ79" ca="1">INDEX($E79:$AH79,1,MATCH(AQ$3&amp;AQ$4&amp;AQ$5&amp;AQ$6,$E$3:$AH$3&amp;$E$4:$AH$4&amp;$E$5:$AH$5&amp;$E$6:$AH$6,1))</f>
        <v>1561.5832290513108</v>
      </c>
      <c r="AR79" s="15" cm="1">
        <f t="array" aca="1" ref="AR79" ca="1">INDEX($E79:$AH79,1,MATCH(AR$3&amp;AR$4&amp;AR$5&amp;AR$6,$E$3:$AH$3&amp;$E$4:$AH$4&amp;$E$5:$AH$5&amp;$E$6:$AH$6,1))</f>
        <v>1218.3332897824409</v>
      </c>
      <c r="AS79" s="15" cm="1">
        <f t="array" aca="1" ref="AS79" ca="1">INDEX($E79:$AH79,1,MATCH(AS$3&amp;AS$4&amp;AS$5&amp;AS$6,$E$3:$AH$3&amp;$E$4:$AH$4&amp;$E$5:$AH$5&amp;$E$6:$AH$6,1))</f>
        <v>1416.7877497230709</v>
      </c>
      <c r="AU79" s="13">
        <f ca="1">INDEX($E79:$AH79,1,MATCH(AU$5,$E$5:$AH$5,1))</f>
        <v>1195.0999999999999</v>
      </c>
      <c r="AV79" s="13">
        <f t="shared" ref="AV79:AW79" ca="1" si="162">INDEX($E79:$AH79,1,MATCH(AV$5,$E$5:$AH$5,1))</f>
        <v>1359.8618963751701</v>
      </c>
      <c r="AW79" s="13">
        <f t="shared" ca="1" si="162"/>
        <v>1416.7877497230709</v>
      </c>
    </row>
    <row r="80" spans="2:49" x14ac:dyDescent="0.25">
      <c r="P80" s="8"/>
      <c r="AM80" s="8"/>
    </row>
    <row r="81" spans="2:49" x14ac:dyDescent="0.25">
      <c r="C81" t="s">
        <v>203</v>
      </c>
      <c r="D81" s="116"/>
      <c r="E81" s="116">
        <f>E79/(E78/E46)</f>
        <v>219.69005251830225</v>
      </c>
      <c r="F81" s="116">
        <f t="shared" ref="F81:P81" si="163">F79/(F78/F46)</f>
        <v>224.51745012430541</v>
      </c>
      <c r="G81" s="116">
        <f t="shared" si="163"/>
        <v>222.35851209561423</v>
      </c>
      <c r="H81" s="116">
        <f t="shared" si="163"/>
        <v>219.33216947072049</v>
      </c>
      <c r="I81" s="116">
        <f t="shared" si="163"/>
        <v>212.35858302575303</v>
      </c>
      <c r="J81" s="117">
        <f t="shared" si="163"/>
        <v>202.83777941764993</v>
      </c>
      <c r="K81" s="116">
        <f t="shared" si="163"/>
        <v>200.51640045183092</v>
      </c>
      <c r="L81" s="116">
        <f t="shared" si="163"/>
        <v>209.47446583309662</v>
      </c>
      <c r="M81" s="116">
        <f t="shared" si="163"/>
        <v>211.82200712919368</v>
      </c>
      <c r="N81" s="116">
        <f t="shared" si="163"/>
        <v>176.06682450344741</v>
      </c>
      <c r="O81" s="116">
        <f t="shared" si="163"/>
        <v>193.12429918452082</v>
      </c>
      <c r="P81" s="118">
        <f t="shared" si="163"/>
        <v>210.16474622685971</v>
      </c>
      <c r="Q81" s="119">
        <f>E81</f>
        <v>219.69005251830225</v>
      </c>
      <c r="R81" s="119">
        <f t="shared" ref="R81:AH81" si="164">F81</f>
        <v>224.51745012430541</v>
      </c>
      <c r="S81" s="119">
        <f t="shared" si="164"/>
        <v>222.35851209561423</v>
      </c>
      <c r="T81" s="119">
        <f t="shared" si="164"/>
        <v>219.33216947072049</v>
      </c>
      <c r="U81" s="119">
        <f t="shared" si="164"/>
        <v>212.35858302575303</v>
      </c>
      <c r="V81" s="119">
        <f t="shared" si="164"/>
        <v>202.83777941764993</v>
      </c>
      <c r="W81" s="119">
        <f t="shared" si="164"/>
        <v>200.51640045183092</v>
      </c>
      <c r="X81" s="119">
        <f>L81</f>
        <v>209.47446583309662</v>
      </c>
      <c r="Y81" s="119">
        <f t="shared" si="164"/>
        <v>211.82200712919368</v>
      </c>
      <c r="Z81" s="119">
        <f t="shared" si="164"/>
        <v>176.06682450344741</v>
      </c>
      <c r="AA81" s="119">
        <f t="shared" si="164"/>
        <v>193.12429918452082</v>
      </c>
      <c r="AB81" s="119">
        <f t="shared" si="164"/>
        <v>210.16474622685971</v>
      </c>
      <c r="AC81" s="119">
        <f t="shared" si="164"/>
        <v>219.69005251830225</v>
      </c>
      <c r="AD81" s="119">
        <f t="shared" si="164"/>
        <v>224.51745012430541</v>
      </c>
      <c r="AE81" s="119">
        <f t="shared" si="164"/>
        <v>222.35851209561423</v>
      </c>
      <c r="AF81" s="119">
        <f t="shared" si="164"/>
        <v>219.33216947072049</v>
      </c>
      <c r="AG81" s="119">
        <f t="shared" si="164"/>
        <v>212.35858302575303</v>
      </c>
      <c r="AH81" s="119">
        <f t="shared" si="164"/>
        <v>202.83777941764993</v>
      </c>
      <c r="AJ81" s="116">
        <f t="shared" ref="AJ81:AW81" ca="1" si="165">AJ79/(AJ78/AJ46)</f>
        <v>198.90216828567335</v>
      </c>
      <c r="AK81" s="116">
        <f t="shared" ca="1" si="165"/>
        <v>230.00220088816508</v>
      </c>
      <c r="AL81" s="116">
        <f t="shared" ca="1" si="165"/>
        <v>195.11766127538644</v>
      </c>
      <c r="AM81" s="118">
        <f t="shared" ca="1" si="165"/>
        <v>216.03184075243803</v>
      </c>
      <c r="AN81" s="116">
        <f t="shared" ca="1" si="165"/>
        <v>199.51576863739058</v>
      </c>
      <c r="AO81" s="116">
        <f t="shared" ca="1" si="165"/>
        <v>236.73033546294593</v>
      </c>
      <c r="AP81" s="116">
        <f t="shared" ca="1" si="165"/>
        <v>197.04332557892164</v>
      </c>
      <c r="AQ81" s="116">
        <f t="shared" ca="1" si="165"/>
        <v>213.9985272894985</v>
      </c>
      <c r="AR81" s="116">
        <f t="shared" ca="1" si="165"/>
        <v>199.4219196186846</v>
      </c>
      <c r="AS81" s="116">
        <f t="shared" ca="1" si="165"/>
        <v>236.89119050566268</v>
      </c>
      <c r="AT81" s="116"/>
      <c r="AU81" s="116">
        <f t="shared" ca="1" si="165"/>
        <v>225.47558446503223</v>
      </c>
      <c r="AV81" s="116">
        <f t="shared" ca="1" si="165"/>
        <v>224.17699565208483</v>
      </c>
      <c r="AW81" s="116">
        <f t="shared" ca="1" si="165"/>
        <v>224.17453748173952</v>
      </c>
    </row>
    <row r="82" spans="2:49" x14ac:dyDescent="0.25">
      <c r="P82" s="8"/>
      <c r="AM82" s="8"/>
    </row>
    <row r="83" spans="2:49" x14ac:dyDescent="0.25">
      <c r="C83" s="30" t="s">
        <v>168</v>
      </c>
      <c r="D83" s="30"/>
      <c r="E83" s="45" t="str">
        <f t="shared" ref="E83:AH83" si="166">E$9</f>
        <v>Jul-20A</v>
      </c>
      <c r="F83" s="45" t="str">
        <f t="shared" si="166"/>
        <v>Aug-20A</v>
      </c>
      <c r="G83" s="45" t="str">
        <f t="shared" si="166"/>
        <v>Sep-20A</v>
      </c>
      <c r="H83" s="45" t="str">
        <f t="shared" si="166"/>
        <v>Oct-20A</v>
      </c>
      <c r="I83" s="45" t="str">
        <f t="shared" si="166"/>
        <v>Nov-20A</v>
      </c>
      <c r="J83" s="45" t="str">
        <f t="shared" si="166"/>
        <v>Dec-20A</v>
      </c>
      <c r="K83" s="45" t="str">
        <f t="shared" si="166"/>
        <v>Jan-21A</v>
      </c>
      <c r="L83" s="45" t="str">
        <f t="shared" si="166"/>
        <v>Feb-21A</v>
      </c>
      <c r="M83" s="45" t="str">
        <f t="shared" si="166"/>
        <v>Mar-21A</v>
      </c>
      <c r="N83" s="45" t="str">
        <f t="shared" si="166"/>
        <v>Apr-21A</v>
      </c>
      <c r="O83" s="45" t="str">
        <f t="shared" si="166"/>
        <v>May-21A</v>
      </c>
      <c r="P83" s="46" t="str">
        <f t="shared" si="166"/>
        <v>Jun-21A</v>
      </c>
      <c r="Q83" s="45" t="str">
        <f t="shared" si="166"/>
        <v>Jul-21F</v>
      </c>
      <c r="R83" s="45" t="str">
        <f t="shared" si="166"/>
        <v>Aug-21F</v>
      </c>
      <c r="S83" s="45" t="str">
        <f t="shared" si="166"/>
        <v>Sep-21F</v>
      </c>
      <c r="T83" s="45" t="str">
        <f t="shared" si="166"/>
        <v>Oct-21F</v>
      </c>
      <c r="U83" s="45" t="str">
        <f t="shared" si="166"/>
        <v>Nov-21F</v>
      </c>
      <c r="V83" s="45" t="str">
        <f t="shared" si="166"/>
        <v>Dec-21F</v>
      </c>
      <c r="W83" s="45" t="str">
        <f t="shared" si="166"/>
        <v>Jan-22F</v>
      </c>
      <c r="X83" s="45" t="str">
        <f t="shared" si="166"/>
        <v>Feb-22F</v>
      </c>
      <c r="Y83" s="45" t="str">
        <f t="shared" si="166"/>
        <v>Mar-22F</v>
      </c>
      <c r="Z83" s="45" t="str">
        <f t="shared" si="166"/>
        <v>Apr-22F</v>
      </c>
      <c r="AA83" s="45" t="str">
        <f t="shared" si="166"/>
        <v>May-22F</v>
      </c>
      <c r="AB83" s="45" t="str">
        <f t="shared" si="166"/>
        <v>Jun-22F</v>
      </c>
      <c r="AC83" s="45" t="str">
        <f t="shared" si="166"/>
        <v>Jul-22F</v>
      </c>
      <c r="AD83" s="45" t="str">
        <f t="shared" si="166"/>
        <v>Aug-22F</v>
      </c>
      <c r="AE83" s="45" t="str">
        <f t="shared" si="166"/>
        <v>Sep-22F</v>
      </c>
      <c r="AF83" s="45" t="str">
        <f t="shared" si="166"/>
        <v>Oct-22F</v>
      </c>
      <c r="AG83" s="45" t="str">
        <f t="shared" si="166"/>
        <v>Nov-22F</v>
      </c>
      <c r="AH83" s="45" t="str">
        <f t="shared" si="166"/>
        <v>Dec-22F</v>
      </c>
      <c r="AJ83" s="45" t="str">
        <f ca="1">AJ$10</f>
        <v>Q3'20A</v>
      </c>
      <c r="AK83" s="45" t="str">
        <f t="shared" ref="AK83:AW83" ca="1" si="167">AK$10</f>
        <v>Q4'20A</v>
      </c>
      <c r="AL83" s="45" t="str">
        <f t="shared" ca="1" si="167"/>
        <v>Q1'21A</v>
      </c>
      <c r="AM83" s="46" t="str">
        <f t="shared" ca="1" si="167"/>
        <v>Q2'21A</v>
      </c>
      <c r="AN83" s="45" t="str">
        <f t="shared" ca="1" si="167"/>
        <v>Q3'21F</v>
      </c>
      <c r="AO83" s="45" t="str">
        <f t="shared" ca="1" si="167"/>
        <v>Q4'21F</v>
      </c>
      <c r="AP83" s="45" t="str">
        <f t="shared" ca="1" si="167"/>
        <v>Q1'22F</v>
      </c>
      <c r="AQ83" s="45" t="str">
        <f t="shared" ca="1" si="167"/>
        <v>Q2'22F</v>
      </c>
      <c r="AR83" s="45" t="str">
        <f t="shared" ca="1" si="167"/>
        <v>Q3'22F</v>
      </c>
      <c r="AS83" s="45" t="str">
        <f t="shared" ca="1" si="167"/>
        <v>Q4'22F</v>
      </c>
      <c r="AU83" s="45" t="str">
        <f t="shared" ca="1" si="167"/>
        <v>FY20</v>
      </c>
      <c r="AV83" s="45" t="str">
        <f t="shared" ca="1" si="167"/>
        <v>FY21</v>
      </c>
      <c r="AW83" s="45" t="str">
        <f t="shared" ca="1" si="167"/>
        <v>FY22</v>
      </c>
    </row>
    <row r="84" spans="2:49" x14ac:dyDescent="0.25">
      <c r="C84" s="1" t="s">
        <v>194</v>
      </c>
      <c r="D84" s="1"/>
      <c r="E84" s="61">
        <f>D87</f>
        <v>2841.1877924236569</v>
      </c>
      <c r="F84" s="61">
        <f t="shared" ref="F84:AH84" si="168">E87</f>
        <v>2841.1877924236569</v>
      </c>
      <c r="G84" s="61">
        <f t="shared" si="168"/>
        <v>2841.1877924236569</v>
      </c>
      <c r="H84" s="61">
        <f t="shared" si="168"/>
        <v>2841.1877924236569</v>
      </c>
      <c r="I84" s="61">
        <f t="shared" si="168"/>
        <v>2841.1877924236569</v>
      </c>
      <c r="J84" s="61">
        <f t="shared" si="168"/>
        <v>2841.1877924236569</v>
      </c>
      <c r="K84" s="61">
        <f t="shared" si="168"/>
        <v>2841.1877924236569</v>
      </c>
      <c r="L84" s="61">
        <f t="shared" si="168"/>
        <v>2841.1877924236569</v>
      </c>
      <c r="M84" s="61">
        <f t="shared" si="168"/>
        <v>2841.1877924236569</v>
      </c>
      <c r="N84" s="61">
        <f t="shared" si="168"/>
        <v>2841.1877924236569</v>
      </c>
      <c r="O84" s="61">
        <f t="shared" si="168"/>
        <v>2841.1877924236569</v>
      </c>
      <c r="P84" s="17">
        <f t="shared" si="168"/>
        <v>2841.1877924236569</v>
      </c>
      <c r="Q84" s="15">
        <f t="shared" si="168"/>
        <v>2841.1877924236569</v>
      </c>
      <c r="R84" s="15">
        <f t="shared" si="168"/>
        <v>2841.1877924236569</v>
      </c>
      <c r="S84" s="15">
        <f t="shared" si="168"/>
        <v>2841.1877924236569</v>
      </c>
      <c r="T84" s="15">
        <f t="shared" si="168"/>
        <v>2841.1877924236569</v>
      </c>
      <c r="U84" s="15">
        <f t="shared" si="168"/>
        <v>2841.1877924236569</v>
      </c>
      <c r="V84" s="15">
        <f t="shared" si="168"/>
        <v>2841.1877924236569</v>
      </c>
      <c r="W84" s="104">
        <f t="shared" si="168"/>
        <v>2841.1877924236569</v>
      </c>
      <c r="X84" s="15">
        <f t="shared" si="168"/>
        <v>2841.1877924236569</v>
      </c>
      <c r="Y84" s="15">
        <f t="shared" si="168"/>
        <v>2841.1877924236569</v>
      </c>
      <c r="Z84" s="15">
        <f t="shared" si="168"/>
        <v>2841.1877924236569</v>
      </c>
      <c r="AA84" s="15">
        <f t="shared" si="168"/>
        <v>2841.1877924236569</v>
      </c>
      <c r="AB84" s="15">
        <f t="shared" si="168"/>
        <v>2841.1877924236569</v>
      </c>
      <c r="AC84" s="15">
        <f t="shared" si="168"/>
        <v>2841.1877924236569</v>
      </c>
      <c r="AD84" s="15">
        <f t="shared" si="168"/>
        <v>2841.1877924236569</v>
      </c>
      <c r="AE84" s="15">
        <f t="shared" si="168"/>
        <v>2841.1877924236569</v>
      </c>
      <c r="AF84" s="15">
        <f t="shared" si="168"/>
        <v>2841.1877924236569</v>
      </c>
      <c r="AG84" s="15">
        <f t="shared" si="168"/>
        <v>2841.1877924236569</v>
      </c>
      <c r="AH84" s="15">
        <f t="shared" si="168"/>
        <v>2841.1877924236569</v>
      </c>
      <c r="AJ84" s="15">
        <f ca="1">AJ87+AJ86-AJ85</f>
        <v>2841.1877924236569</v>
      </c>
      <c r="AK84" s="15">
        <f t="shared" ref="AK84" ca="1" si="169">AK87+AK86-AK85</f>
        <v>2841.1877924236569</v>
      </c>
      <c r="AL84" s="15">
        <f t="shared" ref="AL84" ca="1" si="170">AL87+AL86-AL85</f>
        <v>2841.1877924236569</v>
      </c>
      <c r="AM84" s="16">
        <f t="shared" ref="AM84" ca="1" si="171">AM87+AM86-AM85</f>
        <v>2841.1877924236569</v>
      </c>
      <c r="AN84" s="15">
        <f t="shared" ref="AN84" ca="1" si="172">AN87+AN86-AN85</f>
        <v>2841.1877924236569</v>
      </c>
      <c r="AO84" s="15">
        <f t="shared" ref="AO84" ca="1" si="173">AO87+AO86-AO85</f>
        <v>2841.1877924236569</v>
      </c>
      <c r="AP84" s="15">
        <f t="shared" ref="AP84" ca="1" si="174">AP87+AP86-AP85</f>
        <v>2841.1877924236569</v>
      </c>
      <c r="AQ84" s="15">
        <f t="shared" ref="AQ84" ca="1" si="175">AQ87+AQ86-AQ85</f>
        <v>2841.1877924236569</v>
      </c>
      <c r="AR84" s="15">
        <f t="shared" ref="AR84" ca="1" si="176">AR87+AR86-AR85</f>
        <v>2841.1877924236569</v>
      </c>
      <c r="AS84" s="15">
        <f t="shared" ref="AS84" ca="1" si="177">AS87+AS86-AS85</f>
        <v>2841.1877924236569</v>
      </c>
      <c r="AT84" s="15">
        <f t="shared" ref="AT84" si="178">AT87+AT86-AT85</f>
        <v>0</v>
      </c>
      <c r="AU84" s="15">
        <f t="shared" ref="AU84" ca="1" si="179">AU87+AU86-AU85</f>
        <v>2841.1877924236569</v>
      </c>
      <c r="AV84" s="15">
        <f t="shared" ref="AV84" ca="1" si="180">AV87+AV86-AV85</f>
        <v>2841.1877924236569</v>
      </c>
      <c r="AW84" s="15">
        <f t="shared" ref="AW84" ca="1" si="181">AW87+AW86-AW85</f>
        <v>2841.1877924236569</v>
      </c>
    </row>
    <row r="85" spans="2:49" x14ac:dyDescent="0.25">
      <c r="C85" s="108" t="s">
        <v>204</v>
      </c>
      <c r="D85" s="1"/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2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J85" s="15" cm="1">
        <f t="array" aca="1" ref="AJ85" ca="1">SUMPRODUCT(($E85:$AH85)*(AJ$3&amp;AJ$4&amp;AJ$5&amp;AJ$6=$E$3:$AH$3&amp;$E$4:$AH$4&amp;$E$5:$AH$5&amp;$E$6:$AH$6))</f>
        <v>0</v>
      </c>
      <c r="AK85" s="15" cm="1">
        <f t="array" aca="1" ref="AK85" ca="1">SUMPRODUCT(($E85:$AH85)*(AK$3=$E$3:$AH$3)*(AK$4=$E$4:$AH$4)*(AK$5=$E$5:$AH$5)*(AK$6=$E$6:$AH$6))</f>
        <v>0</v>
      </c>
      <c r="AL85" s="15" cm="1">
        <f t="array" aca="1" ref="AL85" ca="1">SUMPRODUCT(($E85:$AH85)*(AL$3=$E$3:$AH$3)*(AL$4=$E$4:$AH$4)*(AL$5=$E$5:$AH$5)*(AL$6=$E$6:$AH$6))</f>
        <v>0</v>
      </c>
      <c r="AM85" s="16" cm="1">
        <f t="array" aca="1" ref="AM85" ca="1">SUMPRODUCT(($E85:$AH85)*(AM$3=$E$3:$AH$3)*(AM$4=$E$4:$AH$4)*(AM$5=$E$5:$AH$5)*(AM$6=$E$6:$AH$6))</f>
        <v>0</v>
      </c>
      <c r="AN85" s="15" cm="1">
        <f t="array" aca="1" ref="AN85" ca="1">SUMPRODUCT(($E85:$AH85)*(AN$3=$E$3:$AH$3)*(AN$4=$E$4:$AH$4)*(AN$5=$E$5:$AH$5)*(AN$6=$E$6:$AH$6))</f>
        <v>0</v>
      </c>
      <c r="AO85" s="15" cm="1">
        <f t="array" aca="1" ref="AO85" ca="1">SUMPRODUCT(($E85:$AH85)*(AO$3=$E$3:$AH$3)*(AO$4=$E$4:$AH$4)*(AO$5=$E$5:$AH$5)*(AO$6=$E$6:$AH$6))</f>
        <v>0</v>
      </c>
      <c r="AP85" s="15" cm="1">
        <f t="array" aca="1" ref="AP85" ca="1">SUMPRODUCT(($E85:$AH85)*(AP$3=$E$3:$AH$3)*(AP$4=$E$4:$AH$4)*(AP$5=$E$5:$AH$5)*(AP$6=$E$6:$AH$6))</f>
        <v>0</v>
      </c>
      <c r="AQ85" s="15" cm="1">
        <f t="array" aca="1" ref="AQ85" ca="1">SUMPRODUCT(($E85:$AH85)*(AQ$3=$E$3:$AH$3)*(AQ$4=$E$4:$AH$4)*(AQ$5=$E$5:$AH$5)*(AQ$6=$E$6:$AH$6))</f>
        <v>0</v>
      </c>
      <c r="AR85" s="15" cm="1">
        <f t="array" aca="1" ref="AR85" ca="1">SUMPRODUCT(($E85:$AH85)*(AR$3=$E$3:$AH$3)*(AR$4=$E$4:$AH$4)*(AR$5=$E$5:$AH$5)*(AR$6=$E$6:$AH$6))</f>
        <v>0</v>
      </c>
      <c r="AS85" s="15" cm="1">
        <f t="array" aca="1" ref="AS85" ca="1">SUMPRODUCT(($E85:$AH85)*(AS$3=$E$3:$AH$3)*(AS$4=$E$4:$AH$4)*(AS$5=$E$5:$AH$5)*(AS$6=$E$6:$AH$6))</f>
        <v>0</v>
      </c>
      <c r="AU85" s="15" cm="1">
        <f t="array" aca="1" ref="AU85" ca="1">SUMPRODUCT(($E85:$AH85)*(AU$5=$E$5:$AH$5))</f>
        <v>0</v>
      </c>
      <c r="AV85" s="15" cm="1">
        <f t="array" aca="1" ref="AV85" ca="1">SUMPRODUCT(($E85:$AH85)*(AV$5=$E$5:$AH$5))</f>
        <v>0</v>
      </c>
      <c r="AW85" s="15" cm="1">
        <f t="array" aca="1" ref="AW85" ca="1">SUMPRODUCT(($E85:$AH85)*(AW$5=$E$5:$AH$5))</f>
        <v>0</v>
      </c>
    </row>
    <row r="86" spans="2:49" x14ac:dyDescent="0.25">
      <c r="C86" s="109" t="s">
        <v>205</v>
      </c>
      <c r="D86" s="23"/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0</v>
      </c>
      <c r="P86" s="39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J86" s="29" cm="1">
        <f t="array" aca="1" ref="AJ86" ca="1">SUMPRODUCT(($E86:$AH86)*(AJ$3&amp;AJ$4&amp;AJ$5&amp;AJ$6=$E$3:$AH$3&amp;$E$4:$AH$4&amp;$E$5:$AH$5&amp;$E$6:$AH$6))</f>
        <v>0</v>
      </c>
      <c r="AK86" s="29" cm="1">
        <f t="array" aca="1" ref="AK86" ca="1">SUMPRODUCT(($E86:$AH86)*(AK$3=$E$3:$AH$3)*(AK$4=$E$4:$AH$4)*(AK$5=$E$5:$AH$5)*(AK$6=$E$6:$AH$6))</f>
        <v>0</v>
      </c>
      <c r="AL86" s="29" cm="1">
        <f t="array" aca="1" ref="AL86" ca="1">SUMPRODUCT(($E86:$AH86)*(AL$3=$E$3:$AH$3)*(AL$4=$E$4:$AH$4)*(AL$5=$E$5:$AH$5)*(AL$6=$E$6:$AH$6))</f>
        <v>0</v>
      </c>
      <c r="AM86" s="240" cm="1">
        <f t="array" aca="1" ref="AM86" ca="1">SUMPRODUCT(($E86:$AH86)*(AM$3=$E$3:$AH$3)*(AM$4=$E$4:$AH$4)*(AM$5=$E$5:$AH$5)*(AM$6=$E$6:$AH$6))</f>
        <v>0</v>
      </c>
      <c r="AN86" s="29" cm="1">
        <f t="array" aca="1" ref="AN86" ca="1">SUMPRODUCT(($E86:$AH86)*(AN$3=$E$3:$AH$3)*(AN$4=$E$4:$AH$4)*(AN$5=$E$5:$AH$5)*(AN$6=$E$6:$AH$6))</f>
        <v>0</v>
      </c>
      <c r="AO86" s="29" cm="1">
        <f t="array" aca="1" ref="AO86" ca="1">SUMPRODUCT(($E86:$AH86)*(AO$3=$E$3:$AH$3)*(AO$4=$E$4:$AH$4)*(AO$5=$E$5:$AH$5)*(AO$6=$E$6:$AH$6))</f>
        <v>0</v>
      </c>
      <c r="AP86" s="29" cm="1">
        <f t="array" aca="1" ref="AP86" ca="1">SUMPRODUCT(($E86:$AH86)*(AP$3=$E$3:$AH$3)*(AP$4=$E$4:$AH$4)*(AP$5=$E$5:$AH$5)*(AP$6=$E$6:$AH$6))</f>
        <v>0</v>
      </c>
      <c r="AQ86" s="29" cm="1">
        <f t="array" aca="1" ref="AQ86" ca="1">SUMPRODUCT(($E86:$AH86)*(AQ$3=$E$3:$AH$3)*(AQ$4=$E$4:$AH$4)*(AQ$5=$E$5:$AH$5)*(AQ$6=$E$6:$AH$6))</f>
        <v>0</v>
      </c>
      <c r="AR86" s="29" cm="1">
        <f t="array" aca="1" ref="AR86" ca="1">SUMPRODUCT(($E86:$AH86)*(AR$3=$E$3:$AH$3)*(AR$4=$E$4:$AH$4)*(AR$5=$E$5:$AH$5)*(AR$6=$E$6:$AH$6))</f>
        <v>0</v>
      </c>
      <c r="AS86" s="29" cm="1">
        <f t="array" aca="1" ref="AS86" ca="1">SUMPRODUCT(($E86:$AH86)*(AS$3=$E$3:$AH$3)*(AS$4=$E$4:$AH$4)*(AS$5=$E$5:$AH$5)*(AS$6=$E$6:$AH$6))</f>
        <v>0</v>
      </c>
      <c r="AU86" s="29" cm="1">
        <f t="array" aca="1" ref="AU86" ca="1">SUMPRODUCT(($E86:$AH86)*(AU$5=$E$5:$AH$5))</f>
        <v>0</v>
      </c>
      <c r="AV86" s="29" cm="1">
        <f t="array" aca="1" ref="AV86" ca="1">SUMPRODUCT(($E86:$AH86)*(AV$5=$E$5:$AH$5))</f>
        <v>0</v>
      </c>
      <c r="AW86" s="29" cm="1">
        <f t="array" aca="1" ref="AW86" ca="1">SUMPRODUCT(($E86:$AH86)*(AW$5=$E$5:$AH$5))</f>
        <v>0</v>
      </c>
    </row>
    <row r="87" spans="2:49" x14ac:dyDescent="0.25">
      <c r="B87" t="s">
        <v>231</v>
      </c>
      <c r="C87" s="2" t="s">
        <v>195</v>
      </c>
      <c r="D87" s="37">
        <v>2841.1877924236569</v>
      </c>
      <c r="E87" s="31">
        <v>2841.1877924236569</v>
      </c>
      <c r="F87" s="31">
        <v>2841.1877924236569</v>
      </c>
      <c r="G87" s="31">
        <v>2841.1877924236569</v>
      </c>
      <c r="H87" s="31">
        <v>2841.1877924236569</v>
      </c>
      <c r="I87" s="31">
        <v>2841.1877924236569</v>
      </c>
      <c r="J87" s="37">
        <v>2841.1877924236569</v>
      </c>
      <c r="K87" s="31">
        <v>2841.1877924236569</v>
      </c>
      <c r="L87" s="31">
        <v>2841.1877924236569</v>
      </c>
      <c r="M87" s="31">
        <v>2841.1877924236569</v>
      </c>
      <c r="N87" s="31">
        <v>2841.1877924236569</v>
      </c>
      <c r="O87" s="31">
        <v>2841.1877924236569</v>
      </c>
      <c r="P87" s="32">
        <v>2841.1877924236569</v>
      </c>
      <c r="Q87" s="15">
        <f t="shared" ref="Q87:AH87" si="182">Q84+Q85-Q86</f>
        <v>2841.1877924236569</v>
      </c>
      <c r="R87" s="15">
        <f t="shared" si="182"/>
        <v>2841.1877924236569</v>
      </c>
      <c r="S87" s="15">
        <f t="shared" si="182"/>
        <v>2841.1877924236569</v>
      </c>
      <c r="T87" s="15">
        <f t="shared" si="182"/>
        <v>2841.1877924236569</v>
      </c>
      <c r="U87" s="15">
        <f t="shared" si="182"/>
        <v>2841.1877924236569</v>
      </c>
      <c r="V87" s="15">
        <f t="shared" si="182"/>
        <v>2841.1877924236569</v>
      </c>
      <c r="W87" s="15">
        <f t="shared" si="182"/>
        <v>2841.1877924236569</v>
      </c>
      <c r="X87" s="15">
        <f t="shared" si="182"/>
        <v>2841.1877924236569</v>
      </c>
      <c r="Y87" s="15">
        <f t="shared" si="182"/>
        <v>2841.1877924236569</v>
      </c>
      <c r="Z87" s="15">
        <f t="shared" si="182"/>
        <v>2841.1877924236569</v>
      </c>
      <c r="AA87" s="15">
        <f t="shared" si="182"/>
        <v>2841.1877924236569</v>
      </c>
      <c r="AB87" s="15">
        <f t="shared" si="182"/>
        <v>2841.1877924236569</v>
      </c>
      <c r="AC87" s="15">
        <f t="shared" si="182"/>
        <v>2841.1877924236569</v>
      </c>
      <c r="AD87" s="15">
        <f t="shared" si="182"/>
        <v>2841.1877924236569</v>
      </c>
      <c r="AE87" s="15">
        <f t="shared" si="182"/>
        <v>2841.1877924236569</v>
      </c>
      <c r="AF87" s="15">
        <f t="shared" si="182"/>
        <v>2841.1877924236569</v>
      </c>
      <c r="AG87" s="15">
        <f t="shared" si="182"/>
        <v>2841.1877924236569</v>
      </c>
      <c r="AH87" s="15">
        <f t="shared" si="182"/>
        <v>2841.1877924236569</v>
      </c>
      <c r="AJ87" s="15" cm="1">
        <f t="array" aca="1" ref="AJ87" ca="1">INDEX($E87:$AH87,1,MATCH(AJ$3&amp;AJ$4&amp;AJ$5&amp;AJ$6,$E$3:$AH$3&amp;$E$4:$AH$4&amp;$E$5:$AH$5&amp;$E$6:$AH$6,1))</f>
        <v>2841.1877924236569</v>
      </c>
      <c r="AK87" s="15" cm="1">
        <f t="array" aca="1" ref="AK87" ca="1">INDEX($E87:$AH87,1,MATCH(AK$3&amp;AK$4&amp;AK$5&amp;AK$6,$E$3:$AH$3&amp;$E$4:$AH$4&amp;$E$5:$AH$5&amp;$E$6:$AH$6,1))</f>
        <v>2841.1877924236569</v>
      </c>
      <c r="AL87" s="15" cm="1">
        <f t="array" aca="1" ref="AL87" ca="1">INDEX($E87:$AH87,1,MATCH(AL$3&amp;AL$4&amp;AL$5&amp;AL$6,$E$3:$AH$3&amp;$E$4:$AH$4&amp;$E$5:$AH$5&amp;$E$6:$AH$6,1))</f>
        <v>2841.1877924236569</v>
      </c>
      <c r="AM87" s="16" cm="1">
        <f t="array" aca="1" ref="AM87" ca="1">INDEX($E87:$AH87,1,MATCH(AM$3&amp;AM$4&amp;AM$5&amp;AM$6,$E$3:$AH$3&amp;$E$4:$AH$4&amp;$E$5:$AH$5&amp;$E$6:$AH$6,1))</f>
        <v>2841.1877924236569</v>
      </c>
      <c r="AN87" s="15" cm="1">
        <f t="array" aca="1" ref="AN87" ca="1">INDEX($E87:$AH87,1,MATCH(AN$3&amp;AN$4&amp;AN$5&amp;AN$6,$E$3:$AH$3&amp;$E$4:$AH$4&amp;$E$5:$AH$5&amp;$E$6:$AH$6,1))</f>
        <v>2841.1877924236569</v>
      </c>
      <c r="AO87" s="15" cm="1">
        <f t="array" aca="1" ref="AO87" ca="1">INDEX($E87:$AH87,1,MATCH(AO$3&amp;AO$4&amp;AO$5&amp;AO$6,$E$3:$AH$3&amp;$E$4:$AH$4&amp;$E$5:$AH$5&amp;$E$6:$AH$6,1))</f>
        <v>2841.1877924236569</v>
      </c>
      <c r="AP87" s="15" cm="1">
        <f t="array" aca="1" ref="AP87" ca="1">INDEX($E87:$AH87,1,MATCH(AP$3&amp;AP$4&amp;AP$5&amp;AP$6,$E$3:$AH$3&amp;$E$4:$AH$4&amp;$E$5:$AH$5&amp;$E$6:$AH$6,1))</f>
        <v>2841.1877924236569</v>
      </c>
      <c r="AQ87" s="15" cm="1">
        <f t="array" aca="1" ref="AQ87" ca="1">INDEX($E87:$AH87,1,MATCH(AQ$3&amp;AQ$4&amp;AQ$5&amp;AQ$6,$E$3:$AH$3&amp;$E$4:$AH$4&amp;$E$5:$AH$5&amp;$E$6:$AH$6,1))</f>
        <v>2841.1877924236569</v>
      </c>
      <c r="AR87" s="15" cm="1">
        <f t="array" aca="1" ref="AR87" ca="1">INDEX($E87:$AH87,1,MATCH(AR$3&amp;AR$4&amp;AR$5&amp;AR$6,$E$3:$AH$3&amp;$E$4:$AH$4&amp;$E$5:$AH$5&amp;$E$6:$AH$6,1))</f>
        <v>2841.1877924236569</v>
      </c>
      <c r="AS87" s="15" cm="1">
        <f t="array" aca="1" ref="AS87" ca="1">INDEX($E87:$AH87,1,MATCH(AS$3&amp;AS$4&amp;AS$5&amp;AS$6,$E$3:$AH$3&amp;$E$4:$AH$4&amp;$E$5:$AH$5&amp;$E$6:$AH$6,1))</f>
        <v>2841.1877924236569</v>
      </c>
      <c r="AU87" s="13">
        <f ca="1">INDEX($E87:$AH87,1,MATCH(AU$5,$E$5:$AH$5,1))</f>
        <v>2841.1877924236569</v>
      </c>
      <c r="AV87" s="13">
        <f t="shared" ref="AV87:AW87" ca="1" si="183">INDEX($E87:$AH87,1,MATCH(AV$5,$E$5:$AH$5,1))</f>
        <v>2841.1877924236569</v>
      </c>
      <c r="AW87" s="13">
        <f t="shared" ca="1" si="183"/>
        <v>2841.1877924236569</v>
      </c>
    </row>
    <row r="88" spans="2:49" x14ac:dyDescent="0.25">
      <c r="P88" s="8"/>
      <c r="AM88" s="8"/>
    </row>
    <row r="89" spans="2:49" x14ac:dyDescent="0.25">
      <c r="C89" s="30" t="s">
        <v>166</v>
      </c>
      <c r="D89" s="30"/>
      <c r="E89" s="45" t="str">
        <f t="shared" ref="E89:AH89" si="184">E$9</f>
        <v>Jul-20A</v>
      </c>
      <c r="F89" s="45" t="str">
        <f t="shared" si="184"/>
        <v>Aug-20A</v>
      </c>
      <c r="G89" s="45" t="str">
        <f t="shared" si="184"/>
        <v>Sep-20A</v>
      </c>
      <c r="H89" s="45" t="str">
        <f t="shared" si="184"/>
        <v>Oct-20A</v>
      </c>
      <c r="I89" s="45" t="str">
        <f t="shared" si="184"/>
        <v>Nov-20A</v>
      </c>
      <c r="J89" s="45" t="str">
        <f t="shared" si="184"/>
        <v>Dec-20A</v>
      </c>
      <c r="K89" s="45" t="str">
        <f t="shared" si="184"/>
        <v>Jan-21A</v>
      </c>
      <c r="L89" s="45" t="str">
        <f t="shared" si="184"/>
        <v>Feb-21A</v>
      </c>
      <c r="M89" s="45" t="str">
        <f t="shared" si="184"/>
        <v>Mar-21A</v>
      </c>
      <c r="N89" s="45" t="str">
        <f t="shared" si="184"/>
        <v>Apr-21A</v>
      </c>
      <c r="O89" s="45" t="str">
        <f t="shared" si="184"/>
        <v>May-21A</v>
      </c>
      <c r="P89" s="46" t="str">
        <f t="shared" si="184"/>
        <v>Jun-21A</v>
      </c>
      <c r="Q89" s="45" t="str">
        <f t="shared" si="184"/>
        <v>Jul-21F</v>
      </c>
      <c r="R89" s="45" t="str">
        <f t="shared" si="184"/>
        <v>Aug-21F</v>
      </c>
      <c r="S89" s="45" t="str">
        <f t="shared" si="184"/>
        <v>Sep-21F</v>
      </c>
      <c r="T89" s="45" t="str">
        <f t="shared" si="184"/>
        <v>Oct-21F</v>
      </c>
      <c r="U89" s="45" t="str">
        <f t="shared" si="184"/>
        <v>Nov-21F</v>
      </c>
      <c r="V89" s="45" t="str">
        <f t="shared" si="184"/>
        <v>Dec-21F</v>
      </c>
      <c r="W89" s="45" t="str">
        <f t="shared" si="184"/>
        <v>Jan-22F</v>
      </c>
      <c r="X89" s="45" t="str">
        <f t="shared" si="184"/>
        <v>Feb-22F</v>
      </c>
      <c r="Y89" s="45" t="str">
        <f t="shared" si="184"/>
        <v>Mar-22F</v>
      </c>
      <c r="Z89" s="45" t="str">
        <f t="shared" si="184"/>
        <v>Apr-22F</v>
      </c>
      <c r="AA89" s="45" t="str">
        <f t="shared" si="184"/>
        <v>May-22F</v>
      </c>
      <c r="AB89" s="45" t="str">
        <f t="shared" si="184"/>
        <v>Jun-22F</v>
      </c>
      <c r="AC89" s="45" t="str">
        <f t="shared" si="184"/>
        <v>Jul-22F</v>
      </c>
      <c r="AD89" s="45" t="str">
        <f t="shared" si="184"/>
        <v>Aug-22F</v>
      </c>
      <c r="AE89" s="45" t="str">
        <f t="shared" si="184"/>
        <v>Sep-22F</v>
      </c>
      <c r="AF89" s="45" t="str">
        <f t="shared" si="184"/>
        <v>Oct-22F</v>
      </c>
      <c r="AG89" s="45" t="str">
        <f t="shared" si="184"/>
        <v>Nov-22F</v>
      </c>
      <c r="AH89" s="45" t="str">
        <f t="shared" si="184"/>
        <v>Dec-22F</v>
      </c>
      <c r="AJ89" s="45" t="str">
        <f ca="1">AJ$10</f>
        <v>Q3'20A</v>
      </c>
      <c r="AK89" s="45" t="str">
        <f t="shared" ref="AK89:AW89" ca="1" si="185">AK$10</f>
        <v>Q4'20A</v>
      </c>
      <c r="AL89" s="45" t="str">
        <f t="shared" ca="1" si="185"/>
        <v>Q1'21A</v>
      </c>
      <c r="AM89" s="46" t="str">
        <f t="shared" ca="1" si="185"/>
        <v>Q2'21A</v>
      </c>
      <c r="AN89" s="45" t="str">
        <f t="shared" ca="1" si="185"/>
        <v>Q3'21F</v>
      </c>
      <c r="AO89" s="45" t="str">
        <f t="shared" ca="1" si="185"/>
        <v>Q4'21F</v>
      </c>
      <c r="AP89" s="45" t="str">
        <f t="shared" ca="1" si="185"/>
        <v>Q1'22F</v>
      </c>
      <c r="AQ89" s="45" t="str">
        <f t="shared" ca="1" si="185"/>
        <v>Q2'22F</v>
      </c>
      <c r="AR89" s="45" t="str">
        <f t="shared" ca="1" si="185"/>
        <v>Q3'22F</v>
      </c>
      <c r="AS89" s="45" t="str">
        <f t="shared" ca="1" si="185"/>
        <v>Q4'22F</v>
      </c>
      <c r="AU89" s="45" t="str">
        <f t="shared" ca="1" si="185"/>
        <v>FY20</v>
      </c>
      <c r="AV89" s="45" t="str">
        <f t="shared" ca="1" si="185"/>
        <v>FY21</v>
      </c>
      <c r="AW89" s="45" t="str">
        <f t="shared" ca="1" si="185"/>
        <v>FY22</v>
      </c>
    </row>
    <row r="90" spans="2:49" x14ac:dyDescent="0.25">
      <c r="C90" s="1" t="s">
        <v>194</v>
      </c>
      <c r="D90" s="1"/>
      <c r="E90" s="61">
        <f>D93</f>
        <v>821.25613741325105</v>
      </c>
      <c r="F90" s="61">
        <f t="shared" ref="F90:AH90" si="186">E93</f>
        <v>846.17883734679185</v>
      </c>
      <c r="G90" s="61">
        <f t="shared" si="186"/>
        <v>871.10153728033265</v>
      </c>
      <c r="H90" s="61">
        <f t="shared" si="186"/>
        <v>896.02423721387345</v>
      </c>
      <c r="I90" s="61">
        <f t="shared" si="186"/>
        <v>920.94693714741425</v>
      </c>
      <c r="J90" s="61">
        <f t="shared" si="186"/>
        <v>945.86963708095504</v>
      </c>
      <c r="K90" s="61">
        <f t="shared" si="186"/>
        <v>970.79233701449584</v>
      </c>
      <c r="L90" s="61">
        <f t="shared" si="186"/>
        <v>995.71503694803664</v>
      </c>
      <c r="M90" s="61">
        <f t="shared" si="186"/>
        <v>1020.6377368815774</v>
      </c>
      <c r="N90" s="61">
        <f t="shared" si="186"/>
        <v>1045.5604368151182</v>
      </c>
      <c r="O90" s="61">
        <f t="shared" si="186"/>
        <v>1070.483136748659</v>
      </c>
      <c r="P90" s="17">
        <f t="shared" si="186"/>
        <v>1095.4058366821998</v>
      </c>
      <c r="Q90" s="15">
        <f t="shared" si="186"/>
        <v>1120.3285366157406</v>
      </c>
      <c r="R90" s="15">
        <f t="shared" si="186"/>
        <v>1145.2512365492814</v>
      </c>
      <c r="S90" s="15">
        <f t="shared" si="186"/>
        <v>1170.1739364828222</v>
      </c>
      <c r="T90" s="15">
        <f t="shared" si="186"/>
        <v>1195.096636416363</v>
      </c>
      <c r="U90" s="15">
        <f t="shared" si="186"/>
        <v>1220.0193363499038</v>
      </c>
      <c r="V90" s="15">
        <f t="shared" si="186"/>
        <v>1244.9420362834446</v>
      </c>
      <c r="W90" s="104">
        <f t="shared" si="186"/>
        <v>1269.8647362169854</v>
      </c>
      <c r="X90" s="15">
        <f t="shared" si="186"/>
        <v>1294.7874361505262</v>
      </c>
      <c r="Y90" s="15">
        <f t="shared" si="186"/>
        <v>1319.710136084067</v>
      </c>
      <c r="Z90" s="15">
        <f t="shared" si="186"/>
        <v>1344.6328360176078</v>
      </c>
      <c r="AA90" s="15">
        <f t="shared" si="186"/>
        <v>1369.5555359511486</v>
      </c>
      <c r="AB90" s="15">
        <f t="shared" si="186"/>
        <v>1394.4782358846894</v>
      </c>
      <c r="AC90" s="15">
        <f t="shared" si="186"/>
        <v>1419.4009358182302</v>
      </c>
      <c r="AD90" s="15">
        <f t="shared" si="186"/>
        <v>1444.323635751771</v>
      </c>
      <c r="AE90" s="15">
        <f t="shared" si="186"/>
        <v>1469.2463356853118</v>
      </c>
      <c r="AF90" s="15">
        <f t="shared" si="186"/>
        <v>1494.1690356188526</v>
      </c>
      <c r="AG90" s="15">
        <f t="shared" si="186"/>
        <v>1519.0917355523934</v>
      </c>
      <c r="AH90" s="15">
        <f t="shared" si="186"/>
        <v>1544.0144354859342</v>
      </c>
      <c r="AJ90" s="15">
        <f ca="1">AJ93+AJ92-AJ91</f>
        <v>821.25613741325094</v>
      </c>
      <c r="AK90" s="15">
        <f t="shared" ref="AK90" ca="1" si="187">AK93+AK92-AK91</f>
        <v>896.02423721387333</v>
      </c>
      <c r="AL90" s="15">
        <f t="shared" ref="AL90" ca="1" si="188">AL93+AL92-AL91</f>
        <v>970.79233701449573</v>
      </c>
      <c r="AM90" s="16">
        <f t="shared" ref="AM90" ca="1" si="189">AM93+AM92-AM91</f>
        <v>1045.560436815118</v>
      </c>
      <c r="AN90" s="15">
        <f t="shared" ref="AN90" ca="1" si="190">AN93+AN92-AN91</f>
        <v>1120.3285366157404</v>
      </c>
      <c r="AO90" s="15">
        <f t="shared" ref="AO90" ca="1" si="191">AO93+AO92-AO91</f>
        <v>1195.0966364163628</v>
      </c>
      <c r="AP90" s="15">
        <f t="shared" ref="AP90" ca="1" si="192">AP93+AP92-AP91</f>
        <v>1269.8647362169852</v>
      </c>
      <c r="AQ90" s="15">
        <f t="shared" ref="AQ90" ca="1" si="193">AQ93+AQ92-AQ91</f>
        <v>1344.6328360176076</v>
      </c>
      <c r="AR90" s="15">
        <f t="shared" ref="AR90" ca="1" si="194">AR93+AR92-AR91</f>
        <v>1419.40093581823</v>
      </c>
      <c r="AS90" s="15">
        <f t="shared" ref="AS90" ca="1" si="195">AS93+AS92-AS91</f>
        <v>1494.1690356188524</v>
      </c>
      <c r="AT90" s="15">
        <f t="shared" ref="AT90" si="196">AT93+AT92-AT91</f>
        <v>0</v>
      </c>
      <c r="AU90" s="15">
        <f t="shared" ref="AU90" ca="1" si="197">AU93+AU92-AU91</f>
        <v>821.25613741325071</v>
      </c>
      <c r="AV90" s="15">
        <f t="shared" ref="AV90" ca="1" si="198">AV93+AV92-AV91</f>
        <v>970.79233701449516</v>
      </c>
      <c r="AW90" s="15">
        <f t="shared" ref="AW90" ca="1" si="199">AW93+AW92-AW91</f>
        <v>1269.8647362169847</v>
      </c>
    </row>
    <row r="91" spans="2:49" x14ac:dyDescent="0.25">
      <c r="C91" s="108" t="s">
        <v>206</v>
      </c>
      <c r="D91" s="1"/>
      <c r="E91" s="56">
        <f>Expense!E50</f>
        <v>24.922699933540848</v>
      </c>
      <c r="F91" s="56">
        <f>Expense!F50</f>
        <v>24.922699933540848</v>
      </c>
      <c r="G91" s="56">
        <f>Expense!G50</f>
        <v>24.922699933540848</v>
      </c>
      <c r="H91" s="56">
        <f>Expense!H50</f>
        <v>24.922699933540848</v>
      </c>
      <c r="I91" s="56">
        <f>Expense!I50</f>
        <v>24.922699933540848</v>
      </c>
      <c r="J91" s="56">
        <f>Expense!J50</f>
        <v>24.922699933540848</v>
      </c>
      <c r="K91" s="56">
        <f>Expense!K50</f>
        <v>24.922699933540848</v>
      </c>
      <c r="L91" s="56">
        <f>Expense!L50</f>
        <v>24.922699933540848</v>
      </c>
      <c r="M91" s="56">
        <f>Expense!M50</f>
        <v>24.922699933540848</v>
      </c>
      <c r="N91" s="56">
        <f>Expense!N50</f>
        <v>24.922699933540848</v>
      </c>
      <c r="O91" s="56">
        <f>Expense!O50</f>
        <v>24.922699933540848</v>
      </c>
      <c r="P91" s="34">
        <f>Expense!P50</f>
        <v>24.922699933540848</v>
      </c>
      <c r="Q91" s="33">
        <f>Expense!Q50</f>
        <v>24.922699933540848</v>
      </c>
      <c r="R91" s="33">
        <f>Expense!R50</f>
        <v>24.922699933540848</v>
      </c>
      <c r="S91" s="33">
        <f>Expense!S50</f>
        <v>24.922699933540848</v>
      </c>
      <c r="T91" s="33">
        <f>Expense!T50</f>
        <v>24.922699933540848</v>
      </c>
      <c r="U91" s="33">
        <f>Expense!U50</f>
        <v>24.922699933540848</v>
      </c>
      <c r="V91" s="33">
        <f>Expense!V50</f>
        <v>24.922699933540848</v>
      </c>
      <c r="W91" s="33">
        <f>Expense!W50</f>
        <v>24.922699933540848</v>
      </c>
      <c r="X91" s="33">
        <f>Expense!X50</f>
        <v>24.922699933540848</v>
      </c>
      <c r="Y91" s="33">
        <f>Expense!Y50</f>
        <v>24.922699933540848</v>
      </c>
      <c r="Z91" s="33">
        <f>Expense!Z50</f>
        <v>24.922699933540848</v>
      </c>
      <c r="AA91" s="33">
        <f>Expense!AA50</f>
        <v>24.922699933540848</v>
      </c>
      <c r="AB91" s="33">
        <f>Expense!AB50</f>
        <v>24.922699933540848</v>
      </c>
      <c r="AC91" s="33">
        <f>Expense!AC50</f>
        <v>24.922699933540848</v>
      </c>
      <c r="AD91" s="33">
        <f>Expense!AD50</f>
        <v>24.922699933540848</v>
      </c>
      <c r="AE91" s="33">
        <f>Expense!AE50</f>
        <v>24.922699933540848</v>
      </c>
      <c r="AF91" s="33">
        <f>Expense!AF50</f>
        <v>24.922699933540848</v>
      </c>
      <c r="AG91" s="33">
        <f>Expense!AG50</f>
        <v>24.922699933540848</v>
      </c>
      <c r="AH91" s="33">
        <f>Expense!AH50</f>
        <v>24.922699933540848</v>
      </c>
      <c r="AJ91" s="15" cm="1">
        <f t="array" aca="1" ref="AJ91" ca="1">SUMPRODUCT(($E91:$AH91)*(AJ$3&amp;AJ$4&amp;AJ$5&amp;AJ$6=$E$3:$AH$3&amp;$E$4:$AH$4&amp;$E$5:$AH$5&amp;$E$6:$AH$6))</f>
        <v>74.768099800622537</v>
      </c>
      <c r="AK91" s="15" cm="1">
        <f t="array" aca="1" ref="AK91" ca="1">SUMPRODUCT(($E91:$AH91)*(AK$3=$E$3:$AH$3)*(AK$4=$E$4:$AH$4)*(AK$5=$E$5:$AH$5)*(AK$6=$E$6:$AH$6))</f>
        <v>74.768099800622537</v>
      </c>
      <c r="AL91" s="15" cm="1">
        <f t="array" aca="1" ref="AL91" ca="1">SUMPRODUCT(($E91:$AH91)*(AL$3=$E$3:$AH$3)*(AL$4=$E$4:$AH$4)*(AL$5=$E$5:$AH$5)*(AL$6=$E$6:$AH$6))</f>
        <v>74.768099800622537</v>
      </c>
      <c r="AM91" s="16" cm="1">
        <f t="array" aca="1" ref="AM91" ca="1">SUMPRODUCT(($E91:$AH91)*(AM$3=$E$3:$AH$3)*(AM$4=$E$4:$AH$4)*(AM$5=$E$5:$AH$5)*(AM$6=$E$6:$AH$6))</f>
        <v>74.768099800622537</v>
      </c>
      <c r="AN91" s="15" cm="1">
        <f t="array" aca="1" ref="AN91" ca="1">SUMPRODUCT(($E91:$AH91)*(AN$3=$E$3:$AH$3)*(AN$4=$E$4:$AH$4)*(AN$5=$E$5:$AH$5)*(AN$6=$E$6:$AH$6))</f>
        <v>74.768099800622537</v>
      </c>
      <c r="AO91" s="15" cm="1">
        <f t="array" aca="1" ref="AO91" ca="1">SUMPRODUCT(($E91:$AH91)*(AO$3=$E$3:$AH$3)*(AO$4=$E$4:$AH$4)*(AO$5=$E$5:$AH$5)*(AO$6=$E$6:$AH$6))</f>
        <v>74.768099800622537</v>
      </c>
      <c r="AP91" s="15" cm="1">
        <f t="array" aca="1" ref="AP91" ca="1">SUMPRODUCT(($E91:$AH91)*(AP$3=$E$3:$AH$3)*(AP$4=$E$4:$AH$4)*(AP$5=$E$5:$AH$5)*(AP$6=$E$6:$AH$6))</f>
        <v>74.768099800622537</v>
      </c>
      <c r="AQ91" s="15" cm="1">
        <f t="array" aca="1" ref="AQ91" ca="1">SUMPRODUCT(($E91:$AH91)*(AQ$3=$E$3:$AH$3)*(AQ$4=$E$4:$AH$4)*(AQ$5=$E$5:$AH$5)*(AQ$6=$E$6:$AH$6))</f>
        <v>74.768099800622537</v>
      </c>
      <c r="AR91" s="15" cm="1">
        <f t="array" aca="1" ref="AR91" ca="1">SUMPRODUCT(($E91:$AH91)*(AR$3=$E$3:$AH$3)*(AR$4=$E$4:$AH$4)*(AR$5=$E$5:$AH$5)*(AR$6=$E$6:$AH$6))</f>
        <v>74.768099800622537</v>
      </c>
      <c r="AS91" s="15" cm="1">
        <f t="array" aca="1" ref="AS91" ca="1">SUMPRODUCT(($E91:$AH91)*(AS$3=$E$3:$AH$3)*(AS$4=$E$4:$AH$4)*(AS$5=$E$5:$AH$5)*(AS$6=$E$6:$AH$6))</f>
        <v>74.768099800622537</v>
      </c>
      <c r="AU91" s="15" cm="1">
        <f t="array" aca="1" ref="AU91" ca="1">SUMPRODUCT(($E91:$AH91)*(AU$5=$E$5:$AH$5))</f>
        <v>149.5361996012451</v>
      </c>
      <c r="AV91" s="15" cm="1">
        <f t="array" aca="1" ref="AV91" ca="1">SUMPRODUCT(($E91:$AH91)*(AV$5=$E$5:$AH$5))</f>
        <v>299.0723992024902</v>
      </c>
      <c r="AW91" s="15" cm="1">
        <f t="array" aca="1" ref="AW91" ca="1">SUMPRODUCT(($E91:$AH91)*(AW$5=$E$5:$AH$5))</f>
        <v>299.0723992024902</v>
      </c>
    </row>
    <row r="92" spans="2:49" x14ac:dyDescent="0.25">
      <c r="C92" s="109" t="s">
        <v>207</v>
      </c>
      <c r="D92" s="23"/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38">
        <v>0</v>
      </c>
      <c r="R92" s="38">
        <v>0</v>
      </c>
      <c r="S92" s="38">
        <v>0</v>
      </c>
      <c r="T92" s="38">
        <v>0</v>
      </c>
      <c r="U92" s="38">
        <v>0</v>
      </c>
      <c r="V92" s="38">
        <v>0</v>
      </c>
      <c r="W92" s="38">
        <v>0</v>
      </c>
      <c r="X92" s="38">
        <v>0</v>
      </c>
      <c r="Y92" s="38">
        <v>0</v>
      </c>
      <c r="Z92" s="38">
        <v>0</v>
      </c>
      <c r="AA92" s="38">
        <v>0</v>
      </c>
      <c r="AB92" s="38">
        <v>0</v>
      </c>
      <c r="AC92" s="38">
        <v>0</v>
      </c>
      <c r="AD92" s="38">
        <v>0</v>
      </c>
      <c r="AE92" s="38">
        <v>0</v>
      </c>
      <c r="AF92" s="38">
        <v>0</v>
      </c>
      <c r="AG92" s="38">
        <v>0</v>
      </c>
      <c r="AH92" s="38">
        <v>0</v>
      </c>
      <c r="AJ92" s="29" cm="1">
        <f t="array" aca="1" ref="AJ92" ca="1">SUMPRODUCT(($E92:$AH92)*(AJ$3&amp;AJ$4&amp;AJ$5&amp;AJ$6=$E$3:$AH$3&amp;$E$4:$AH$4&amp;$E$5:$AH$5&amp;$E$6:$AH$6))</f>
        <v>0</v>
      </c>
      <c r="AK92" s="29" cm="1">
        <f t="array" aca="1" ref="AK92" ca="1">SUMPRODUCT(($E92:$AH92)*(AK$3=$E$3:$AH$3)*(AK$4=$E$4:$AH$4)*(AK$5=$E$5:$AH$5)*(AK$6=$E$6:$AH$6))</f>
        <v>0</v>
      </c>
      <c r="AL92" s="29" cm="1">
        <f t="array" aca="1" ref="AL92" ca="1">SUMPRODUCT(($E92:$AH92)*(AL$3=$E$3:$AH$3)*(AL$4=$E$4:$AH$4)*(AL$5=$E$5:$AH$5)*(AL$6=$E$6:$AH$6))</f>
        <v>0</v>
      </c>
      <c r="AM92" s="240" cm="1">
        <f t="array" aca="1" ref="AM92" ca="1">SUMPRODUCT(($E92:$AH92)*(AM$3=$E$3:$AH$3)*(AM$4=$E$4:$AH$4)*(AM$5=$E$5:$AH$5)*(AM$6=$E$6:$AH$6))</f>
        <v>0</v>
      </c>
      <c r="AN92" s="29" cm="1">
        <f t="array" aca="1" ref="AN92" ca="1">SUMPRODUCT(($E92:$AH92)*(AN$3=$E$3:$AH$3)*(AN$4=$E$4:$AH$4)*(AN$5=$E$5:$AH$5)*(AN$6=$E$6:$AH$6))</f>
        <v>0</v>
      </c>
      <c r="AO92" s="29" cm="1">
        <f t="array" aca="1" ref="AO92" ca="1">SUMPRODUCT(($E92:$AH92)*(AO$3=$E$3:$AH$3)*(AO$4=$E$4:$AH$4)*(AO$5=$E$5:$AH$5)*(AO$6=$E$6:$AH$6))</f>
        <v>0</v>
      </c>
      <c r="AP92" s="29" cm="1">
        <f t="array" aca="1" ref="AP92" ca="1">SUMPRODUCT(($E92:$AH92)*(AP$3=$E$3:$AH$3)*(AP$4=$E$4:$AH$4)*(AP$5=$E$5:$AH$5)*(AP$6=$E$6:$AH$6))</f>
        <v>0</v>
      </c>
      <c r="AQ92" s="29" cm="1">
        <f t="array" aca="1" ref="AQ92" ca="1">SUMPRODUCT(($E92:$AH92)*(AQ$3=$E$3:$AH$3)*(AQ$4=$E$4:$AH$4)*(AQ$5=$E$5:$AH$5)*(AQ$6=$E$6:$AH$6))</f>
        <v>0</v>
      </c>
      <c r="AR92" s="29" cm="1">
        <f t="array" aca="1" ref="AR92" ca="1">SUMPRODUCT(($E92:$AH92)*(AR$3=$E$3:$AH$3)*(AR$4=$E$4:$AH$4)*(AR$5=$E$5:$AH$5)*(AR$6=$E$6:$AH$6))</f>
        <v>0</v>
      </c>
      <c r="AS92" s="29" cm="1">
        <f t="array" aca="1" ref="AS92" ca="1">SUMPRODUCT(($E92:$AH92)*(AS$3=$E$3:$AH$3)*(AS$4=$E$4:$AH$4)*(AS$5=$E$5:$AH$5)*(AS$6=$E$6:$AH$6))</f>
        <v>0</v>
      </c>
      <c r="AU92" s="29" cm="1">
        <f t="array" aca="1" ref="AU92" ca="1">SUMPRODUCT(($E92:$AH92)*(AU$5=$E$5:$AH$5))</f>
        <v>0</v>
      </c>
      <c r="AV92" s="29" cm="1">
        <f t="array" aca="1" ref="AV92" ca="1">SUMPRODUCT(($E92:$AH92)*(AV$5=$E$5:$AH$5))</f>
        <v>0</v>
      </c>
      <c r="AW92" s="29" cm="1">
        <f t="array" aca="1" ref="AW92" ca="1">SUMPRODUCT(($E92:$AH92)*(AW$5=$E$5:$AH$5))</f>
        <v>0</v>
      </c>
    </row>
    <row r="93" spans="2:49" x14ac:dyDescent="0.25">
      <c r="B93" t="s">
        <v>231</v>
      </c>
      <c r="C93" s="2" t="s">
        <v>195</v>
      </c>
      <c r="D93" s="37">
        <v>821.25613741325105</v>
      </c>
      <c r="E93" s="31">
        <v>846.17883734679185</v>
      </c>
      <c r="F93" s="31">
        <v>871.10153728033265</v>
      </c>
      <c r="G93" s="31">
        <v>896.02423721387345</v>
      </c>
      <c r="H93" s="31">
        <v>920.94693714741425</v>
      </c>
      <c r="I93" s="31">
        <v>945.86963708095504</v>
      </c>
      <c r="J93" s="37">
        <v>970.79233701449584</v>
      </c>
      <c r="K93" s="31">
        <v>995.71503694803664</v>
      </c>
      <c r="L93" s="31">
        <v>1020.6377368815774</v>
      </c>
      <c r="M93" s="31">
        <v>1045.5604368151182</v>
      </c>
      <c r="N93" s="31">
        <v>1070.483136748659</v>
      </c>
      <c r="O93" s="31">
        <v>1095.4058366821998</v>
      </c>
      <c r="P93" s="32">
        <v>1120.3285366157406</v>
      </c>
      <c r="Q93" s="15">
        <f t="shared" ref="Q93:AH93" si="200">Q90+Q91-Q92</f>
        <v>1145.2512365492814</v>
      </c>
      <c r="R93" s="15">
        <f t="shared" si="200"/>
        <v>1170.1739364828222</v>
      </c>
      <c r="S93" s="15">
        <f t="shared" si="200"/>
        <v>1195.096636416363</v>
      </c>
      <c r="T93" s="15">
        <f t="shared" si="200"/>
        <v>1220.0193363499038</v>
      </c>
      <c r="U93" s="15">
        <f t="shared" si="200"/>
        <v>1244.9420362834446</v>
      </c>
      <c r="V93" s="15">
        <f t="shared" si="200"/>
        <v>1269.8647362169854</v>
      </c>
      <c r="W93" s="15">
        <f t="shared" si="200"/>
        <v>1294.7874361505262</v>
      </c>
      <c r="X93" s="15">
        <f t="shared" si="200"/>
        <v>1319.710136084067</v>
      </c>
      <c r="Y93" s="15">
        <f t="shared" si="200"/>
        <v>1344.6328360176078</v>
      </c>
      <c r="Z93" s="15">
        <f t="shared" si="200"/>
        <v>1369.5555359511486</v>
      </c>
      <c r="AA93" s="15">
        <f t="shared" si="200"/>
        <v>1394.4782358846894</v>
      </c>
      <c r="AB93" s="15">
        <f t="shared" si="200"/>
        <v>1419.4009358182302</v>
      </c>
      <c r="AC93" s="15">
        <f t="shared" si="200"/>
        <v>1444.323635751771</v>
      </c>
      <c r="AD93" s="15">
        <f t="shared" si="200"/>
        <v>1469.2463356853118</v>
      </c>
      <c r="AE93" s="15">
        <f t="shared" si="200"/>
        <v>1494.1690356188526</v>
      </c>
      <c r="AF93" s="15">
        <f t="shared" si="200"/>
        <v>1519.0917355523934</v>
      </c>
      <c r="AG93" s="15">
        <f t="shared" si="200"/>
        <v>1544.0144354859342</v>
      </c>
      <c r="AH93" s="15">
        <f t="shared" si="200"/>
        <v>1568.937135419475</v>
      </c>
      <c r="AJ93" s="15" cm="1">
        <f t="array" aca="1" ref="AJ93" ca="1">INDEX($E93:$AH93,1,MATCH(AJ$3&amp;AJ$4&amp;AJ$5&amp;AJ$6,$E$3:$AH$3&amp;$E$4:$AH$4&amp;$E$5:$AH$5&amp;$E$6:$AH$6,1))</f>
        <v>896.02423721387345</v>
      </c>
      <c r="AK93" s="15" cm="1">
        <f t="array" aca="1" ref="AK93" ca="1">INDEX($E93:$AH93,1,MATCH(AK$3&amp;AK$4&amp;AK$5&amp;AK$6,$E$3:$AH$3&amp;$E$4:$AH$4&amp;$E$5:$AH$5&amp;$E$6:$AH$6,1))</f>
        <v>970.79233701449584</v>
      </c>
      <c r="AL93" s="15" cm="1">
        <f t="array" aca="1" ref="AL93" ca="1">INDEX($E93:$AH93,1,MATCH(AL$3&amp;AL$4&amp;AL$5&amp;AL$6,$E$3:$AH$3&amp;$E$4:$AH$4&amp;$E$5:$AH$5&amp;$E$6:$AH$6,1))</f>
        <v>1045.5604368151182</v>
      </c>
      <c r="AM93" s="16" cm="1">
        <f t="array" aca="1" ref="AM93" ca="1">INDEX($E93:$AH93,1,MATCH(AM$3&amp;AM$4&amp;AM$5&amp;AM$6,$E$3:$AH$3&amp;$E$4:$AH$4&amp;$E$5:$AH$5&amp;$E$6:$AH$6,1))</f>
        <v>1120.3285366157406</v>
      </c>
      <c r="AN93" s="15" cm="1">
        <f t="array" aca="1" ref="AN93" ca="1">INDEX($E93:$AH93,1,MATCH(AN$3&amp;AN$4&amp;AN$5&amp;AN$6,$E$3:$AH$3&amp;$E$4:$AH$4&amp;$E$5:$AH$5&amp;$E$6:$AH$6,1))</f>
        <v>1195.096636416363</v>
      </c>
      <c r="AO93" s="15" cm="1">
        <f t="array" aca="1" ref="AO93" ca="1">INDEX($E93:$AH93,1,MATCH(AO$3&amp;AO$4&amp;AO$5&amp;AO$6,$E$3:$AH$3&amp;$E$4:$AH$4&amp;$E$5:$AH$5&amp;$E$6:$AH$6,1))</f>
        <v>1269.8647362169854</v>
      </c>
      <c r="AP93" s="15" cm="1">
        <f t="array" aca="1" ref="AP93" ca="1">INDEX($E93:$AH93,1,MATCH(AP$3&amp;AP$4&amp;AP$5&amp;AP$6,$E$3:$AH$3&amp;$E$4:$AH$4&amp;$E$5:$AH$5&amp;$E$6:$AH$6,1))</f>
        <v>1344.6328360176078</v>
      </c>
      <c r="AQ93" s="15" cm="1">
        <f t="array" aca="1" ref="AQ93" ca="1">INDEX($E93:$AH93,1,MATCH(AQ$3&amp;AQ$4&amp;AQ$5&amp;AQ$6,$E$3:$AH$3&amp;$E$4:$AH$4&amp;$E$5:$AH$5&amp;$E$6:$AH$6,1))</f>
        <v>1419.4009358182302</v>
      </c>
      <c r="AR93" s="15" cm="1">
        <f t="array" aca="1" ref="AR93" ca="1">INDEX($E93:$AH93,1,MATCH(AR$3&amp;AR$4&amp;AR$5&amp;AR$6,$E$3:$AH$3&amp;$E$4:$AH$4&amp;$E$5:$AH$5&amp;$E$6:$AH$6,1))</f>
        <v>1494.1690356188526</v>
      </c>
      <c r="AS93" s="15" cm="1">
        <f t="array" aca="1" ref="AS93" ca="1">INDEX($E93:$AH93,1,MATCH(AS$3&amp;AS$4&amp;AS$5&amp;AS$6,$E$3:$AH$3&amp;$E$4:$AH$4&amp;$E$5:$AH$5&amp;$E$6:$AH$6,1))</f>
        <v>1568.937135419475</v>
      </c>
      <c r="AU93" s="13">
        <f ca="1">INDEX($E93:$AH93,1,MATCH(AU$5,$E$5:$AH$5,1))</f>
        <v>970.79233701449584</v>
      </c>
      <c r="AV93" s="13">
        <f t="shared" ref="AV93:AW93" ca="1" si="201">INDEX($E93:$AH93,1,MATCH(AV$5,$E$5:$AH$5,1))</f>
        <v>1269.8647362169854</v>
      </c>
      <c r="AW93" s="13">
        <f t="shared" ca="1" si="201"/>
        <v>1568.937135419475</v>
      </c>
    </row>
    <row r="94" spans="2:49" x14ac:dyDescent="0.25">
      <c r="P94" s="8"/>
      <c r="AM94" s="8"/>
    </row>
    <row r="95" spans="2:49" x14ac:dyDescent="0.25">
      <c r="C95" s="30" t="s">
        <v>167</v>
      </c>
      <c r="D95" s="30"/>
      <c r="E95" s="45" t="str">
        <f t="shared" ref="E95:AH95" si="202">E$9</f>
        <v>Jul-20A</v>
      </c>
      <c r="F95" s="45" t="str">
        <f t="shared" si="202"/>
        <v>Aug-20A</v>
      </c>
      <c r="G95" s="45" t="str">
        <f t="shared" si="202"/>
        <v>Sep-20A</v>
      </c>
      <c r="H95" s="45" t="str">
        <f t="shared" si="202"/>
        <v>Oct-20A</v>
      </c>
      <c r="I95" s="45" t="str">
        <f t="shared" si="202"/>
        <v>Nov-20A</v>
      </c>
      <c r="J95" s="45" t="str">
        <f t="shared" si="202"/>
        <v>Dec-20A</v>
      </c>
      <c r="K95" s="45" t="str">
        <f t="shared" si="202"/>
        <v>Jan-21A</v>
      </c>
      <c r="L95" s="45" t="str">
        <f t="shared" si="202"/>
        <v>Feb-21A</v>
      </c>
      <c r="M95" s="45" t="str">
        <f t="shared" si="202"/>
        <v>Mar-21A</v>
      </c>
      <c r="N95" s="45" t="str">
        <f t="shared" si="202"/>
        <v>Apr-21A</v>
      </c>
      <c r="O95" s="45" t="str">
        <f t="shared" si="202"/>
        <v>May-21A</v>
      </c>
      <c r="P95" s="46" t="str">
        <f t="shared" si="202"/>
        <v>Jun-21A</v>
      </c>
      <c r="Q95" s="45" t="str">
        <f t="shared" si="202"/>
        <v>Jul-21F</v>
      </c>
      <c r="R95" s="45" t="str">
        <f t="shared" si="202"/>
        <v>Aug-21F</v>
      </c>
      <c r="S95" s="45" t="str">
        <f t="shared" si="202"/>
        <v>Sep-21F</v>
      </c>
      <c r="T95" s="45" t="str">
        <f t="shared" si="202"/>
        <v>Oct-21F</v>
      </c>
      <c r="U95" s="45" t="str">
        <f t="shared" si="202"/>
        <v>Nov-21F</v>
      </c>
      <c r="V95" s="45" t="str">
        <f t="shared" si="202"/>
        <v>Dec-21F</v>
      </c>
      <c r="W95" s="45" t="str">
        <f t="shared" si="202"/>
        <v>Jan-22F</v>
      </c>
      <c r="X95" s="45" t="str">
        <f t="shared" si="202"/>
        <v>Feb-22F</v>
      </c>
      <c r="Y95" s="45" t="str">
        <f t="shared" si="202"/>
        <v>Mar-22F</v>
      </c>
      <c r="Z95" s="45" t="str">
        <f t="shared" si="202"/>
        <v>Apr-22F</v>
      </c>
      <c r="AA95" s="45" t="str">
        <f t="shared" si="202"/>
        <v>May-22F</v>
      </c>
      <c r="AB95" s="45" t="str">
        <f t="shared" si="202"/>
        <v>Jun-22F</v>
      </c>
      <c r="AC95" s="45" t="str">
        <f t="shared" si="202"/>
        <v>Jul-22F</v>
      </c>
      <c r="AD95" s="45" t="str">
        <f t="shared" si="202"/>
        <v>Aug-22F</v>
      </c>
      <c r="AE95" s="45" t="str">
        <f t="shared" si="202"/>
        <v>Sep-22F</v>
      </c>
      <c r="AF95" s="45" t="str">
        <f t="shared" si="202"/>
        <v>Oct-22F</v>
      </c>
      <c r="AG95" s="45" t="str">
        <f t="shared" si="202"/>
        <v>Nov-22F</v>
      </c>
      <c r="AH95" s="45" t="str">
        <f t="shared" si="202"/>
        <v>Dec-22F</v>
      </c>
      <c r="AJ95" s="45" t="str">
        <f ca="1">AJ$10</f>
        <v>Q3'20A</v>
      </c>
      <c r="AK95" s="45" t="str">
        <f t="shared" ref="AK95:AW95" ca="1" si="203">AK$10</f>
        <v>Q4'20A</v>
      </c>
      <c r="AL95" s="45" t="str">
        <f t="shared" ca="1" si="203"/>
        <v>Q1'21A</v>
      </c>
      <c r="AM95" s="46" t="str">
        <f t="shared" ca="1" si="203"/>
        <v>Q2'21A</v>
      </c>
      <c r="AN95" s="45" t="str">
        <f t="shared" ca="1" si="203"/>
        <v>Q3'21F</v>
      </c>
      <c r="AO95" s="45" t="str">
        <f t="shared" ca="1" si="203"/>
        <v>Q4'21F</v>
      </c>
      <c r="AP95" s="45" t="str">
        <f t="shared" ca="1" si="203"/>
        <v>Q1'22F</v>
      </c>
      <c r="AQ95" s="45" t="str">
        <f t="shared" ca="1" si="203"/>
        <v>Q2'22F</v>
      </c>
      <c r="AR95" s="45" t="str">
        <f t="shared" ca="1" si="203"/>
        <v>Q3'22F</v>
      </c>
      <c r="AS95" s="45" t="str">
        <f t="shared" ca="1" si="203"/>
        <v>Q4'22F</v>
      </c>
      <c r="AU95" s="45" t="str">
        <f t="shared" ca="1" si="203"/>
        <v>FY20</v>
      </c>
      <c r="AV95" s="45" t="str">
        <f t="shared" ca="1" si="203"/>
        <v>FY21</v>
      </c>
      <c r="AW95" s="45" t="str">
        <f t="shared" ca="1" si="203"/>
        <v>FY22</v>
      </c>
    </row>
    <row r="96" spans="2:49" x14ac:dyDescent="0.25">
      <c r="B96" t="s">
        <v>231</v>
      </c>
      <c r="C96" s="2" t="s">
        <v>195</v>
      </c>
      <c r="D96" s="13">
        <f>D87-D93</f>
        <v>2019.9316550104058</v>
      </c>
      <c r="E96" s="13">
        <f>E87-E93</f>
        <v>1995.008955076865</v>
      </c>
      <c r="F96" s="15">
        <f t="shared" ref="F96:AW96" si="204">F87-F93</f>
        <v>1970.0862551433243</v>
      </c>
      <c r="G96" s="15">
        <f t="shared" si="204"/>
        <v>1945.1635552097835</v>
      </c>
      <c r="H96" s="15">
        <f t="shared" si="204"/>
        <v>1920.2408552762427</v>
      </c>
      <c r="I96" s="15">
        <f t="shared" si="204"/>
        <v>1895.3181553427019</v>
      </c>
      <c r="J96" s="15">
        <f t="shared" si="204"/>
        <v>1870.3954554091611</v>
      </c>
      <c r="K96" s="13">
        <f t="shared" si="204"/>
        <v>1845.4727554756203</v>
      </c>
      <c r="L96" s="15">
        <f t="shared" si="204"/>
        <v>1820.5500555420795</v>
      </c>
      <c r="M96" s="15">
        <f t="shared" si="204"/>
        <v>1795.6273556085387</v>
      </c>
      <c r="N96" s="15">
        <f t="shared" si="204"/>
        <v>1770.7046556749979</v>
      </c>
      <c r="O96" s="15">
        <f t="shared" si="204"/>
        <v>1745.7819557414571</v>
      </c>
      <c r="P96" s="16">
        <f t="shared" si="204"/>
        <v>1720.8592558079163</v>
      </c>
      <c r="Q96" s="15">
        <f t="shared" si="204"/>
        <v>1695.9365558743755</v>
      </c>
      <c r="R96" s="15">
        <f t="shared" si="204"/>
        <v>1671.0138559408347</v>
      </c>
      <c r="S96" s="15">
        <f t="shared" si="204"/>
        <v>1646.0911560072939</v>
      </c>
      <c r="T96" s="15">
        <f t="shared" si="204"/>
        <v>1621.1684560737531</v>
      </c>
      <c r="U96" s="15">
        <f t="shared" si="204"/>
        <v>1596.2457561402123</v>
      </c>
      <c r="V96" s="15">
        <f t="shared" si="204"/>
        <v>1571.3230562066715</v>
      </c>
      <c r="W96" s="15">
        <f t="shared" si="204"/>
        <v>1546.4003562731307</v>
      </c>
      <c r="X96" s="15">
        <f t="shared" si="204"/>
        <v>1521.4776563395899</v>
      </c>
      <c r="Y96" s="15">
        <f t="shared" si="204"/>
        <v>1496.5549564060491</v>
      </c>
      <c r="Z96" s="15">
        <f t="shared" si="204"/>
        <v>1471.6322564725083</v>
      </c>
      <c r="AA96" s="15">
        <f t="shared" si="204"/>
        <v>1446.7095565389675</v>
      </c>
      <c r="AB96" s="15">
        <f t="shared" si="204"/>
        <v>1421.7868566054267</v>
      </c>
      <c r="AC96" s="15">
        <f t="shared" si="204"/>
        <v>1396.8641566718859</v>
      </c>
      <c r="AD96" s="15">
        <f t="shared" si="204"/>
        <v>1371.9414567383451</v>
      </c>
      <c r="AE96" s="15">
        <f t="shared" si="204"/>
        <v>1347.0187568048043</v>
      </c>
      <c r="AF96" s="15">
        <f t="shared" si="204"/>
        <v>1322.0960568712635</v>
      </c>
      <c r="AG96" s="15">
        <f t="shared" si="204"/>
        <v>1297.1733569377227</v>
      </c>
      <c r="AH96" s="15">
        <f t="shared" si="204"/>
        <v>1272.2506570041819</v>
      </c>
      <c r="AJ96" s="15">
        <f t="shared" ca="1" si="204"/>
        <v>1945.1635552097835</v>
      </c>
      <c r="AK96" s="15">
        <f t="shared" ca="1" si="204"/>
        <v>1870.3954554091611</v>
      </c>
      <c r="AL96" s="15">
        <f t="shared" ca="1" si="204"/>
        <v>1795.6273556085387</v>
      </c>
      <c r="AM96" s="16">
        <f t="shared" ca="1" si="204"/>
        <v>1720.8592558079163</v>
      </c>
      <c r="AN96" s="15">
        <f t="shared" ca="1" si="204"/>
        <v>1646.0911560072939</v>
      </c>
      <c r="AO96" s="15">
        <f t="shared" ca="1" si="204"/>
        <v>1571.3230562066715</v>
      </c>
      <c r="AP96" s="15">
        <f t="shared" ca="1" si="204"/>
        <v>1496.5549564060491</v>
      </c>
      <c r="AQ96" s="15">
        <f t="shared" ca="1" si="204"/>
        <v>1421.7868566054267</v>
      </c>
      <c r="AR96" s="15">
        <f t="shared" ca="1" si="204"/>
        <v>1347.0187568048043</v>
      </c>
      <c r="AS96" s="15">
        <f t="shared" ca="1" si="204"/>
        <v>1272.2506570041819</v>
      </c>
      <c r="AU96" s="15">
        <f t="shared" ca="1" si="204"/>
        <v>1870.3954554091611</v>
      </c>
      <c r="AV96" s="15">
        <f t="shared" ca="1" si="204"/>
        <v>1571.3230562066715</v>
      </c>
      <c r="AW96" s="15">
        <f t="shared" ca="1" si="204"/>
        <v>1272.2506570041819</v>
      </c>
    </row>
    <row r="97" spans="2:49" x14ac:dyDescent="0.25">
      <c r="P97" s="8"/>
      <c r="AM97" s="8"/>
    </row>
    <row r="98" spans="2:49" x14ac:dyDescent="0.25">
      <c r="C98" s="30" t="s">
        <v>256</v>
      </c>
      <c r="D98" s="30"/>
      <c r="E98" s="45" t="str">
        <f t="shared" ref="E98:AH98" si="205">E$9</f>
        <v>Jul-20A</v>
      </c>
      <c r="F98" s="45" t="str">
        <f t="shared" si="205"/>
        <v>Aug-20A</v>
      </c>
      <c r="G98" s="45" t="str">
        <f t="shared" si="205"/>
        <v>Sep-20A</v>
      </c>
      <c r="H98" s="45" t="str">
        <f t="shared" si="205"/>
        <v>Oct-20A</v>
      </c>
      <c r="I98" s="45" t="str">
        <f t="shared" si="205"/>
        <v>Nov-20A</v>
      </c>
      <c r="J98" s="45" t="str">
        <f t="shared" si="205"/>
        <v>Dec-20A</v>
      </c>
      <c r="K98" s="45" t="str">
        <f t="shared" si="205"/>
        <v>Jan-21A</v>
      </c>
      <c r="L98" s="45" t="str">
        <f t="shared" si="205"/>
        <v>Feb-21A</v>
      </c>
      <c r="M98" s="45" t="str">
        <f t="shared" si="205"/>
        <v>Mar-21A</v>
      </c>
      <c r="N98" s="45" t="str">
        <f t="shared" si="205"/>
        <v>Apr-21A</v>
      </c>
      <c r="O98" s="45" t="str">
        <f t="shared" si="205"/>
        <v>May-21A</v>
      </c>
      <c r="P98" s="46" t="str">
        <f t="shared" si="205"/>
        <v>Jun-21A</v>
      </c>
      <c r="Q98" s="45" t="str">
        <f t="shared" si="205"/>
        <v>Jul-21F</v>
      </c>
      <c r="R98" s="45" t="str">
        <f t="shared" si="205"/>
        <v>Aug-21F</v>
      </c>
      <c r="S98" s="45" t="str">
        <f t="shared" si="205"/>
        <v>Sep-21F</v>
      </c>
      <c r="T98" s="45" t="str">
        <f t="shared" si="205"/>
        <v>Oct-21F</v>
      </c>
      <c r="U98" s="45" t="str">
        <f t="shared" si="205"/>
        <v>Nov-21F</v>
      </c>
      <c r="V98" s="45" t="str">
        <f t="shared" si="205"/>
        <v>Dec-21F</v>
      </c>
      <c r="W98" s="45" t="str">
        <f t="shared" si="205"/>
        <v>Jan-22F</v>
      </c>
      <c r="X98" s="45" t="str">
        <f t="shared" si="205"/>
        <v>Feb-22F</v>
      </c>
      <c r="Y98" s="45" t="str">
        <f t="shared" si="205"/>
        <v>Mar-22F</v>
      </c>
      <c r="Z98" s="45" t="str">
        <f t="shared" si="205"/>
        <v>Apr-22F</v>
      </c>
      <c r="AA98" s="45" t="str">
        <f t="shared" si="205"/>
        <v>May-22F</v>
      </c>
      <c r="AB98" s="45" t="str">
        <f t="shared" si="205"/>
        <v>Jun-22F</v>
      </c>
      <c r="AC98" s="45" t="str">
        <f t="shared" si="205"/>
        <v>Jul-22F</v>
      </c>
      <c r="AD98" s="45" t="str">
        <f t="shared" si="205"/>
        <v>Aug-22F</v>
      </c>
      <c r="AE98" s="45" t="str">
        <f t="shared" si="205"/>
        <v>Sep-22F</v>
      </c>
      <c r="AF98" s="45" t="str">
        <f t="shared" si="205"/>
        <v>Oct-22F</v>
      </c>
      <c r="AG98" s="45" t="str">
        <f t="shared" si="205"/>
        <v>Nov-22F</v>
      </c>
      <c r="AH98" s="45" t="str">
        <f t="shared" si="205"/>
        <v>Dec-22F</v>
      </c>
      <c r="AJ98" s="45" t="str">
        <f ca="1">AJ$10</f>
        <v>Q3'20A</v>
      </c>
      <c r="AK98" s="45" t="str">
        <f t="shared" ref="AK98:AW98" ca="1" si="206">AK$10</f>
        <v>Q4'20A</v>
      </c>
      <c r="AL98" s="45" t="str">
        <f t="shared" ca="1" si="206"/>
        <v>Q1'21A</v>
      </c>
      <c r="AM98" s="46" t="str">
        <f t="shared" ca="1" si="206"/>
        <v>Q2'21A</v>
      </c>
      <c r="AN98" s="45" t="str">
        <f t="shared" ca="1" si="206"/>
        <v>Q3'21F</v>
      </c>
      <c r="AO98" s="45" t="str">
        <f t="shared" ca="1" si="206"/>
        <v>Q4'21F</v>
      </c>
      <c r="AP98" s="45" t="str">
        <f t="shared" ca="1" si="206"/>
        <v>Q1'22F</v>
      </c>
      <c r="AQ98" s="45" t="str">
        <f t="shared" ca="1" si="206"/>
        <v>Q2'22F</v>
      </c>
      <c r="AR98" s="45" t="str">
        <f t="shared" ca="1" si="206"/>
        <v>Q3'22F</v>
      </c>
      <c r="AS98" s="45" t="str">
        <f t="shared" ca="1" si="206"/>
        <v>Q4'22F</v>
      </c>
      <c r="AU98" s="45" t="str">
        <f t="shared" ca="1" si="206"/>
        <v>FY20</v>
      </c>
      <c r="AV98" s="45" t="str">
        <f t="shared" ca="1" si="206"/>
        <v>FY21</v>
      </c>
      <c r="AW98" s="45" t="str">
        <f t="shared" ca="1" si="206"/>
        <v>FY22</v>
      </c>
    </row>
    <row r="99" spans="2:49" x14ac:dyDescent="0.25">
      <c r="C99" s="1" t="s">
        <v>194</v>
      </c>
      <c r="D99" s="1"/>
      <c r="E99" s="61">
        <f t="shared" ref="E99:AH99" si="207">D102</f>
        <v>4967.84162858944</v>
      </c>
      <c r="F99" s="61">
        <f t="shared" si="207"/>
        <v>4967.84162858944</v>
      </c>
      <c r="G99" s="61">
        <f t="shared" si="207"/>
        <v>4967.84162858944</v>
      </c>
      <c r="H99" s="61">
        <f t="shared" si="207"/>
        <v>4967.84162858944</v>
      </c>
      <c r="I99" s="61">
        <f t="shared" si="207"/>
        <v>4967.84162858944</v>
      </c>
      <c r="J99" s="61">
        <f t="shared" si="207"/>
        <v>4967.84162858944</v>
      </c>
      <c r="K99" s="61">
        <f t="shared" si="207"/>
        <v>4967.84162858944</v>
      </c>
      <c r="L99" s="61">
        <f t="shared" si="207"/>
        <v>4967.84162858944</v>
      </c>
      <c r="M99" s="61">
        <f t="shared" si="207"/>
        <v>4967.84162858944</v>
      </c>
      <c r="N99" s="61">
        <f t="shared" si="207"/>
        <v>4967.84162858944</v>
      </c>
      <c r="O99" s="61">
        <f t="shared" si="207"/>
        <v>4967.84162858944</v>
      </c>
      <c r="P99" s="17">
        <f t="shared" si="207"/>
        <v>4967.84162858944</v>
      </c>
      <c r="Q99" s="15">
        <f t="shared" si="207"/>
        <v>4967.84162858944</v>
      </c>
      <c r="R99" s="15">
        <f t="shared" si="207"/>
        <v>4967.84162858944</v>
      </c>
      <c r="S99" s="15">
        <f t="shared" si="207"/>
        <v>4967.84162858944</v>
      </c>
      <c r="T99" s="15">
        <f t="shared" si="207"/>
        <v>4967.84162858944</v>
      </c>
      <c r="U99" s="15">
        <f t="shared" si="207"/>
        <v>4967.84162858944</v>
      </c>
      <c r="V99" s="15">
        <f t="shared" si="207"/>
        <v>4967.84162858944</v>
      </c>
      <c r="W99" s="104">
        <f t="shared" si="207"/>
        <v>4967.84162858944</v>
      </c>
      <c r="X99" s="15">
        <f t="shared" si="207"/>
        <v>4967.84162858944</v>
      </c>
      <c r="Y99" s="15">
        <f t="shared" si="207"/>
        <v>4967.84162858944</v>
      </c>
      <c r="Z99" s="15">
        <f t="shared" si="207"/>
        <v>4967.84162858944</v>
      </c>
      <c r="AA99" s="15">
        <f t="shared" si="207"/>
        <v>4967.84162858944</v>
      </c>
      <c r="AB99" s="15">
        <f t="shared" si="207"/>
        <v>4967.84162858944</v>
      </c>
      <c r="AC99" s="15">
        <f t="shared" si="207"/>
        <v>4967.84162858944</v>
      </c>
      <c r="AD99" s="15">
        <f t="shared" si="207"/>
        <v>4967.84162858944</v>
      </c>
      <c r="AE99" s="15">
        <f t="shared" si="207"/>
        <v>4967.84162858944</v>
      </c>
      <c r="AF99" s="15">
        <f t="shared" si="207"/>
        <v>4967.84162858944</v>
      </c>
      <c r="AG99" s="15">
        <f t="shared" si="207"/>
        <v>4967.84162858944</v>
      </c>
      <c r="AH99" s="15">
        <f t="shared" si="207"/>
        <v>4967.84162858944</v>
      </c>
      <c r="AJ99" s="15">
        <f ca="1">AJ102+AJ101-AJ100</f>
        <v>4967.84162858944</v>
      </c>
      <c r="AK99" s="15">
        <f t="shared" ref="AK99" ca="1" si="208">AK102+AK101-AK100</f>
        <v>4967.84162858944</v>
      </c>
      <c r="AL99" s="15">
        <f t="shared" ref="AL99" ca="1" si="209">AL102+AL101-AL100</f>
        <v>4967.84162858944</v>
      </c>
      <c r="AM99" s="16">
        <f t="shared" ref="AM99" ca="1" si="210">AM102+AM101-AM100</f>
        <v>4967.84162858944</v>
      </c>
      <c r="AN99" s="15">
        <f t="shared" ref="AN99" ca="1" si="211">AN102+AN101-AN100</f>
        <v>4967.84162858944</v>
      </c>
      <c r="AO99" s="15">
        <f t="shared" ref="AO99" ca="1" si="212">AO102+AO101-AO100</f>
        <v>4967.84162858944</v>
      </c>
      <c r="AP99" s="15">
        <f t="shared" ref="AP99" ca="1" si="213">AP102+AP101-AP100</f>
        <v>4967.84162858944</v>
      </c>
      <c r="AQ99" s="15">
        <f t="shared" ref="AQ99" ca="1" si="214">AQ102+AQ101-AQ100</f>
        <v>4967.84162858944</v>
      </c>
      <c r="AR99" s="15">
        <f t="shared" ref="AR99" ca="1" si="215">AR102+AR101-AR100</f>
        <v>4967.84162858944</v>
      </c>
      <c r="AS99" s="15">
        <f t="shared" ref="AS99" ca="1" si="216">AS102+AS101-AS100</f>
        <v>4967.84162858944</v>
      </c>
      <c r="AT99" s="15">
        <f t="shared" ref="AT99" si="217">AT102+AT101-AT100</f>
        <v>0</v>
      </c>
      <c r="AU99" s="15">
        <f t="shared" ref="AU99" ca="1" si="218">AU102+AU101-AU100</f>
        <v>4967.84162858944</v>
      </c>
      <c r="AV99" s="15">
        <f t="shared" ref="AV99" ca="1" si="219">AV102+AV101-AV100</f>
        <v>4967.84162858944</v>
      </c>
      <c r="AW99" s="15">
        <f t="shared" ref="AW99" ca="1" si="220">AW102+AW101-AW100</f>
        <v>4967.84162858944</v>
      </c>
    </row>
    <row r="100" spans="2:49" x14ac:dyDescent="0.25">
      <c r="C100" s="108" t="s">
        <v>257</v>
      </c>
      <c r="D100" s="1"/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2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J100" s="15" cm="1">
        <f t="array" aca="1" ref="AJ100" ca="1">SUMPRODUCT(($E100:$AH100)*(AJ$3&amp;AJ$4&amp;AJ$5&amp;AJ$6=$E$3:$AH$3&amp;$E$4:$AH$4&amp;$E$5:$AH$5&amp;$E$6:$AH$6))</f>
        <v>0</v>
      </c>
      <c r="AK100" s="15" cm="1">
        <f t="array" aca="1" ref="AK100" ca="1">SUMPRODUCT(($E100:$AH100)*(AK$3=$E$3:$AH$3)*(AK$4=$E$4:$AH$4)*(AK$5=$E$5:$AH$5)*(AK$6=$E$6:$AH$6))</f>
        <v>0</v>
      </c>
      <c r="AL100" s="15" cm="1">
        <f t="array" aca="1" ref="AL100" ca="1">SUMPRODUCT(($E100:$AH100)*(AL$3=$E$3:$AH$3)*(AL$4=$E$4:$AH$4)*(AL$5=$E$5:$AH$5)*(AL$6=$E$6:$AH$6))</f>
        <v>0</v>
      </c>
      <c r="AM100" s="16" cm="1">
        <f t="array" aca="1" ref="AM100" ca="1">SUMPRODUCT(($E100:$AH100)*(AM$3=$E$3:$AH$3)*(AM$4=$E$4:$AH$4)*(AM$5=$E$5:$AH$5)*(AM$6=$E$6:$AH$6))</f>
        <v>0</v>
      </c>
      <c r="AN100" s="15" cm="1">
        <f t="array" aca="1" ref="AN100" ca="1">SUMPRODUCT(($E100:$AH100)*(AN$3=$E$3:$AH$3)*(AN$4=$E$4:$AH$4)*(AN$5=$E$5:$AH$5)*(AN$6=$E$6:$AH$6))</f>
        <v>0</v>
      </c>
      <c r="AO100" s="15" cm="1">
        <f t="array" aca="1" ref="AO100" ca="1">SUMPRODUCT(($E100:$AH100)*(AO$3=$E$3:$AH$3)*(AO$4=$E$4:$AH$4)*(AO$5=$E$5:$AH$5)*(AO$6=$E$6:$AH$6))</f>
        <v>0</v>
      </c>
      <c r="AP100" s="15" cm="1">
        <f t="array" aca="1" ref="AP100" ca="1">SUMPRODUCT(($E100:$AH100)*(AP$3=$E$3:$AH$3)*(AP$4=$E$4:$AH$4)*(AP$5=$E$5:$AH$5)*(AP$6=$E$6:$AH$6))</f>
        <v>0</v>
      </c>
      <c r="AQ100" s="15" cm="1">
        <f t="array" aca="1" ref="AQ100" ca="1">SUMPRODUCT(($E100:$AH100)*(AQ$3=$E$3:$AH$3)*(AQ$4=$E$4:$AH$4)*(AQ$5=$E$5:$AH$5)*(AQ$6=$E$6:$AH$6))</f>
        <v>0</v>
      </c>
      <c r="AR100" s="15" cm="1">
        <f t="array" aca="1" ref="AR100" ca="1">SUMPRODUCT(($E100:$AH100)*(AR$3=$E$3:$AH$3)*(AR$4=$E$4:$AH$4)*(AR$5=$E$5:$AH$5)*(AR$6=$E$6:$AH$6))</f>
        <v>0</v>
      </c>
      <c r="AS100" s="15" cm="1">
        <f t="array" aca="1" ref="AS100" ca="1">SUMPRODUCT(($E100:$AH100)*(AS$3=$E$3:$AH$3)*(AS$4=$E$4:$AH$4)*(AS$5=$E$5:$AH$5)*(AS$6=$E$6:$AH$6))</f>
        <v>0</v>
      </c>
      <c r="AU100" s="15" cm="1">
        <f t="array" aca="1" ref="AU100" ca="1">SUMPRODUCT(($E100:$AH100)*(AU$5=$E$5:$AH$5))</f>
        <v>0</v>
      </c>
      <c r="AV100" s="15" cm="1">
        <f t="array" aca="1" ref="AV100" ca="1">SUMPRODUCT(($E100:$AH100)*(AV$5=$E$5:$AH$5))</f>
        <v>0</v>
      </c>
      <c r="AW100" s="15" cm="1">
        <f t="array" aca="1" ref="AW100" ca="1">SUMPRODUCT(($E100:$AH100)*(AW$5=$E$5:$AH$5))</f>
        <v>0</v>
      </c>
    </row>
    <row r="101" spans="2:49" x14ac:dyDescent="0.25">
      <c r="C101" s="109" t="s">
        <v>258</v>
      </c>
      <c r="D101" s="23"/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9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J101" s="29" cm="1">
        <f t="array" aca="1" ref="AJ101" ca="1">SUMPRODUCT(($E101:$AH101)*(AJ$3&amp;AJ$4&amp;AJ$5&amp;AJ$6=$E$3:$AH$3&amp;$E$4:$AH$4&amp;$E$5:$AH$5&amp;$E$6:$AH$6))</f>
        <v>0</v>
      </c>
      <c r="AK101" s="29" cm="1">
        <f t="array" aca="1" ref="AK101" ca="1">SUMPRODUCT(($E101:$AH101)*(AK$3=$E$3:$AH$3)*(AK$4=$E$4:$AH$4)*(AK$5=$E$5:$AH$5)*(AK$6=$E$6:$AH$6))</f>
        <v>0</v>
      </c>
      <c r="AL101" s="29" cm="1">
        <f t="array" aca="1" ref="AL101" ca="1">SUMPRODUCT(($E101:$AH101)*(AL$3=$E$3:$AH$3)*(AL$4=$E$4:$AH$4)*(AL$5=$E$5:$AH$5)*(AL$6=$E$6:$AH$6))</f>
        <v>0</v>
      </c>
      <c r="AM101" s="240" cm="1">
        <f t="array" aca="1" ref="AM101" ca="1">SUMPRODUCT(($E101:$AH101)*(AM$3=$E$3:$AH$3)*(AM$4=$E$4:$AH$4)*(AM$5=$E$5:$AH$5)*(AM$6=$E$6:$AH$6))</f>
        <v>0</v>
      </c>
      <c r="AN101" s="29" cm="1">
        <f t="array" aca="1" ref="AN101" ca="1">SUMPRODUCT(($E101:$AH101)*(AN$3=$E$3:$AH$3)*(AN$4=$E$4:$AH$4)*(AN$5=$E$5:$AH$5)*(AN$6=$E$6:$AH$6))</f>
        <v>0</v>
      </c>
      <c r="AO101" s="29" cm="1">
        <f t="array" aca="1" ref="AO101" ca="1">SUMPRODUCT(($E101:$AH101)*(AO$3=$E$3:$AH$3)*(AO$4=$E$4:$AH$4)*(AO$5=$E$5:$AH$5)*(AO$6=$E$6:$AH$6))</f>
        <v>0</v>
      </c>
      <c r="AP101" s="29" cm="1">
        <f t="array" aca="1" ref="AP101" ca="1">SUMPRODUCT(($E101:$AH101)*(AP$3=$E$3:$AH$3)*(AP$4=$E$4:$AH$4)*(AP$5=$E$5:$AH$5)*(AP$6=$E$6:$AH$6))</f>
        <v>0</v>
      </c>
      <c r="AQ101" s="29" cm="1">
        <f t="array" aca="1" ref="AQ101" ca="1">SUMPRODUCT(($E101:$AH101)*(AQ$3=$E$3:$AH$3)*(AQ$4=$E$4:$AH$4)*(AQ$5=$E$5:$AH$5)*(AQ$6=$E$6:$AH$6))</f>
        <v>0</v>
      </c>
      <c r="AR101" s="29" cm="1">
        <f t="array" aca="1" ref="AR101" ca="1">SUMPRODUCT(($E101:$AH101)*(AR$3=$E$3:$AH$3)*(AR$4=$E$4:$AH$4)*(AR$5=$E$5:$AH$5)*(AR$6=$E$6:$AH$6))</f>
        <v>0</v>
      </c>
      <c r="AS101" s="29" cm="1">
        <f t="array" aca="1" ref="AS101" ca="1">SUMPRODUCT(($E101:$AH101)*(AS$3=$E$3:$AH$3)*(AS$4=$E$4:$AH$4)*(AS$5=$E$5:$AH$5)*(AS$6=$E$6:$AH$6))</f>
        <v>0</v>
      </c>
      <c r="AU101" s="29" cm="1">
        <f t="array" aca="1" ref="AU101" ca="1">SUMPRODUCT(($E101:$AH101)*(AU$5=$E$5:$AH$5))</f>
        <v>0</v>
      </c>
      <c r="AV101" s="29" cm="1">
        <f t="array" aca="1" ref="AV101" ca="1">SUMPRODUCT(($E101:$AH101)*(AV$5=$E$5:$AH$5))</f>
        <v>0</v>
      </c>
      <c r="AW101" s="29" cm="1">
        <f t="array" aca="1" ref="AW101" ca="1">SUMPRODUCT(($E101:$AH101)*(AW$5=$E$5:$AH$5))</f>
        <v>0</v>
      </c>
    </row>
    <row r="102" spans="2:49" x14ac:dyDescent="0.25">
      <c r="B102" t="s">
        <v>231</v>
      </c>
      <c r="C102" s="2" t="s">
        <v>195</v>
      </c>
      <c r="D102" s="37">
        <v>4967.84162858944</v>
      </c>
      <c r="E102" s="31">
        <v>4967.84162858944</v>
      </c>
      <c r="F102" s="31">
        <v>4967.84162858944</v>
      </c>
      <c r="G102" s="31">
        <v>4967.84162858944</v>
      </c>
      <c r="H102" s="31">
        <v>4967.84162858944</v>
      </c>
      <c r="I102" s="31">
        <v>4967.84162858944</v>
      </c>
      <c r="J102" s="37">
        <v>4967.84162858944</v>
      </c>
      <c r="K102" s="31">
        <v>4967.84162858944</v>
      </c>
      <c r="L102" s="31">
        <v>4967.84162858944</v>
      </c>
      <c r="M102" s="31">
        <v>4967.84162858944</v>
      </c>
      <c r="N102" s="31">
        <v>4967.84162858944</v>
      </c>
      <c r="O102" s="31">
        <v>4967.84162858944</v>
      </c>
      <c r="P102" s="32">
        <v>4967.84162858944</v>
      </c>
      <c r="Q102" s="15">
        <f t="shared" ref="Q102:AH102" si="221">Q99+Q100-Q101</f>
        <v>4967.84162858944</v>
      </c>
      <c r="R102" s="15">
        <f t="shared" si="221"/>
        <v>4967.84162858944</v>
      </c>
      <c r="S102" s="15">
        <f t="shared" si="221"/>
        <v>4967.84162858944</v>
      </c>
      <c r="T102" s="15">
        <f t="shared" si="221"/>
        <v>4967.84162858944</v>
      </c>
      <c r="U102" s="15">
        <f t="shared" si="221"/>
        <v>4967.84162858944</v>
      </c>
      <c r="V102" s="15">
        <f t="shared" si="221"/>
        <v>4967.84162858944</v>
      </c>
      <c r="W102" s="15">
        <f t="shared" si="221"/>
        <v>4967.84162858944</v>
      </c>
      <c r="X102" s="15">
        <f t="shared" si="221"/>
        <v>4967.84162858944</v>
      </c>
      <c r="Y102" s="15">
        <f t="shared" si="221"/>
        <v>4967.84162858944</v>
      </c>
      <c r="Z102" s="15">
        <f t="shared" si="221"/>
        <v>4967.84162858944</v>
      </c>
      <c r="AA102" s="15">
        <f t="shared" si="221"/>
        <v>4967.84162858944</v>
      </c>
      <c r="AB102" s="15">
        <f t="shared" si="221"/>
        <v>4967.84162858944</v>
      </c>
      <c r="AC102" s="15">
        <f t="shared" si="221"/>
        <v>4967.84162858944</v>
      </c>
      <c r="AD102" s="15">
        <f t="shared" si="221"/>
        <v>4967.84162858944</v>
      </c>
      <c r="AE102" s="15">
        <f t="shared" si="221"/>
        <v>4967.84162858944</v>
      </c>
      <c r="AF102" s="15">
        <f t="shared" si="221"/>
        <v>4967.84162858944</v>
      </c>
      <c r="AG102" s="15">
        <f t="shared" si="221"/>
        <v>4967.84162858944</v>
      </c>
      <c r="AH102" s="15">
        <f t="shared" si="221"/>
        <v>4967.84162858944</v>
      </c>
      <c r="AJ102" s="15" cm="1">
        <f t="array" aca="1" ref="AJ102" ca="1">INDEX($E102:$AH102,1,MATCH(AJ$3&amp;AJ$4&amp;AJ$5&amp;AJ$6,$E$3:$AH$3&amp;$E$4:$AH$4&amp;$E$5:$AH$5&amp;$E$6:$AH$6,1))</f>
        <v>4967.84162858944</v>
      </c>
      <c r="AK102" s="15" cm="1">
        <f t="array" aca="1" ref="AK102" ca="1">INDEX($E102:$AH102,1,MATCH(AK$3&amp;AK$4&amp;AK$5&amp;AK$6,$E$3:$AH$3&amp;$E$4:$AH$4&amp;$E$5:$AH$5&amp;$E$6:$AH$6,1))</f>
        <v>4967.84162858944</v>
      </c>
      <c r="AL102" s="15" cm="1">
        <f t="array" aca="1" ref="AL102" ca="1">INDEX($E102:$AH102,1,MATCH(AL$3&amp;AL$4&amp;AL$5&amp;AL$6,$E$3:$AH$3&amp;$E$4:$AH$4&amp;$E$5:$AH$5&amp;$E$6:$AH$6,1))</f>
        <v>4967.84162858944</v>
      </c>
      <c r="AM102" s="16" cm="1">
        <f t="array" aca="1" ref="AM102" ca="1">INDEX($E102:$AH102,1,MATCH(AM$3&amp;AM$4&amp;AM$5&amp;AM$6,$E$3:$AH$3&amp;$E$4:$AH$4&amp;$E$5:$AH$5&amp;$E$6:$AH$6,1))</f>
        <v>4967.84162858944</v>
      </c>
      <c r="AN102" s="15" cm="1">
        <f t="array" aca="1" ref="AN102" ca="1">INDEX($E102:$AH102,1,MATCH(AN$3&amp;AN$4&amp;AN$5&amp;AN$6,$E$3:$AH$3&amp;$E$4:$AH$4&amp;$E$5:$AH$5&amp;$E$6:$AH$6,1))</f>
        <v>4967.84162858944</v>
      </c>
      <c r="AO102" s="15" cm="1">
        <f t="array" aca="1" ref="AO102" ca="1">INDEX($E102:$AH102,1,MATCH(AO$3&amp;AO$4&amp;AO$5&amp;AO$6,$E$3:$AH$3&amp;$E$4:$AH$4&amp;$E$5:$AH$5&amp;$E$6:$AH$6,1))</f>
        <v>4967.84162858944</v>
      </c>
      <c r="AP102" s="15" cm="1">
        <f t="array" aca="1" ref="AP102" ca="1">INDEX($E102:$AH102,1,MATCH(AP$3&amp;AP$4&amp;AP$5&amp;AP$6,$E$3:$AH$3&amp;$E$4:$AH$4&amp;$E$5:$AH$5&amp;$E$6:$AH$6,1))</f>
        <v>4967.84162858944</v>
      </c>
      <c r="AQ102" s="15" cm="1">
        <f t="array" aca="1" ref="AQ102" ca="1">INDEX($E102:$AH102,1,MATCH(AQ$3&amp;AQ$4&amp;AQ$5&amp;AQ$6,$E$3:$AH$3&amp;$E$4:$AH$4&amp;$E$5:$AH$5&amp;$E$6:$AH$6,1))</f>
        <v>4967.84162858944</v>
      </c>
      <c r="AR102" s="15" cm="1">
        <f t="array" aca="1" ref="AR102" ca="1">INDEX($E102:$AH102,1,MATCH(AR$3&amp;AR$4&amp;AR$5&amp;AR$6,$E$3:$AH$3&amp;$E$4:$AH$4&amp;$E$5:$AH$5&amp;$E$6:$AH$6,1))</f>
        <v>4967.84162858944</v>
      </c>
      <c r="AS102" s="15" cm="1">
        <f t="array" aca="1" ref="AS102" ca="1">INDEX($E102:$AH102,1,MATCH(AS$3&amp;AS$4&amp;AS$5&amp;AS$6,$E$3:$AH$3&amp;$E$4:$AH$4&amp;$E$5:$AH$5&amp;$E$6:$AH$6,1))</f>
        <v>4967.84162858944</v>
      </c>
      <c r="AU102" s="13">
        <f ca="1">INDEX($E102:$AH102,1,MATCH(AU$5,$E$5:$AH$5,1))</f>
        <v>4967.84162858944</v>
      </c>
      <c r="AV102" s="13">
        <f t="shared" ref="AV102:AW102" ca="1" si="222">INDEX($E102:$AH102,1,MATCH(AV$5,$E$5:$AH$5,1))</f>
        <v>4967.84162858944</v>
      </c>
      <c r="AW102" s="13">
        <f t="shared" ca="1" si="222"/>
        <v>4967.84162858944</v>
      </c>
    </row>
    <row r="103" spans="2:49" x14ac:dyDescent="0.25">
      <c r="P103" s="8"/>
      <c r="AM103" s="8"/>
    </row>
    <row r="104" spans="2:49" x14ac:dyDescent="0.25">
      <c r="C104" s="30" t="s">
        <v>248</v>
      </c>
      <c r="D104" s="30"/>
      <c r="E104" s="45" t="str">
        <f t="shared" ref="E104:AH104" si="223">E$9</f>
        <v>Jul-20A</v>
      </c>
      <c r="F104" s="45" t="str">
        <f t="shared" si="223"/>
        <v>Aug-20A</v>
      </c>
      <c r="G104" s="45" t="str">
        <f t="shared" si="223"/>
        <v>Sep-20A</v>
      </c>
      <c r="H104" s="45" t="str">
        <f t="shared" si="223"/>
        <v>Oct-20A</v>
      </c>
      <c r="I104" s="45" t="str">
        <f t="shared" si="223"/>
        <v>Nov-20A</v>
      </c>
      <c r="J104" s="45" t="str">
        <f t="shared" si="223"/>
        <v>Dec-20A</v>
      </c>
      <c r="K104" s="45" t="str">
        <f t="shared" si="223"/>
        <v>Jan-21A</v>
      </c>
      <c r="L104" s="45" t="str">
        <f t="shared" si="223"/>
        <v>Feb-21A</v>
      </c>
      <c r="M104" s="45" t="str">
        <f t="shared" si="223"/>
        <v>Mar-21A</v>
      </c>
      <c r="N104" s="45" t="str">
        <f t="shared" si="223"/>
        <v>Apr-21A</v>
      </c>
      <c r="O104" s="45" t="str">
        <f t="shared" si="223"/>
        <v>May-21A</v>
      </c>
      <c r="P104" s="46" t="str">
        <f t="shared" si="223"/>
        <v>Jun-21A</v>
      </c>
      <c r="Q104" s="45" t="str">
        <f t="shared" si="223"/>
        <v>Jul-21F</v>
      </c>
      <c r="R104" s="45" t="str">
        <f t="shared" si="223"/>
        <v>Aug-21F</v>
      </c>
      <c r="S104" s="45" t="str">
        <f t="shared" si="223"/>
        <v>Sep-21F</v>
      </c>
      <c r="T104" s="45" t="str">
        <f t="shared" si="223"/>
        <v>Oct-21F</v>
      </c>
      <c r="U104" s="45" t="str">
        <f t="shared" si="223"/>
        <v>Nov-21F</v>
      </c>
      <c r="V104" s="45" t="str">
        <f t="shared" si="223"/>
        <v>Dec-21F</v>
      </c>
      <c r="W104" s="45" t="str">
        <f t="shared" si="223"/>
        <v>Jan-22F</v>
      </c>
      <c r="X104" s="45" t="str">
        <f t="shared" si="223"/>
        <v>Feb-22F</v>
      </c>
      <c r="Y104" s="45" t="str">
        <f t="shared" si="223"/>
        <v>Mar-22F</v>
      </c>
      <c r="Z104" s="45" t="str">
        <f t="shared" si="223"/>
        <v>Apr-22F</v>
      </c>
      <c r="AA104" s="45" t="str">
        <f t="shared" si="223"/>
        <v>May-22F</v>
      </c>
      <c r="AB104" s="45" t="str">
        <f t="shared" si="223"/>
        <v>Jun-22F</v>
      </c>
      <c r="AC104" s="45" t="str">
        <f t="shared" si="223"/>
        <v>Jul-22F</v>
      </c>
      <c r="AD104" s="45" t="str">
        <f t="shared" si="223"/>
        <v>Aug-22F</v>
      </c>
      <c r="AE104" s="45" t="str">
        <f t="shared" si="223"/>
        <v>Sep-22F</v>
      </c>
      <c r="AF104" s="45" t="str">
        <f t="shared" si="223"/>
        <v>Oct-22F</v>
      </c>
      <c r="AG104" s="45" t="str">
        <f t="shared" si="223"/>
        <v>Nov-22F</v>
      </c>
      <c r="AH104" s="45" t="str">
        <f t="shared" si="223"/>
        <v>Dec-22F</v>
      </c>
      <c r="AJ104" s="45" t="str">
        <f ca="1">AJ$10</f>
        <v>Q3'20A</v>
      </c>
      <c r="AK104" s="45" t="str">
        <f t="shared" ref="AK104:AW104" ca="1" si="224">AK$10</f>
        <v>Q4'20A</v>
      </c>
      <c r="AL104" s="45" t="str">
        <f t="shared" ca="1" si="224"/>
        <v>Q1'21A</v>
      </c>
      <c r="AM104" s="46" t="str">
        <f t="shared" ca="1" si="224"/>
        <v>Q2'21A</v>
      </c>
      <c r="AN104" s="45" t="str">
        <f t="shared" ca="1" si="224"/>
        <v>Q3'21F</v>
      </c>
      <c r="AO104" s="45" t="str">
        <f t="shared" ca="1" si="224"/>
        <v>Q4'21F</v>
      </c>
      <c r="AP104" s="45" t="str">
        <f t="shared" ca="1" si="224"/>
        <v>Q1'22F</v>
      </c>
      <c r="AQ104" s="45" t="str">
        <f t="shared" ca="1" si="224"/>
        <v>Q2'22F</v>
      </c>
      <c r="AR104" s="45" t="str">
        <f t="shared" ca="1" si="224"/>
        <v>Q3'22F</v>
      </c>
      <c r="AS104" s="45" t="str">
        <f t="shared" ca="1" si="224"/>
        <v>Q4'22F</v>
      </c>
      <c r="AU104" s="45" t="str">
        <f t="shared" ca="1" si="224"/>
        <v>FY20</v>
      </c>
      <c r="AV104" s="45" t="str">
        <f t="shared" ca="1" si="224"/>
        <v>FY21</v>
      </c>
      <c r="AW104" s="45" t="str">
        <f t="shared" ca="1" si="224"/>
        <v>FY22</v>
      </c>
    </row>
    <row r="105" spans="2:49" x14ac:dyDescent="0.25">
      <c r="C105" s="1" t="s">
        <v>194</v>
      </c>
      <c r="D105" s="1"/>
      <c r="E105" s="61">
        <f t="shared" ref="E105:AH105" si="225">D109</f>
        <v>2741.3151503386998</v>
      </c>
      <c r="F105" s="61">
        <f t="shared" si="225"/>
        <v>2741.3151503386998</v>
      </c>
      <c r="G105" s="61">
        <f t="shared" si="225"/>
        <v>2741.3151503386998</v>
      </c>
      <c r="H105" s="61">
        <f t="shared" si="225"/>
        <v>2741.3151503386998</v>
      </c>
      <c r="I105" s="61">
        <f t="shared" si="225"/>
        <v>2741.3151503386998</v>
      </c>
      <c r="J105" s="61">
        <f t="shared" si="225"/>
        <v>2741.3151503386998</v>
      </c>
      <c r="K105" s="61">
        <f t="shared" si="225"/>
        <v>2741.3151503386998</v>
      </c>
      <c r="L105" s="61">
        <f t="shared" si="225"/>
        <v>2741.3151503386998</v>
      </c>
      <c r="M105" s="61">
        <f t="shared" si="225"/>
        <v>2741.3151503386998</v>
      </c>
      <c r="N105" s="61">
        <f t="shared" si="225"/>
        <v>2741.3151503386998</v>
      </c>
      <c r="O105" s="61">
        <f t="shared" si="225"/>
        <v>2741.3151503386998</v>
      </c>
      <c r="P105" s="17">
        <f t="shared" si="225"/>
        <v>2741.3151503386998</v>
      </c>
      <c r="Q105" s="15">
        <f t="shared" si="225"/>
        <v>2741.3151503386998</v>
      </c>
      <c r="R105" s="15">
        <f t="shared" si="225"/>
        <v>2741.3151503386998</v>
      </c>
      <c r="S105" s="15">
        <f t="shared" si="225"/>
        <v>2741.3151503386998</v>
      </c>
      <c r="T105" s="15">
        <f t="shared" si="225"/>
        <v>2741.3151503386998</v>
      </c>
      <c r="U105" s="15">
        <f t="shared" si="225"/>
        <v>2741.3151503386998</v>
      </c>
      <c r="V105" s="15">
        <f t="shared" si="225"/>
        <v>2741.3151503386998</v>
      </c>
      <c r="W105" s="104">
        <f t="shared" si="225"/>
        <v>2741.3151503386998</v>
      </c>
      <c r="X105" s="15">
        <f t="shared" si="225"/>
        <v>2741.3151503386998</v>
      </c>
      <c r="Y105" s="15">
        <f t="shared" si="225"/>
        <v>2741.3151503386998</v>
      </c>
      <c r="Z105" s="15">
        <f t="shared" si="225"/>
        <v>2741.3151503386998</v>
      </c>
      <c r="AA105" s="15">
        <f t="shared" si="225"/>
        <v>2741.3151503386998</v>
      </c>
      <c r="AB105" s="15">
        <f t="shared" si="225"/>
        <v>2741.3151503386998</v>
      </c>
      <c r="AC105" s="15">
        <f t="shared" si="225"/>
        <v>2741.3151503386998</v>
      </c>
      <c r="AD105" s="15">
        <f t="shared" si="225"/>
        <v>2741.3151503386998</v>
      </c>
      <c r="AE105" s="15">
        <f t="shared" si="225"/>
        <v>2741.3151503386998</v>
      </c>
      <c r="AF105" s="15">
        <f t="shared" si="225"/>
        <v>2741.3151503386998</v>
      </c>
      <c r="AG105" s="15">
        <f t="shared" si="225"/>
        <v>2741.3151503386998</v>
      </c>
      <c r="AH105" s="15">
        <f t="shared" si="225"/>
        <v>2741.3151503386998</v>
      </c>
      <c r="AJ105" s="15">
        <f ca="1">AJ109+AJ108+AJ107-AJ106</f>
        <v>2741.3151503386998</v>
      </c>
      <c r="AK105" s="15">
        <f t="shared" ref="AK105:AW105" ca="1" si="226">AK109+AK108+AK107-AK106</f>
        <v>2741.3151503386998</v>
      </c>
      <c r="AL105" s="15">
        <f t="shared" ca="1" si="226"/>
        <v>2741.3151503386998</v>
      </c>
      <c r="AM105" s="16">
        <f t="shared" ca="1" si="226"/>
        <v>2741.3151503386998</v>
      </c>
      <c r="AN105" s="15">
        <f t="shared" ca="1" si="226"/>
        <v>2741.3151503386998</v>
      </c>
      <c r="AO105" s="15">
        <f t="shared" ca="1" si="226"/>
        <v>2741.3151503386998</v>
      </c>
      <c r="AP105" s="15">
        <f t="shared" ca="1" si="226"/>
        <v>2741.3151503386998</v>
      </c>
      <c r="AQ105" s="15">
        <f t="shared" ca="1" si="226"/>
        <v>2741.3151503386998</v>
      </c>
      <c r="AR105" s="15">
        <f t="shared" ca="1" si="226"/>
        <v>2741.3151503386998</v>
      </c>
      <c r="AS105" s="15">
        <f t="shared" ca="1" si="226"/>
        <v>2741.3151503386998</v>
      </c>
      <c r="AU105" s="15">
        <f t="shared" ca="1" si="226"/>
        <v>2741.3151503386998</v>
      </c>
      <c r="AV105" s="15">
        <f t="shared" ca="1" si="226"/>
        <v>2741.3151503386998</v>
      </c>
      <c r="AW105" s="15">
        <f t="shared" ca="1" si="226"/>
        <v>2741.3151503386998</v>
      </c>
    </row>
    <row r="106" spans="2:49" x14ac:dyDescent="0.25">
      <c r="C106" s="108" t="s">
        <v>253</v>
      </c>
      <c r="D106" s="1"/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2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J106" s="15" cm="1">
        <f t="array" aca="1" ref="AJ106" ca="1">SUMPRODUCT(($E106:$AH106)*(AJ$3&amp;AJ$4&amp;AJ$5&amp;AJ$6=$E$3:$AH$3&amp;$E$4:$AH$4&amp;$E$5:$AH$5&amp;$E$6:$AH$6))</f>
        <v>0</v>
      </c>
      <c r="AK106" s="15" cm="1">
        <f t="array" aca="1" ref="AK106" ca="1">SUMPRODUCT(($E106:$AH106)*(AK$3=$E$3:$AH$3)*(AK$4=$E$4:$AH$4)*(AK$5=$E$5:$AH$5)*(AK$6=$E$6:$AH$6))</f>
        <v>0</v>
      </c>
      <c r="AL106" s="15" cm="1">
        <f t="array" aca="1" ref="AL106" ca="1">SUMPRODUCT(($E106:$AH106)*(AL$3=$E$3:$AH$3)*(AL$4=$E$4:$AH$4)*(AL$5=$E$5:$AH$5)*(AL$6=$E$6:$AH$6))</f>
        <v>0</v>
      </c>
      <c r="AM106" s="16" cm="1">
        <f t="array" aca="1" ref="AM106" ca="1">SUMPRODUCT(($E106:$AH106)*(AM$3=$E$3:$AH$3)*(AM$4=$E$4:$AH$4)*(AM$5=$E$5:$AH$5)*(AM$6=$E$6:$AH$6))</f>
        <v>0</v>
      </c>
      <c r="AN106" s="15" cm="1">
        <f t="array" aca="1" ref="AN106" ca="1">SUMPRODUCT(($E106:$AH106)*(AN$3=$E$3:$AH$3)*(AN$4=$E$4:$AH$4)*(AN$5=$E$5:$AH$5)*(AN$6=$E$6:$AH$6))</f>
        <v>0</v>
      </c>
      <c r="AO106" s="15" cm="1">
        <f t="array" aca="1" ref="AO106" ca="1">SUMPRODUCT(($E106:$AH106)*(AO$3=$E$3:$AH$3)*(AO$4=$E$4:$AH$4)*(AO$5=$E$5:$AH$5)*(AO$6=$E$6:$AH$6))</f>
        <v>0</v>
      </c>
      <c r="AP106" s="15" cm="1">
        <f t="array" aca="1" ref="AP106" ca="1">SUMPRODUCT(($E106:$AH106)*(AP$3=$E$3:$AH$3)*(AP$4=$E$4:$AH$4)*(AP$5=$E$5:$AH$5)*(AP$6=$E$6:$AH$6))</f>
        <v>0</v>
      </c>
      <c r="AQ106" s="15" cm="1">
        <f t="array" aca="1" ref="AQ106" ca="1">SUMPRODUCT(($E106:$AH106)*(AQ$3=$E$3:$AH$3)*(AQ$4=$E$4:$AH$4)*(AQ$5=$E$5:$AH$5)*(AQ$6=$E$6:$AH$6))</f>
        <v>0</v>
      </c>
      <c r="AR106" s="15" cm="1">
        <f t="array" aca="1" ref="AR106" ca="1">SUMPRODUCT(($E106:$AH106)*(AR$3=$E$3:$AH$3)*(AR$4=$E$4:$AH$4)*(AR$5=$E$5:$AH$5)*(AR$6=$E$6:$AH$6))</f>
        <v>0</v>
      </c>
      <c r="AS106" s="15" cm="1">
        <f t="array" aca="1" ref="AS106" ca="1">SUMPRODUCT(($E106:$AH106)*(AS$3=$E$3:$AH$3)*(AS$4=$E$4:$AH$4)*(AS$5=$E$5:$AH$5)*(AS$6=$E$6:$AH$6))</f>
        <v>0</v>
      </c>
      <c r="AU106" s="15" cm="1">
        <f t="array" aca="1" ref="AU106" ca="1">SUMPRODUCT(($E106:$AH106)*(AU$5=$E$5:$AH$5))</f>
        <v>0</v>
      </c>
      <c r="AV106" s="15" cm="1">
        <f t="array" aca="1" ref="AV106" ca="1">SUMPRODUCT(($E106:$AH106)*(AV$5=$E$5:$AH$5))</f>
        <v>0</v>
      </c>
      <c r="AW106" s="15" cm="1">
        <f t="array" aca="1" ref="AW106" ca="1">SUMPRODUCT(($E106:$AH106)*(AW$5=$E$5:$AH$5))</f>
        <v>0</v>
      </c>
    </row>
    <row r="107" spans="2:49" x14ac:dyDescent="0.25">
      <c r="C107" s="108" t="s">
        <v>249</v>
      </c>
      <c r="D107" s="1"/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2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J107" s="15" cm="1">
        <f t="array" aca="1" ref="AJ107" ca="1">SUMPRODUCT(($E107:$AH107)*(AJ$3&amp;AJ$4&amp;AJ$5&amp;AJ$6=$E$3:$AH$3&amp;$E$4:$AH$4&amp;$E$5:$AH$5&amp;$E$6:$AH$6))</f>
        <v>0</v>
      </c>
      <c r="AK107" s="15" cm="1">
        <f t="array" aca="1" ref="AK107" ca="1">SUMPRODUCT(($E107:$AH107)*(AK$3=$E$3:$AH$3)*(AK$4=$E$4:$AH$4)*(AK$5=$E$5:$AH$5)*(AK$6=$E$6:$AH$6))</f>
        <v>0</v>
      </c>
      <c r="AL107" s="15" cm="1">
        <f t="array" aca="1" ref="AL107" ca="1">SUMPRODUCT(($E107:$AH107)*(AL$3=$E$3:$AH$3)*(AL$4=$E$4:$AH$4)*(AL$5=$E$5:$AH$5)*(AL$6=$E$6:$AH$6))</f>
        <v>0</v>
      </c>
      <c r="AM107" s="16" cm="1">
        <f t="array" aca="1" ref="AM107" ca="1">SUMPRODUCT(($E107:$AH107)*(AM$3=$E$3:$AH$3)*(AM$4=$E$4:$AH$4)*(AM$5=$E$5:$AH$5)*(AM$6=$E$6:$AH$6))</f>
        <v>0</v>
      </c>
      <c r="AN107" s="15" cm="1">
        <f t="array" aca="1" ref="AN107" ca="1">SUMPRODUCT(($E107:$AH107)*(AN$3=$E$3:$AH$3)*(AN$4=$E$4:$AH$4)*(AN$5=$E$5:$AH$5)*(AN$6=$E$6:$AH$6))</f>
        <v>0</v>
      </c>
      <c r="AO107" s="15" cm="1">
        <f t="array" aca="1" ref="AO107" ca="1">SUMPRODUCT(($E107:$AH107)*(AO$3=$E$3:$AH$3)*(AO$4=$E$4:$AH$4)*(AO$5=$E$5:$AH$5)*(AO$6=$E$6:$AH$6))</f>
        <v>0</v>
      </c>
      <c r="AP107" s="15" cm="1">
        <f t="array" aca="1" ref="AP107" ca="1">SUMPRODUCT(($E107:$AH107)*(AP$3=$E$3:$AH$3)*(AP$4=$E$4:$AH$4)*(AP$5=$E$5:$AH$5)*(AP$6=$E$6:$AH$6))</f>
        <v>0</v>
      </c>
      <c r="AQ107" s="15" cm="1">
        <f t="array" aca="1" ref="AQ107" ca="1">SUMPRODUCT(($E107:$AH107)*(AQ$3=$E$3:$AH$3)*(AQ$4=$E$4:$AH$4)*(AQ$5=$E$5:$AH$5)*(AQ$6=$E$6:$AH$6))</f>
        <v>0</v>
      </c>
      <c r="AR107" s="15" cm="1">
        <f t="array" aca="1" ref="AR107" ca="1">SUMPRODUCT(($E107:$AH107)*(AR$3=$E$3:$AH$3)*(AR$4=$E$4:$AH$4)*(AR$5=$E$5:$AH$5)*(AR$6=$E$6:$AH$6))</f>
        <v>0</v>
      </c>
      <c r="AS107" s="15" cm="1">
        <f t="array" aca="1" ref="AS107" ca="1">SUMPRODUCT(($E107:$AH107)*(AS$3=$E$3:$AH$3)*(AS$4=$E$4:$AH$4)*(AS$5=$E$5:$AH$5)*(AS$6=$E$6:$AH$6))</f>
        <v>0</v>
      </c>
      <c r="AU107" s="15" cm="1">
        <f t="array" aca="1" ref="AU107" ca="1">SUMPRODUCT(($E107:$AH107)*(AU$5=$E$5:$AH$5))</f>
        <v>0</v>
      </c>
      <c r="AV107" s="15" cm="1">
        <f t="array" aca="1" ref="AV107" ca="1">SUMPRODUCT(($E107:$AH107)*(AV$5=$E$5:$AH$5))</f>
        <v>0</v>
      </c>
      <c r="AW107" s="15" cm="1">
        <f t="array" aca="1" ref="AW107" ca="1">SUMPRODUCT(($E107:$AH107)*(AW$5=$E$5:$AH$5))</f>
        <v>0</v>
      </c>
    </row>
    <row r="108" spans="2:49" x14ac:dyDescent="0.25">
      <c r="C108" s="109" t="s">
        <v>250</v>
      </c>
      <c r="D108" s="152"/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  <c r="AF108" s="38">
        <v>0</v>
      </c>
      <c r="AG108" s="38">
        <v>0</v>
      </c>
      <c r="AH108" s="38">
        <v>0</v>
      </c>
      <c r="AJ108" s="29" cm="1">
        <f t="array" aca="1" ref="AJ108" ca="1">SUMPRODUCT(($E108:$AH108)*(AJ$3&amp;AJ$4&amp;AJ$5&amp;AJ$6=$E$3:$AH$3&amp;$E$4:$AH$4&amp;$E$5:$AH$5&amp;$E$6:$AH$6))</f>
        <v>0</v>
      </c>
      <c r="AK108" s="29" cm="1">
        <f t="array" aca="1" ref="AK108" ca="1">SUMPRODUCT(($E108:$AH108)*(AK$3=$E$3:$AH$3)*(AK$4=$E$4:$AH$4)*(AK$5=$E$5:$AH$5)*(AK$6=$E$6:$AH$6))</f>
        <v>0</v>
      </c>
      <c r="AL108" s="29" cm="1">
        <f t="array" aca="1" ref="AL108" ca="1">SUMPRODUCT(($E108:$AH108)*(AL$3=$E$3:$AH$3)*(AL$4=$E$4:$AH$4)*(AL$5=$E$5:$AH$5)*(AL$6=$E$6:$AH$6))</f>
        <v>0</v>
      </c>
      <c r="AM108" s="240" cm="1">
        <f t="array" aca="1" ref="AM108" ca="1">SUMPRODUCT(($E108:$AH108)*(AM$3=$E$3:$AH$3)*(AM$4=$E$4:$AH$4)*(AM$5=$E$5:$AH$5)*(AM$6=$E$6:$AH$6))</f>
        <v>0</v>
      </c>
      <c r="AN108" s="29" cm="1">
        <f t="array" aca="1" ref="AN108" ca="1">SUMPRODUCT(($E108:$AH108)*(AN$3=$E$3:$AH$3)*(AN$4=$E$4:$AH$4)*(AN$5=$E$5:$AH$5)*(AN$6=$E$6:$AH$6))</f>
        <v>0</v>
      </c>
      <c r="AO108" s="29" cm="1">
        <f t="array" aca="1" ref="AO108" ca="1">SUMPRODUCT(($E108:$AH108)*(AO$3=$E$3:$AH$3)*(AO$4=$E$4:$AH$4)*(AO$5=$E$5:$AH$5)*(AO$6=$E$6:$AH$6))</f>
        <v>0</v>
      </c>
      <c r="AP108" s="29" cm="1">
        <f t="array" aca="1" ref="AP108" ca="1">SUMPRODUCT(($E108:$AH108)*(AP$3=$E$3:$AH$3)*(AP$4=$E$4:$AH$4)*(AP$5=$E$5:$AH$5)*(AP$6=$E$6:$AH$6))</f>
        <v>0</v>
      </c>
      <c r="AQ108" s="29" cm="1">
        <f t="array" aca="1" ref="AQ108" ca="1">SUMPRODUCT(($E108:$AH108)*(AQ$3=$E$3:$AH$3)*(AQ$4=$E$4:$AH$4)*(AQ$5=$E$5:$AH$5)*(AQ$6=$E$6:$AH$6))</f>
        <v>0</v>
      </c>
      <c r="AR108" s="29" cm="1">
        <f t="array" aca="1" ref="AR108" ca="1">SUMPRODUCT(($E108:$AH108)*(AR$3=$E$3:$AH$3)*(AR$4=$E$4:$AH$4)*(AR$5=$E$5:$AH$5)*(AR$6=$E$6:$AH$6))</f>
        <v>0</v>
      </c>
      <c r="AS108" s="29" cm="1">
        <f t="array" aca="1" ref="AS108" ca="1">SUMPRODUCT(($E108:$AH108)*(AS$3=$E$3:$AH$3)*(AS$4=$E$4:$AH$4)*(AS$5=$E$5:$AH$5)*(AS$6=$E$6:$AH$6))</f>
        <v>0</v>
      </c>
      <c r="AU108" s="29" cm="1">
        <f t="array" aca="1" ref="AU108" ca="1">SUMPRODUCT(($E108:$AH108)*(AU$5=$E$5:$AH$5))</f>
        <v>0</v>
      </c>
      <c r="AV108" s="29" cm="1">
        <f t="array" aca="1" ref="AV108" ca="1">SUMPRODUCT(($E108:$AH108)*(AV$5=$E$5:$AH$5))</f>
        <v>0</v>
      </c>
      <c r="AW108" s="29" cm="1">
        <f t="array" aca="1" ref="AW108" ca="1">SUMPRODUCT(($E108:$AH108)*(AW$5=$E$5:$AH$5))</f>
        <v>0</v>
      </c>
    </row>
    <row r="109" spans="2:49" x14ac:dyDescent="0.25">
      <c r="B109" t="s">
        <v>231</v>
      </c>
      <c r="C109" s="2" t="s">
        <v>195</v>
      </c>
      <c r="D109" s="37">
        <f>4741.3151503387-2000</f>
        <v>2741.3151503386998</v>
      </c>
      <c r="E109" s="31">
        <v>2741.3151503386998</v>
      </c>
      <c r="F109" s="31">
        <v>2741.3151503386998</v>
      </c>
      <c r="G109" s="31">
        <v>2741.3151503386998</v>
      </c>
      <c r="H109" s="31">
        <v>2741.3151503386998</v>
      </c>
      <c r="I109" s="31">
        <v>2741.3151503386998</v>
      </c>
      <c r="J109" s="37">
        <v>2741.3151503386998</v>
      </c>
      <c r="K109" s="31">
        <v>2741.3151503386998</v>
      </c>
      <c r="L109" s="31">
        <v>2741.3151503386998</v>
      </c>
      <c r="M109" s="31">
        <v>2741.3151503386998</v>
      </c>
      <c r="N109" s="31">
        <v>2741.3151503386998</v>
      </c>
      <c r="O109" s="31">
        <v>2741.3151503386998</v>
      </c>
      <c r="P109" s="32">
        <v>2741.3151503386998</v>
      </c>
      <c r="Q109" s="15">
        <f t="shared" ref="Q109:AH109" si="227">Q105+Q106-Q108</f>
        <v>2741.3151503386998</v>
      </c>
      <c r="R109" s="15">
        <f t="shared" si="227"/>
        <v>2741.3151503386998</v>
      </c>
      <c r="S109" s="15">
        <f t="shared" si="227"/>
        <v>2741.3151503386998</v>
      </c>
      <c r="T109" s="15">
        <f t="shared" si="227"/>
        <v>2741.3151503386998</v>
      </c>
      <c r="U109" s="15">
        <f t="shared" si="227"/>
        <v>2741.3151503386998</v>
      </c>
      <c r="V109" s="15">
        <f t="shared" si="227"/>
        <v>2741.3151503386998</v>
      </c>
      <c r="W109" s="15">
        <f t="shared" si="227"/>
        <v>2741.3151503386998</v>
      </c>
      <c r="X109" s="15">
        <f t="shared" si="227"/>
        <v>2741.3151503386998</v>
      </c>
      <c r="Y109" s="15">
        <f t="shared" si="227"/>
        <v>2741.3151503386998</v>
      </c>
      <c r="Z109" s="15">
        <f t="shared" si="227"/>
        <v>2741.3151503386998</v>
      </c>
      <c r="AA109" s="15">
        <f t="shared" si="227"/>
        <v>2741.3151503386998</v>
      </c>
      <c r="AB109" s="15">
        <f t="shared" si="227"/>
        <v>2741.3151503386998</v>
      </c>
      <c r="AC109" s="15">
        <f t="shared" si="227"/>
        <v>2741.3151503386998</v>
      </c>
      <c r="AD109" s="15">
        <f t="shared" si="227"/>
        <v>2741.3151503386998</v>
      </c>
      <c r="AE109" s="15">
        <f t="shared" si="227"/>
        <v>2741.3151503386998</v>
      </c>
      <c r="AF109" s="15">
        <f t="shared" si="227"/>
        <v>2741.3151503386998</v>
      </c>
      <c r="AG109" s="15">
        <f t="shared" si="227"/>
        <v>2741.3151503386998</v>
      </c>
      <c r="AH109" s="15">
        <f t="shared" si="227"/>
        <v>2741.3151503386998</v>
      </c>
      <c r="AJ109" s="15" cm="1">
        <f t="array" aca="1" ref="AJ109" ca="1">INDEX($E109:$AH109,1,MATCH(AJ$3&amp;AJ$4&amp;AJ$5&amp;AJ$6,$E$3:$AH$3&amp;$E$4:$AH$4&amp;$E$5:$AH$5&amp;$E$6:$AH$6,1))</f>
        <v>2741.3151503386998</v>
      </c>
      <c r="AK109" s="15" cm="1">
        <f t="array" aca="1" ref="AK109" ca="1">INDEX($E109:$AH109,1,MATCH(AK$3&amp;AK$4&amp;AK$5&amp;AK$6,$E$3:$AH$3&amp;$E$4:$AH$4&amp;$E$5:$AH$5&amp;$E$6:$AH$6,1))</f>
        <v>2741.3151503386998</v>
      </c>
      <c r="AL109" s="15" cm="1">
        <f t="array" aca="1" ref="AL109" ca="1">INDEX($E109:$AH109,1,MATCH(AL$3&amp;AL$4&amp;AL$5&amp;AL$6,$E$3:$AH$3&amp;$E$4:$AH$4&amp;$E$5:$AH$5&amp;$E$6:$AH$6,1))</f>
        <v>2741.3151503386998</v>
      </c>
      <c r="AM109" s="16" cm="1">
        <f t="array" aca="1" ref="AM109" ca="1">INDEX($E109:$AH109,1,MATCH(AM$3&amp;AM$4&amp;AM$5&amp;AM$6,$E$3:$AH$3&amp;$E$4:$AH$4&amp;$E$5:$AH$5&amp;$E$6:$AH$6,1))</f>
        <v>2741.3151503386998</v>
      </c>
      <c r="AN109" s="15" cm="1">
        <f t="array" aca="1" ref="AN109" ca="1">INDEX($E109:$AH109,1,MATCH(AN$3&amp;AN$4&amp;AN$5&amp;AN$6,$E$3:$AH$3&amp;$E$4:$AH$4&amp;$E$5:$AH$5&amp;$E$6:$AH$6,1))</f>
        <v>2741.3151503386998</v>
      </c>
      <c r="AO109" s="15" cm="1">
        <f t="array" aca="1" ref="AO109" ca="1">INDEX($E109:$AH109,1,MATCH(AO$3&amp;AO$4&amp;AO$5&amp;AO$6,$E$3:$AH$3&amp;$E$4:$AH$4&amp;$E$5:$AH$5&amp;$E$6:$AH$6,1))</f>
        <v>2741.3151503386998</v>
      </c>
      <c r="AP109" s="15" cm="1">
        <f t="array" aca="1" ref="AP109" ca="1">INDEX($E109:$AH109,1,MATCH(AP$3&amp;AP$4&amp;AP$5&amp;AP$6,$E$3:$AH$3&amp;$E$4:$AH$4&amp;$E$5:$AH$5&amp;$E$6:$AH$6,1))</f>
        <v>2741.3151503386998</v>
      </c>
      <c r="AQ109" s="15" cm="1">
        <f t="array" aca="1" ref="AQ109" ca="1">INDEX($E109:$AH109,1,MATCH(AQ$3&amp;AQ$4&amp;AQ$5&amp;AQ$6,$E$3:$AH$3&amp;$E$4:$AH$4&amp;$E$5:$AH$5&amp;$E$6:$AH$6,1))</f>
        <v>2741.3151503386998</v>
      </c>
      <c r="AR109" s="15" cm="1">
        <f t="array" aca="1" ref="AR109" ca="1">INDEX($E109:$AH109,1,MATCH(AR$3&amp;AR$4&amp;AR$5&amp;AR$6,$E$3:$AH$3&amp;$E$4:$AH$4&amp;$E$5:$AH$5&amp;$E$6:$AH$6,1))</f>
        <v>2741.3151503386998</v>
      </c>
      <c r="AS109" s="15" cm="1">
        <f t="array" aca="1" ref="AS109" ca="1">INDEX($E109:$AH109,1,MATCH(AS$3&amp;AS$4&amp;AS$5&amp;AS$6,$E$3:$AH$3&amp;$E$4:$AH$4&amp;$E$5:$AH$5&amp;$E$6:$AH$6,1))</f>
        <v>2741.3151503386998</v>
      </c>
      <c r="AU109" s="13">
        <f ca="1">INDEX($E109:$AH109,1,MATCH(AU$5,$E$5:$AH$5,1))</f>
        <v>2741.3151503386998</v>
      </c>
      <c r="AV109" s="13">
        <f t="shared" ref="AV109:AW109" ca="1" si="228">INDEX($E109:$AH109,1,MATCH(AV$5,$E$5:$AH$5,1))</f>
        <v>2741.3151503386998</v>
      </c>
      <c r="AW109" s="13">
        <f t="shared" ca="1" si="228"/>
        <v>2741.3151503386998</v>
      </c>
    </row>
    <row r="110" spans="2:49" x14ac:dyDescent="0.25">
      <c r="P110" s="8"/>
      <c r="AM110" s="8"/>
    </row>
    <row r="111" spans="2:49" x14ac:dyDescent="0.25">
      <c r="C111" s="30" t="s">
        <v>246</v>
      </c>
      <c r="D111" s="30"/>
      <c r="E111" s="45" t="str">
        <f t="shared" ref="E111:AH111" si="229">E$9</f>
        <v>Jul-20A</v>
      </c>
      <c r="F111" s="45" t="str">
        <f t="shared" si="229"/>
        <v>Aug-20A</v>
      </c>
      <c r="G111" s="45" t="str">
        <f t="shared" si="229"/>
        <v>Sep-20A</v>
      </c>
      <c r="H111" s="45" t="str">
        <f t="shared" si="229"/>
        <v>Oct-20A</v>
      </c>
      <c r="I111" s="45" t="str">
        <f t="shared" si="229"/>
        <v>Nov-20A</v>
      </c>
      <c r="J111" s="45" t="str">
        <f t="shared" si="229"/>
        <v>Dec-20A</v>
      </c>
      <c r="K111" s="45" t="str">
        <f t="shared" si="229"/>
        <v>Jan-21A</v>
      </c>
      <c r="L111" s="45" t="str">
        <f t="shared" si="229"/>
        <v>Feb-21A</v>
      </c>
      <c r="M111" s="45" t="str">
        <f t="shared" si="229"/>
        <v>Mar-21A</v>
      </c>
      <c r="N111" s="45" t="str">
        <f t="shared" si="229"/>
        <v>Apr-21A</v>
      </c>
      <c r="O111" s="45" t="str">
        <f t="shared" si="229"/>
        <v>May-21A</v>
      </c>
      <c r="P111" s="46" t="str">
        <f t="shared" si="229"/>
        <v>Jun-21A</v>
      </c>
      <c r="Q111" s="45" t="str">
        <f t="shared" si="229"/>
        <v>Jul-21F</v>
      </c>
      <c r="R111" s="45" t="str">
        <f t="shared" si="229"/>
        <v>Aug-21F</v>
      </c>
      <c r="S111" s="45" t="str">
        <f t="shared" si="229"/>
        <v>Sep-21F</v>
      </c>
      <c r="T111" s="45" t="str">
        <f t="shared" si="229"/>
        <v>Oct-21F</v>
      </c>
      <c r="U111" s="45" t="str">
        <f t="shared" si="229"/>
        <v>Nov-21F</v>
      </c>
      <c r="V111" s="45" t="str">
        <f t="shared" si="229"/>
        <v>Dec-21F</v>
      </c>
      <c r="W111" s="45" t="str">
        <f t="shared" si="229"/>
        <v>Jan-22F</v>
      </c>
      <c r="X111" s="45" t="str">
        <f t="shared" si="229"/>
        <v>Feb-22F</v>
      </c>
      <c r="Y111" s="45" t="str">
        <f t="shared" si="229"/>
        <v>Mar-22F</v>
      </c>
      <c r="Z111" s="45" t="str">
        <f t="shared" si="229"/>
        <v>Apr-22F</v>
      </c>
      <c r="AA111" s="45" t="str">
        <f t="shared" si="229"/>
        <v>May-22F</v>
      </c>
      <c r="AB111" s="45" t="str">
        <f t="shared" si="229"/>
        <v>Jun-22F</v>
      </c>
      <c r="AC111" s="45" t="str">
        <f t="shared" si="229"/>
        <v>Jul-22F</v>
      </c>
      <c r="AD111" s="45" t="str">
        <f t="shared" si="229"/>
        <v>Aug-22F</v>
      </c>
      <c r="AE111" s="45" t="str">
        <f t="shared" si="229"/>
        <v>Sep-22F</v>
      </c>
      <c r="AF111" s="45" t="str">
        <f t="shared" si="229"/>
        <v>Oct-22F</v>
      </c>
      <c r="AG111" s="45" t="str">
        <f t="shared" si="229"/>
        <v>Nov-22F</v>
      </c>
      <c r="AH111" s="45" t="str">
        <f t="shared" si="229"/>
        <v>Dec-22F</v>
      </c>
      <c r="AJ111" s="45" t="str">
        <f ca="1">AJ$10</f>
        <v>Q3'20A</v>
      </c>
      <c r="AK111" s="45" t="str">
        <f t="shared" ref="AK111:AW111" ca="1" si="230">AK$10</f>
        <v>Q4'20A</v>
      </c>
      <c r="AL111" s="45" t="str">
        <f t="shared" ca="1" si="230"/>
        <v>Q1'21A</v>
      </c>
      <c r="AM111" s="46" t="str">
        <f t="shared" ca="1" si="230"/>
        <v>Q2'21A</v>
      </c>
      <c r="AN111" s="45" t="str">
        <f t="shared" ca="1" si="230"/>
        <v>Q3'21F</v>
      </c>
      <c r="AO111" s="45" t="str">
        <f t="shared" ca="1" si="230"/>
        <v>Q4'21F</v>
      </c>
      <c r="AP111" s="45" t="str">
        <f t="shared" ca="1" si="230"/>
        <v>Q1'22F</v>
      </c>
      <c r="AQ111" s="45" t="str">
        <f t="shared" ca="1" si="230"/>
        <v>Q2'22F</v>
      </c>
      <c r="AR111" s="45" t="str">
        <f t="shared" ca="1" si="230"/>
        <v>Q3'22F</v>
      </c>
      <c r="AS111" s="45" t="str">
        <f t="shared" ca="1" si="230"/>
        <v>Q4'22F</v>
      </c>
      <c r="AU111" s="45" t="str">
        <f t="shared" ca="1" si="230"/>
        <v>FY20</v>
      </c>
      <c r="AV111" s="45" t="str">
        <f t="shared" ca="1" si="230"/>
        <v>FY21</v>
      </c>
      <c r="AW111" s="45" t="str">
        <f t="shared" ca="1" si="230"/>
        <v>FY22</v>
      </c>
    </row>
    <row r="112" spans="2:49" x14ac:dyDescent="0.25">
      <c r="C112" s="1" t="s">
        <v>194</v>
      </c>
      <c r="D112" s="1"/>
      <c r="E112" s="61">
        <f>D115</f>
        <v>524.91911158358153</v>
      </c>
      <c r="F112" s="61">
        <f t="shared" ref="F112:AH112" si="231">E115</f>
        <v>540.14864019657432</v>
      </c>
      <c r="G112" s="61">
        <f t="shared" si="231"/>
        <v>555.37816880956711</v>
      </c>
      <c r="H112" s="61">
        <f t="shared" si="231"/>
        <v>570.60769742255991</v>
      </c>
      <c r="I112" s="61">
        <f t="shared" si="231"/>
        <v>585.8372260355527</v>
      </c>
      <c r="J112" s="61">
        <f t="shared" si="231"/>
        <v>601.0667546485455</v>
      </c>
      <c r="K112" s="61">
        <f t="shared" si="231"/>
        <v>616.29628326153829</v>
      </c>
      <c r="L112" s="61">
        <f t="shared" si="231"/>
        <v>631.52581187453109</v>
      </c>
      <c r="M112" s="61">
        <f t="shared" si="231"/>
        <v>646.75534048752388</v>
      </c>
      <c r="N112" s="61">
        <f t="shared" si="231"/>
        <v>661.98486910051668</v>
      </c>
      <c r="O112" s="61">
        <f t="shared" si="231"/>
        <v>677.21439771350947</v>
      </c>
      <c r="P112" s="17">
        <f t="shared" si="231"/>
        <v>692.44392632650226</v>
      </c>
      <c r="Q112" s="15">
        <f t="shared" si="231"/>
        <v>707.67345493949506</v>
      </c>
      <c r="R112" s="15">
        <f t="shared" si="231"/>
        <v>722.90298355248785</v>
      </c>
      <c r="S112" s="15">
        <f t="shared" si="231"/>
        <v>738.13251216548065</v>
      </c>
      <c r="T112" s="15">
        <f t="shared" si="231"/>
        <v>753.36204077847344</v>
      </c>
      <c r="U112" s="15">
        <f t="shared" si="231"/>
        <v>768.59156939146624</v>
      </c>
      <c r="V112" s="15">
        <f t="shared" si="231"/>
        <v>783.82109800445903</v>
      </c>
      <c r="W112" s="104">
        <f t="shared" si="231"/>
        <v>799.05062661745183</v>
      </c>
      <c r="X112" s="15">
        <f t="shared" si="231"/>
        <v>814.28015523044462</v>
      </c>
      <c r="Y112" s="15">
        <f t="shared" si="231"/>
        <v>829.50968384343741</v>
      </c>
      <c r="Z112" s="15">
        <f t="shared" si="231"/>
        <v>844.73921245643021</v>
      </c>
      <c r="AA112" s="15">
        <f t="shared" si="231"/>
        <v>859.968741069423</v>
      </c>
      <c r="AB112" s="15">
        <f t="shared" si="231"/>
        <v>875.1982696824158</v>
      </c>
      <c r="AC112" s="15">
        <f t="shared" si="231"/>
        <v>890.42779829540859</v>
      </c>
      <c r="AD112" s="15">
        <f t="shared" si="231"/>
        <v>905.65732690840139</v>
      </c>
      <c r="AE112" s="15">
        <f t="shared" si="231"/>
        <v>920.88685552139418</v>
      </c>
      <c r="AF112" s="15">
        <f t="shared" si="231"/>
        <v>936.11638413438698</v>
      </c>
      <c r="AG112" s="15">
        <f t="shared" si="231"/>
        <v>951.34591274737977</v>
      </c>
      <c r="AH112" s="15">
        <f t="shared" si="231"/>
        <v>966.57544136037257</v>
      </c>
      <c r="AJ112" s="15">
        <f ca="1">AJ115+AJ114-AJ113</f>
        <v>524.91911158358153</v>
      </c>
      <c r="AK112" s="15">
        <f t="shared" ref="AK112" ca="1" si="232">AK115+AK114-AK113</f>
        <v>570.60769742256002</v>
      </c>
      <c r="AL112" s="15">
        <f t="shared" ref="AL112" ca="1" si="233">AL115+AL114-AL113</f>
        <v>616.29628326153829</v>
      </c>
      <c r="AM112" s="16">
        <f t="shared" ref="AM112" ca="1" si="234">AM115+AM114-AM113</f>
        <v>661.98486910051679</v>
      </c>
      <c r="AN112" s="15">
        <f t="shared" ref="AN112" ca="1" si="235">AN115+AN114-AN113</f>
        <v>707.67345493949506</v>
      </c>
      <c r="AO112" s="15">
        <f t="shared" ref="AO112" ca="1" si="236">AO115+AO114-AO113</f>
        <v>753.36204077847356</v>
      </c>
      <c r="AP112" s="15">
        <f t="shared" ref="AP112" ca="1" si="237">AP115+AP114-AP113</f>
        <v>799.05062661745183</v>
      </c>
      <c r="AQ112" s="15">
        <f t="shared" ref="AQ112" ca="1" si="238">AQ115+AQ114-AQ113</f>
        <v>844.73921245643032</v>
      </c>
      <c r="AR112" s="15">
        <f t="shared" ref="AR112" ca="1" si="239">AR115+AR114-AR113</f>
        <v>890.42779829540859</v>
      </c>
      <c r="AS112" s="15">
        <f t="shared" ref="AS112" ca="1" si="240">AS115+AS114-AS113</f>
        <v>936.11638413438709</v>
      </c>
      <c r="AT112" s="15">
        <f t="shared" ref="AT112" si="241">AT115+AT114-AT113</f>
        <v>0</v>
      </c>
      <c r="AU112" s="15">
        <f t="shared" ref="AU112" ca="1" si="242">AU115+AU114-AU113</f>
        <v>524.91911158358164</v>
      </c>
      <c r="AV112" s="15">
        <f t="shared" ref="AV112" ca="1" si="243">AV115+AV114-AV113</f>
        <v>616.29628326153852</v>
      </c>
      <c r="AW112" s="15">
        <f t="shared" ref="AW112" ca="1" si="244">AW115+AW114-AW113</f>
        <v>799.05062661745205</v>
      </c>
    </row>
    <row r="113" spans="2:49" x14ac:dyDescent="0.25">
      <c r="C113" s="108" t="s">
        <v>251</v>
      </c>
      <c r="D113" s="1"/>
      <c r="E113" s="56">
        <f>Expense!E56</f>
        <v>15.229528612992777</v>
      </c>
      <c r="F113" s="56">
        <f>Expense!F56</f>
        <v>15.229528612992777</v>
      </c>
      <c r="G113" s="56">
        <f>Expense!G56</f>
        <v>15.229528612992777</v>
      </c>
      <c r="H113" s="56">
        <f>Expense!H56</f>
        <v>15.229528612992777</v>
      </c>
      <c r="I113" s="56">
        <f>Expense!I56</f>
        <v>15.229528612992777</v>
      </c>
      <c r="J113" s="56">
        <f>Expense!J56</f>
        <v>15.229528612992777</v>
      </c>
      <c r="K113" s="56">
        <f>Expense!K56</f>
        <v>15.229528612992777</v>
      </c>
      <c r="L113" s="56">
        <f>Expense!L56</f>
        <v>15.229528612992777</v>
      </c>
      <c r="M113" s="56">
        <f>Expense!M56</f>
        <v>15.229528612992777</v>
      </c>
      <c r="N113" s="56">
        <f>Expense!N56</f>
        <v>15.229528612992777</v>
      </c>
      <c r="O113" s="56">
        <f>Expense!O56</f>
        <v>15.229528612992777</v>
      </c>
      <c r="P113" s="34">
        <f>Expense!P56</f>
        <v>15.229528612992777</v>
      </c>
      <c r="Q113" s="33">
        <f>Expense!Q56</f>
        <v>15.229528612992777</v>
      </c>
      <c r="R113" s="33">
        <f>Expense!R56</f>
        <v>15.229528612992777</v>
      </c>
      <c r="S113" s="33">
        <f>Expense!S56</f>
        <v>15.229528612992777</v>
      </c>
      <c r="T113" s="33">
        <f>Expense!T56</f>
        <v>15.229528612992777</v>
      </c>
      <c r="U113" s="33">
        <f>Expense!U56</f>
        <v>15.229528612992777</v>
      </c>
      <c r="V113" s="33">
        <f>Expense!V56</f>
        <v>15.229528612992777</v>
      </c>
      <c r="W113" s="33">
        <f>Expense!W56</f>
        <v>15.229528612992777</v>
      </c>
      <c r="X113" s="33">
        <f>Expense!X56</f>
        <v>15.229528612992777</v>
      </c>
      <c r="Y113" s="33">
        <f>Expense!Y56</f>
        <v>15.229528612992777</v>
      </c>
      <c r="Z113" s="33">
        <f>Expense!Z56</f>
        <v>15.229528612992777</v>
      </c>
      <c r="AA113" s="33">
        <f>Expense!AA56</f>
        <v>15.229528612992777</v>
      </c>
      <c r="AB113" s="33">
        <f>Expense!AB56</f>
        <v>15.229528612992777</v>
      </c>
      <c r="AC113" s="33">
        <f>Expense!AC56</f>
        <v>15.229528612992777</v>
      </c>
      <c r="AD113" s="33">
        <f>Expense!AD56</f>
        <v>15.229528612992777</v>
      </c>
      <c r="AE113" s="33">
        <f>Expense!AE56</f>
        <v>15.229528612992777</v>
      </c>
      <c r="AF113" s="33">
        <f>Expense!AF56</f>
        <v>15.229528612992777</v>
      </c>
      <c r="AG113" s="33">
        <f>Expense!AG56</f>
        <v>15.229528612992777</v>
      </c>
      <c r="AH113" s="33">
        <f>Expense!AH56</f>
        <v>15.229528612992777</v>
      </c>
      <c r="AJ113" s="15" cm="1">
        <f t="array" aca="1" ref="AJ113" ca="1">SUMPRODUCT(($E113:$AH113)*(AJ$3&amp;AJ$4&amp;AJ$5&amp;AJ$6=$E$3:$AH$3&amp;$E$4:$AH$4&amp;$E$5:$AH$5&amp;$E$6:$AH$6))</f>
        <v>45.688585838978327</v>
      </c>
      <c r="AK113" s="15" cm="1">
        <f t="array" aca="1" ref="AK113" ca="1">SUMPRODUCT(($E113:$AH113)*(AK$3=$E$3:$AH$3)*(AK$4=$E$4:$AH$4)*(AK$5=$E$5:$AH$5)*(AK$6=$E$6:$AH$6))</f>
        <v>45.688585838978327</v>
      </c>
      <c r="AL113" s="15" cm="1">
        <f t="array" aca="1" ref="AL113" ca="1">SUMPRODUCT(($E113:$AH113)*(AL$3=$E$3:$AH$3)*(AL$4=$E$4:$AH$4)*(AL$5=$E$5:$AH$5)*(AL$6=$E$6:$AH$6))</f>
        <v>45.688585838978327</v>
      </c>
      <c r="AM113" s="16" cm="1">
        <f t="array" aca="1" ref="AM113" ca="1">SUMPRODUCT(($E113:$AH113)*(AM$3=$E$3:$AH$3)*(AM$4=$E$4:$AH$4)*(AM$5=$E$5:$AH$5)*(AM$6=$E$6:$AH$6))</f>
        <v>45.688585838978327</v>
      </c>
      <c r="AN113" s="15" cm="1">
        <f t="array" aca="1" ref="AN113" ca="1">SUMPRODUCT(($E113:$AH113)*(AN$3=$E$3:$AH$3)*(AN$4=$E$4:$AH$4)*(AN$5=$E$5:$AH$5)*(AN$6=$E$6:$AH$6))</f>
        <v>45.688585838978327</v>
      </c>
      <c r="AO113" s="15" cm="1">
        <f t="array" aca="1" ref="AO113" ca="1">SUMPRODUCT(($E113:$AH113)*(AO$3=$E$3:$AH$3)*(AO$4=$E$4:$AH$4)*(AO$5=$E$5:$AH$5)*(AO$6=$E$6:$AH$6))</f>
        <v>45.688585838978327</v>
      </c>
      <c r="AP113" s="15" cm="1">
        <f t="array" aca="1" ref="AP113" ca="1">SUMPRODUCT(($E113:$AH113)*(AP$3=$E$3:$AH$3)*(AP$4=$E$4:$AH$4)*(AP$5=$E$5:$AH$5)*(AP$6=$E$6:$AH$6))</f>
        <v>45.688585838978327</v>
      </c>
      <c r="AQ113" s="15" cm="1">
        <f t="array" aca="1" ref="AQ113" ca="1">SUMPRODUCT(($E113:$AH113)*(AQ$3=$E$3:$AH$3)*(AQ$4=$E$4:$AH$4)*(AQ$5=$E$5:$AH$5)*(AQ$6=$E$6:$AH$6))</f>
        <v>45.688585838978327</v>
      </c>
      <c r="AR113" s="15" cm="1">
        <f t="array" aca="1" ref="AR113" ca="1">SUMPRODUCT(($E113:$AH113)*(AR$3=$E$3:$AH$3)*(AR$4=$E$4:$AH$4)*(AR$5=$E$5:$AH$5)*(AR$6=$E$6:$AH$6))</f>
        <v>45.688585838978327</v>
      </c>
      <c r="AS113" s="15" cm="1">
        <f t="array" aca="1" ref="AS113" ca="1">SUMPRODUCT(($E113:$AH113)*(AS$3=$E$3:$AH$3)*(AS$4=$E$4:$AH$4)*(AS$5=$E$5:$AH$5)*(AS$6=$E$6:$AH$6))</f>
        <v>45.688585838978327</v>
      </c>
      <c r="AU113" s="15" cm="1">
        <f t="array" aca="1" ref="AU113" ca="1">SUMPRODUCT(($E113:$AH113)*(AU$5=$E$5:$AH$5))</f>
        <v>91.377171677956667</v>
      </c>
      <c r="AV113" s="15" cm="1">
        <f t="array" aca="1" ref="AV113" ca="1">SUMPRODUCT(($E113:$AH113)*(AV$5=$E$5:$AH$5))</f>
        <v>182.75434335591331</v>
      </c>
      <c r="AW113" s="15" cm="1">
        <f t="array" aca="1" ref="AW113" ca="1">SUMPRODUCT(($E113:$AH113)*(AW$5=$E$5:$AH$5))</f>
        <v>182.75434335591331</v>
      </c>
    </row>
    <row r="114" spans="2:49" x14ac:dyDescent="0.25">
      <c r="C114" s="109" t="s">
        <v>252</v>
      </c>
      <c r="D114" s="152"/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J114" s="29" cm="1">
        <f t="array" aca="1" ref="AJ114" ca="1">SUMPRODUCT(($E114:$AH114)*(AJ$3&amp;AJ$4&amp;AJ$5&amp;AJ$6=$E$3:$AH$3&amp;$E$4:$AH$4&amp;$E$5:$AH$5&amp;$E$6:$AH$6))</f>
        <v>0</v>
      </c>
      <c r="AK114" s="29" cm="1">
        <f t="array" aca="1" ref="AK114" ca="1">SUMPRODUCT(($E114:$AH114)*(AK$3=$E$3:$AH$3)*(AK$4=$E$4:$AH$4)*(AK$5=$E$5:$AH$5)*(AK$6=$E$6:$AH$6))</f>
        <v>0</v>
      </c>
      <c r="AL114" s="29" cm="1">
        <f t="array" aca="1" ref="AL114" ca="1">SUMPRODUCT(($E114:$AH114)*(AL$3=$E$3:$AH$3)*(AL$4=$E$4:$AH$4)*(AL$5=$E$5:$AH$5)*(AL$6=$E$6:$AH$6))</f>
        <v>0</v>
      </c>
      <c r="AM114" s="240" cm="1">
        <f t="array" aca="1" ref="AM114" ca="1">SUMPRODUCT(($E114:$AH114)*(AM$3=$E$3:$AH$3)*(AM$4=$E$4:$AH$4)*(AM$5=$E$5:$AH$5)*(AM$6=$E$6:$AH$6))</f>
        <v>0</v>
      </c>
      <c r="AN114" s="29" cm="1">
        <f t="array" aca="1" ref="AN114" ca="1">SUMPRODUCT(($E114:$AH114)*(AN$3=$E$3:$AH$3)*(AN$4=$E$4:$AH$4)*(AN$5=$E$5:$AH$5)*(AN$6=$E$6:$AH$6))</f>
        <v>0</v>
      </c>
      <c r="AO114" s="29" cm="1">
        <f t="array" aca="1" ref="AO114" ca="1">SUMPRODUCT(($E114:$AH114)*(AO$3=$E$3:$AH$3)*(AO$4=$E$4:$AH$4)*(AO$5=$E$5:$AH$5)*(AO$6=$E$6:$AH$6))</f>
        <v>0</v>
      </c>
      <c r="AP114" s="29" cm="1">
        <f t="array" aca="1" ref="AP114" ca="1">SUMPRODUCT(($E114:$AH114)*(AP$3=$E$3:$AH$3)*(AP$4=$E$4:$AH$4)*(AP$5=$E$5:$AH$5)*(AP$6=$E$6:$AH$6))</f>
        <v>0</v>
      </c>
      <c r="AQ114" s="29" cm="1">
        <f t="array" aca="1" ref="AQ114" ca="1">SUMPRODUCT(($E114:$AH114)*(AQ$3=$E$3:$AH$3)*(AQ$4=$E$4:$AH$4)*(AQ$5=$E$5:$AH$5)*(AQ$6=$E$6:$AH$6))</f>
        <v>0</v>
      </c>
      <c r="AR114" s="29" cm="1">
        <f t="array" aca="1" ref="AR114" ca="1">SUMPRODUCT(($E114:$AH114)*(AR$3=$E$3:$AH$3)*(AR$4=$E$4:$AH$4)*(AR$5=$E$5:$AH$5)*(AR$6=$E$6:$AH$6))</f>
        <v>0</v>
      </c>
      <c r="AS114" s="29" cm="1">
        <f t="array" aca="1" ref="AS114" ca="1">SUMPRODUCT(($E114:$AH114)*(AS$3=$E$3:$AH$3)*(AS$4=$E$4:$AH$4)*(AS$5=$E$5:$AH$5)*(AS$6=$E$6:$AH$6))</f>
        <v>0</v>
      </c>
      <c r="AU114" s="29" cm="1">
        <f t="array" aca="1" ref="AU114" ca="1">SUMPRODUCT(($E114:$AH114)*(AU$5=$E$5:$AH$5))</f>
        <v>0</v>
      </c>
      <c r="AV114" s="29" cm="1">
        <f t="array" aca="1" ref="AV114" ca="1">SUMPRODUCT(($E114:$AH114)*(AV$5=$E$5:$AH$5))</f>
        <v>0</v>
      </c>
      <c r="AW114" s="29" cm="1">
        <f t="array" aca="1" ref="AW114" ca="1">SUMPRODUCT(($E114:$AH114)*(AW$5=$E$5:$AH$5))</f>
        <v>0</v>
      </c>
    </row>
    <row r="115" spans="2:49" x14ac:dyDescent="0.25">
      <c r="B115" t="s">
        <v>231</v>
      </c>
      <c r="C115" s="2" t="s">
        <v>195</v>
      </c>
      <c r="D115" s="37">
        <f>905.975191564367*(2741.3/4731.3)</f>
        <v>524.91911158358153</v>
      </c>
      <c r="E115" s="31">
        <v>540.14864019657432</v>
      </c>
      <c r="F115" s="31">
        <v>555.37816880956711</v>
      </c>
      <c r="G115" s="31">
        <v>570.60769742255991</v>
      </c>
      <c r="H115" s="31">
        <v>585.8372260355527</v>
      </c>
      <c r="I115" s="31">
        <v>601.0667546485455</v>
      </c>
      <c r="J115" s="37">
        <v>616.29628326153829</v>
      </c>
      <c r="K115" s="31">
        <v>631.52581187453109</v>
      </c>
      <c r="L115" s="31">
        <v>646.75534048752388</v>
      </c>
      <c r="M115" s="31">
        <v>661.98486910051668</v>
      </c>
      <c r="N115" s="31">
        <v>677.21439771350947</v>
      </c>
      <c r="O115" s="31">
        <v>692.44392632650226</v>
      </c>
      <c r="P115" s="32">
        <v>707.67345493949506</v>
      </c>
      <c r="Q115" s="15">
        <f t="shared" ref="Q115:AH115" si="245">Q112+Q113-Q114</f>
        <v>722.90298355248785</v>
      </c>
      <c r="R115" s="15">
        <f t="shared" si="245"/>
        <v>738.13251216548065</v>
      </c>
      <c r="S115" s="15">
        <f t="shared" si="245"/>
        <v>753.36204077847344</v>
      </c>
      <c r="T115" s="15">
        <f t="shared" si="245"/>
        <v>768.59156939146624</v>
      </c>
      <c r="U115" s="15">
        <f t="shared" si="245"/>
        <v>783.82109800445903</v>
      </c>
      <c r="V115" s="15">
        <f t="shared" si="245"/>
        <v>799.05062661745183</v>
      </c>
      <c r="W115" s="15">
        <f t="shared" si="245"/>
        <v>814.28015523044462</v>
      </c>
      <c r="X115" s="15">
        <f t="shared" si="245"/>
        <v>829.50968384343741</v>
      </c>
      <c r="Y115" s="15">
        <f t="shared" si="245"/>
        <v>844.73921245643021</v>
      </c>
      <c r="Z115" s="15">
        <f t="shared" si="245"/>
        <v>859.968741069423</v>
      </c>
      <c r="AA115" s="15">
        <f t="shared" si="245"/>
        <v>875.1982696824158</v>
      </c>
      <c r="AB115" s="15">
        <f t="shared" si="245"/>
        <v>890.42779829540859</v>
      </c>
      <c r="AC115" s="15">
        <f t="shared" si="245"/>
        <v>905.65732690840139</v>
      </c>
      <c r="AD115" s="15">
        <f t="shared" si="245"/>
        <v>920.88685552139418</v>
      </c>
      <c r="AE115" s="15">
        <f t="shared" si="245"/>
        <v>936.11638413438698</v>
      </c>
      <c r="AF115" s="15">
        <f t="shared" si="245"/>
        <v>951.34591274737977</v>
      </c>
      <c r="AG115" s="15">
        <f t="shared" si="245"/>
        <v>966.57544136037257</v>
      </c>
      <c r="AH115" s="15">
        <f t="shared" si="245"/>
        <v>981.80496997336536</v>
      </c>
      <c r="AJ115" s="15" cm="1">
        <f t="array" aca="1" ref="AJ115" ca="1">INDEX($E115:$AH115,1,MATCH(AJ$3&amp;AJ$4&amp;AJ$5&amp;AJ$6,$E$3:$AH$3&amp;$E$4:$AH$4&amp;$E$5:$AH$5&amp;$E$6:$AH$6,1))</f>
        <v>570.60769742255991</v>
      </c>
      <c r="AK115" s="15" cm="1">
        <f t="array" aca="1" ref="AK115" ca="1">INDEX($E115:$AH115,1,MATCH(AK$3&amp;AK$4&amp;AK$5&amp;AK$6,$E$3:$AH$3&amp;$E$4:$AH$4&amp;$E$5:$AH$5&amp;$E$6:$AH$6,1))</f>
        <v>616.29628326153829</v>
      </c>
      <c r="AL115" s="15" cm="1">
        <f t="array" aca="1" ref="AL115" ca="1">INDEX($E115:$AH115,1,MATCH(AL$3&amp;AL$4&amp;AL$5&amp;AL$6,$E$3:$AH$3&amp;$E$4:$AH$4&amp;$E$5:$AH$5&amp;$E$6:$AH$6,1))</f>
        <v>661.98486910051668</v>
      </c>
      <c r="AM115" s="16" cm="1">
        <f t="array" aca="1" ref="AM115" ca="1">INDEX($E115:$AH115,1,MATCH(AM$3&amp;AM$4&amp;AM$5&amp;AM$6,$E$3:$AH$3&amp;$E$4:$AH$4&amp;$E$5:$AH$5&amp;$E$6:$AH$6,1))</f>
        <v>707.67345493949506</v>
      </c>
      <c r="AN115" s="15" cm="1">
        <f t="array" aca="1" ref="AN115" ca="1">INDEX($E115:$AH115,1,MATCH(AN$3&amp;AN$4&amp;AN$5&amp;AN$6,$E$3:$AH$3&amp;$E$4:$AH$4&amp;$E$5:$AH$5&amp;$E$6:$AH$6,1))</f>
        <v>753.36204077847344</v>
      </c>
      <c r="AO115" s="15" cm="1">
        <f t="array" aca="1" ref="AO115" ca="1">INDEX($E115:$AH115,1,MATCH(AO$3&amp;AO$4&amp;AO$5&amp;AO$6,$E$3:$AH$3&amp;$E$4:$AH$4&amp;$E$5:$AH$5&amp;$E$6:$AH$6,1))</f>
        <v>799.05062661745183</v>
      </c>
      <c r="AP115" s="15" cm="1">
        <f t="array" aca="1" ref="AP115" ca="1">INDEX($E115:$AH115,1,MATCH(AP$3&amp;AP$4&amp;AP$5&amp;AP$6,$E$3:$AH$3&amp;$E$4:$AH$4&amp;$E$5:$AH$5&amp;$E$6:$AH$6,1))</f>
        <v>844.73921245643021</v>
      </c>
      <c r="AQ115" s="15" cm="1">
        <f t="array" aca="1" ref="AQ115" ca="1">INDEX($E115:$AH115,1,MATCH(AQ$3&amp;AQ$4&amp;AQ$5&amp;AQ$6,$E$3:$AH$3&amp;$E$4:$AH$4&amp;$E$5:$AH$5&amp;$E$6:$AH$6,1))</f>
        <v>890.42779829540859</v>
      </c>
      <c r="AR115" s="15" cm="1">
        <f t="array" aca="1" ref="AR115" ca="1">INDEX($E115:$AH115,1,MATCH(AR$3&amp;AR$4&amp;AR$5&amp;AR$6,$E$3:$AH$3&amp;$E$4:$AH$4&amp;$E$5:$AH$5&amp;$E$6:$AH$6,1))</f>
        <v>936.11638413438698</v>
      </c>
      <c r="AS115" s="15" cm="1">
        <f t="array" aca="1" ref="AS115" ca="1">INDEX($E115:$AH115,1,MATCH(AS$3&amp;AS$4&amp;AS$5&amp;AS$6,$E$3:$AH$3&amp;$E$4:$AH$4&amp;$E$5:$AH$5&amp;$E$6:$AH$6,1))</f>
        <v>981.80496997336536</v>
      </c>
      <c r="AU115" s="13">
        <f ca="1">INDEX($E115:$AH115,1,MATCH(AU$5,$E$5:$AH$5,1))</f>
        <v>616.29628326153829</v>
      </c>
      <c r="AV115" s="13">
        <f t="shared" ref="AV115:AW115" ca="1" si="246">INDEX($E115:$AH115,1,MATCH(AV$5,$E$5:$AH$5,1))</f>
        <v>799.05062661745183</v>
      </c>
      <c r="AW115" s="13">
        <f t="shared" ca="1" si="246"/>
        <v>981.80496997336536</v>
      </c>
    </row>
    <row r="116" spans="2:49" x14ac:dyDescent="0.25">
      <c r="P116" s="8"/>
      <c r="AM116" s="8"/>
    </row>
    <row r="117" spans="2:49" x14ac:dyDescent="0.25">
      <c r="C117" s="30" t="s">
        <v>247</v>
      </c>
      <c r="D117" s="30"/>
      <c r="E117" s="45" t="str">
        <f t="shared" ref="E117:AH117" si="247">E$9</f>
        <v>Jul-20A</v>
      </c>
      <c r="F117" s="45" t="str">
        <f t="shared" si="247"/>
        <v>Aug-20A</v>
      </c>
      <c r="G117" s="45" t="str">
        <f t="shared" si="247"/>
        <v>Sep-20A</v>
      </c>
      <c r="H117" s="45" t="str">
        <f t="shared" si="247"/>
        <v>Oct-20A</v>
      </c>
      <c r="I117" s="45" t="str">
        <f t="shared" si="247"/>
        <v>Nov-20A</v>
      </c>
      <c r="J117" s="45" t="str">
        <f t="shared" si="247"/>
        <v>Dec-20A</v>
      </c>
      <c r="K117" s="45" t="str">
        <f t="shared" si="247"/>
        <v>Jan-21A</v>
      </c>
      <c r="L117" s="45" t="str">
        <f t="shared" si="247"/>
        <v>Feb-21A</v>
      </c>
      <c r="M117" s="45" t="str">
        <f t="shared" si="247"/>
        <v>Mar-21A</v>
      </c>
      <c r="N117" s="45" t="str">
        <f t="shared" si="247"/>
        <v>Apr-21A</v>
      </c>
      <c r="O117" s="45" t="str">
        <f t="shared" si="247"/>
        <v>May-21A</v>
      </c>
      <c r="P117" s="46" t="str">
        <f t="shared" si="247"/>
        <v>Jun-21A</v>
      </c>
      <c r="Q117" s="45" t="str">
        <f t="shared" si="247"/>
        <v>Jul-21F</v>
      </c>
      <c r="R117" s="45" t="str">
        <f t="shared" si="247"/>
        <v>Aug-21F</v>
      </c>
      <c r="S117" s="45" t="str">
        <f t="shared" si="247"/>
        <v>Sep-21F</v>
      </c>
      <c r="T117" s="45" t="str">
        <f t="shared" si="247"/>
        <v>Oct-21F</v>
      </c>
      <c r="U117" s="45" t="str">
        <f t="shared" si="247"/>
        <v>Nov-21F</v>
      </c>
      <c r="V117" s="45" t="str">
        <f t="shared" si="247"/>
        <v>Dec-21F</v>
      </c>
      <c r="W117" s="45" t="str">
        <f t="shared" si="247"/>
        <v>Jan-22F</v>
      </c>
      <c r="X117" s="45" t="str">
        <f t="shared" si="247"/>
        <v>Feb-22F</v>
      </c>
      <c r="Y117" s="45" t="str">
        <f t="shared" si="247"/>
        <v>Mar-22F</v>
      </c>
      <c r="Z117" s="45" t="str">
        <f t="shared" si="247"/>
        <v>Apr-22F</v>
      </c>
      <c r="AA117" s="45" t="str">
        <f t="shared" si="247"/>
        <v>May-22F</v>
      </c>
      <c r="AB117" s="45" t="str">
        <f t="shared" si="247"/>
        <v>Jun-22F</v>
      </c>
      <c r="AC117" s="45" t="str">
        <f t="shared" si="247"/>
        <v>Jul-22F</v>
      </c>
      <c r="AD117" s="45" t="str">
        <f t="shared" si="247"/>
        <v>Aug-22F</v>
      </c>
      <c r="AE117" s="45" t="str">
        <f t="shared" si="247"/>
        <v>Sep-22F</v>
      </c>
      <c r="AF117" s="45" t="str">
        <f t="shared" si="247"/>
        <v>Oct-22F</v>
      </c>
      <c r="AG117" s="45" t="str">
        <f t="shared" si="247"/>
        <v>Nov-22F</v>
      </c>
      <c r="AH117" s="45" t="str">
        <f t="shared" si="247"/>
        <v>Dec-22F</v>
      </c>
      <c r="AJ117" s="45" t="str">
        <f ca="1">AJ$10</f>
        <v>Q3'20A</v>
      </c>
      <c r="AK117" s="45" t="str">
        <f t="shared" ref="AK117:AW117" ca="1" si="248">AK$10</f>
        <v>Q4'20A</v>
      </c>
      <c r="AL117" s="45" t="str">
        <f t="shared" ca="1" si="248"/>
        <v>Q1'21A</v>
      </c>
      <c r="AM117" s="46" t="str">
        <f t="shared" ca="1" si="248"/>
        <v>Q2'21A</v>
      </c>
      <c r="AN117" s="45" t="str">
        <f t="shared" ca="1" si="248"/>
        <v>Q3'21F</v>
      </c>
      <c r="AO117" s="45" t="str">
        <f t="shared" ca="1" si="248"/>
        <v>Q4'21F</v>
      </c>
      <c r="AP117" s="45" t="str">
        <f t="shared" ca="1" si="248"/>
        <v>Q1'22F</v>
      </c>
      <c r="AQ117" s="45" t="str">
        <f t="shared" ca="1" si="248"/>
        <v>Q2'22F</v>
      </c>
      <c r="AR117" s="45" t="str">
        <f t="shared" ca="1" si="248"/>
        <v>Q3'22F</v>
      </c>
      <c r="AS117" s="45" t="str">
        <f t="shared" ca="1" si="248"/>
        <v>Q4'22F</v>
      </c>
      <c r="AU117" s="45" t="str">
        <f t="shared" ca="1" si="248"/>
        <v>FY20</v>
      </c>
      <c r="AV117" s="45" t="str">
        <f t="shared" ca="1" si="248"/>
        <v>FY21</v>
      </c>
      <c r="AW117" s="45" t="str">
        <f t="shared" ca="1" si="248"/>
        <v>FY22</v>
      </c>
    </row>
    <row r="118" spans="2:49" x14ac:dyDescent="0.25">
      <c r="B118" t="s">
        <v>231</v>
      </c>
      <c r="C118" s="2" t="s">
        <v>195</v>
      </c>
      <c r="D118" s="13">
        <f>D109-D115</f>
        <v>2216.3960387551183</v>
      </c>
      <c r="E118" s="13">
        <f>E109-E115</f>
        <v>2201.1665101421254</v>
      </c>
      <c r="F118" s="15">
        <f t="shared" ref="F118:AW118" si="249">F109-F115</f>
        <v>2185.9369815291329</v>
      </c>
      <c r="G118" s="15">
        <f t="shared" si="249"/>
        <v>2170.70745291614</v>
      </c>
      <c r="H118" s="15">
        <f t="shared" si="249"/>
        <v>2155.4779243031471</v>
      </c>
      <c r="I118" s="15">
        <f t="shared" si="249"/>
        <v>2140.2483956901542</v>
      </c>
      <c r="J118" s="15">
        <f t="shared" si="249"/>
        <v>2125.0188670771613</v>
      </c>
      <c r="K118" s="13">
        <f t="shared" si="249"/>
        <v>2109.7893384641688</v>
      </c>
      <c r="L118" s="15">
        <f t="shared" si="249"/>
        <v>2094.5598098511759</v>
      </c>
      <c r="M118" s="15">
        <f t="shared" si="249"/>
        <v>2079.330281238183</v>
      </c>
      <c r="N118" s="15">
        <f t="shared" si="249"/>
        <v>2064.1007526251906</v>
      </c>
      <c r="O118" s="15">
        <f t="shared" si="249"/>
        <v>2048.8712240121977</v>
      </c>
      <c r="P118" s="16">
        <f t="shared" si="249"/>
        <v>2033.6416953992048</v>
      </c>
      <c r="Q118" s="15">
        <f t="shared" si="249"/>
        <v>2018.4121667862119</v>
      </c>
      <c r="R118" s="15">
        <f t="shared" si="249"/>
        <v>2003.1826381732192</v>
      </c>
      <c r="S118" s="15">
        <f t="shared" si="249"/>
        <v>1987.9531095602265</v>
      </c>
      <c r="T118" s="15">
        <f t="shared" si="249"/>
        <v>1972.7235809472336</v>
      </c>
      <c r="U118" s="15">
        <f t="shared" si="249"/>
        <v>1957.4940523342407</v>
      </c>
      <c r="V118" s="15">
        <f t="shared" si="249"/>
        <v>1942.264523721248</v>
      </c>
      <c r="W118" s="15">
        <f t="shared" si="249"/>
        <v>1927.0349951082553</v>
      </c>
      <c r="X118" s="15">
        <f t="shared" si="249"/>
        <v>1911.8054664952624</v>
      </c>
      <c r="Y118" s="15">
        <f t="shared" si="249"/>
        <v>1896.5759378822695</v>
      </c>
      <c r="Z118" s="15">
        <f t="shared" si="249"/>
        <v>1881.3464092692768</v>
      </c>
      <c r="AA118" s="15">
        <f t="shared" si="249"/>
        <v>1866.1168806562841</v>
      </c>
      <c r="AB118" s="15">
        <f t="shared" si="249"/>
        <v>1850.8873520432912</v>
      </c>
      <c r="AC118" s="15">
        <f t="shared" si="249"/>
        <v>1835.6578234302983</v>
      </c>
      <c r="AD118" s="15">
        <f t="shared" si="249"/>
        <v>1820.4282948173056</v>
      </c>
      <c r="AE118" s="15">
        <f t="shared" si="249"/>
        <v>1805.198766204313</v>
      </c>
      <c r="AF118" s="15">
        <f t="shared" si="249"/>
        <v>1789.9692375913201</v>
      </c>
      <c r="AG118" s="15">
        <f t="shared" si="249"/>
        <v>1774.7397089783271</v>
      </c>
      <c r="AH118" s="15">
        <f t="shared" si="249"/>
        <v>1759.5101803653345</v>
      </c>
      <c r="AJ118" s="15">
        <f t="shared" ca="1" si="249"/>
        <v>2170.70745291614</v>
      </c>
      <c r="AK118" s="15">
        <f t="shared" ca="1" si="249"/>
        <v>2125.0188670771613</v>
      </c>
      <c r="AL118" s="15">
        <f t="shared" ca="1" si="249"/>
        <v>2079.330281238183</v>
      </c>
      <c r="AM118" s="16">
        <f t="shared" ca="1" si="249"/>
        <v>2033.6416953992048</v>
      </c>
      <c r="AN118" s="15">
        <f t="shared" ca="1" si="249"/>
        <v>1987.9531095602265</v>
      </c>
      <c r="AO118" s="15">
        <f t="shared" ca="1" si="249"/>
        <v>1942.264523721248</v>
      </c>
      <c r="AP118" s="15">
        <f t="shared" ca="1" si="249"/>
        <v>1896.5759378822695</v>
      </c>
      <c r="AQ118" s="15">
        <f t="shared" ca="1" si="249"/>
        <v>1850.8873520432912</v>
      </c>
      <c r="AR118" s="15">
        <f t="shared" ca="1" si="249"/>
        <v>1805.198766204313</v>
      </c>
      <c r="AS118" s="15">
        <f t="shared" ca="1" si="249"/>
        <v>1759.5101803653345</v>
      </c>
      <c r="AU118" s="15">
        <f t="shared" ca="1" si="249"/>
        <v>2125.0188670771613</v>
      </c>
      <c r="AV118" s="15">
        <f t="shared" ca="1" si="249"/>
        <v>1942.264523721248</v>
      </c>
      <c r="AW118" s="15">
        <f t="shared" ca="1" si="249"/>
        <v>1759.5101803653345</v>
      </c>
    </row>
    <row r="119" spans="2:49" x14ac:dyDescent="0.25">
      <c r="P119" s="8"/>
      <c r="AM119" s="8"/>
    </row>
    <row r="120" spans="2:49" x14ac:dyDescent="0.25">
      <c r="C120" s="30" t="s">
        <v>275</v>
      </c>
      <c r="D120" s="30"/>
      <c r="E120" s="45" t="str">
        <f t="shared" ref="E120:AH120" si="250">E$9</f>
        <v>Jul-20A</v>
      </c>
      <c r="F120" s="45" t="str">
        <f t="shared" si="250"/>
        <v>Aug-20A</v>
      </c>
      <c r="G120" s="45" t="str">
        <f t="shared" si="250"/>
        <v>Sep-20A</v>
      </c>
      <c r="H120" s="45" t="str">
        <f t="shared" si="250"/>
        <v>Oct-20A</v>
      </c>
      <c r="I120" s="45" t="str">
        <f t="shared" si="250"/>
        <v>Nov-20A</v>
      </c>
      <c r="J120" s="45" t="str">
        <f t="shared" si="250"/>
        <v>Dec-20A</v>
      </c>
      <c r="K120" s="45" t="str">
        <f t="shared" si="250"/>
        <v>Jan-21A</v>
      </c>
      <c r="L120" s="45" t="str">
        <f t="shared" si="250"/>
        <v>Feb-21A</v>
      </c>
      <c r="M120" s="45" t="str">
        <f t="shared" si="250"/>
        <v>Mar-21A</v>
      </c>
      <c r="N120" s="45" t="str">
        <f t="shared" si="250"/>
        <v>Apr-21A</v>
      </c>
      <c r="O120" s="45" t="str">
        <f t="shared" si="250"/>
        <v>May-21A</v>
      </c>
      <c r="P120" s="46" t="str">
        <f t="shared" si="250"/>
        <v>Jun-21A</v>
      </c>
      <c r="Q120" s="45" t="str">
        <f t="shared" si="250"/>
        <v>Jul-21F</v>
      </c>
      <c r="R120" s="45" t="str">
        <f t="shared" si="250"/>
        <v>Aug-21F</v>
      </c>
      <c r="S120" s="45" t="str">
        <f t="shared" si="250"/>
        <v>Sep-21F</v>
      </c>
      <c r="T120" s="45" t="str">
        <f t="shared" si="250"/>
        <v>Oct-21F</v>
      </c>
      <c r="U120" s="45" t="str">
        <f t="shared" si="250"/>
        <v>Nov-21F</v>
      </c>
      <c r="V120" s="45" t="str">
        <f t="shared" si="250"/>
        <v>Dec-21F</v>
      </c>
      <c r="W120" s="45" t="str">
        <f t="shared" si="250"/>
        <v>Jan-22F</v>
      </c>
      <c r="X120" s="45" t="str">
        <f t="shared" si="250"/>
        <v>Feb-22F</v>
      </c>
      <c r="Y120" s="45" t="str">
        <f t="shared" si="250"/>
        <v>Mar-22F</v>
      </c>
      <c r="Z120" s="45" t="str">
        <f t="shared" si="250"/>
        <v>Apr-22F</v>
      </c>
      <c r="AA120" s="45" t="str">
        <f t="shared" si="250"/>
        <v>May-22F</v>
      </c>
      <c r="AB120" s="45" t="str">
        <f t="shared" si="250"/>
        <v>Jun-22F</v>
      </c>
      <c r="AC120" s="45" t="str">
        <f t="shared" si="250"/>
        <v>Jul-22F</v>
      </c>
      <c r="AD120" s="45" t="str">
        <f t="shared" si="250"/>
        <v>Aug-22F</v>
      </c>
      <c r="AE120" s="45" t="str">
        <f t="shared" si="250"/>
        <v>Sep-22F</v>
      </c>
      <c r="AF120" s="45" t="str">
        <f t="shared" si="250"/>
        <v>Oct-22F</v>
      </c>
      <c r="AG120" s="45" t="str">
        <f t="shared" si="250"/>
        <v>Nov-22F</v>
      </c>
      <c r="AH120" s="45" t="str">
        <f t="shared" si="250"/>
        <v>Dec-22F</v>
      </c>
      <c r="AJ120" s="45" t="str">
        <f ca="1">AJ$10</f>
        <v>Q3'20A</v>
      </c>
      <c r="AK120" s="45" t="str">
        <f t="shared" ref="AK120:AW120" ca="1" si="251">AK$10</f>
        <v>Q4'20A</v>
      </c>
      <c r="AL120" s="45" t="str">
        <f t="shared" ca="1" si="251"/>
        <v>Q1'21A</v>
      </c>
      <c r="AM120" s="46" t="str">
        <f t="shared" ca="1" si="251"/>
        <v>Q2'21A</v>
      </c>
      <c r="AN120" s="45" t="str">
        <f t="shared" ca="1" si="251"/>
        <v>Q3'21F</v>
      </c>
      <c r="AO120" s="45" t="str">
        <f t="shared" ca="1" si="251"/>
        <v>Q4'21F</v>
      </c>
      <c r="AP120" s="45" t="str">
        <f t="shared" ca="1" si="251"/>
        <v>Q1'22F</v>
      </c>
      <c r="AQ120" s="45" t="str">
        <f t="shared" ca="1" si="251"/>
        <v>Q2'22F</v>
      </c>
      <c r="AR120" s="45" t="str">
        <f t="shared" ca="1" si="251"/>
        <v>Q3'22F</v>
      </c>
      <c r="AS120" s="45" t="str">
        <f t="shared" ca="1" si="251"/>
        <v>Q4'22F</v>
      </c>
      <c r="AU120" s="45" t="str">
        <f t="shared" ca="1" si="251"/>
        <v>FY20</v>
      </c>
      <c r="AV120" s="45" t="str">
        <f t="shared" ca="1" si="251"/>
        <v>FY21</v>
      </c>
      <c r="AW120" s="45" t="str">
        <f t="shared" ca="1" si="251"/>
        <v>FY22</v>
      </c>
    </row>
    <row r="121" spans="2:49" x14ac:dyDescent="0.25">
      <c r="C121" s="1" t="s">
        <v>194</v>
      </c>
      <c r="D121" s="1"/>
      <c r="E121" s="61">
        <f t="shared" ref="E121" si="252">D125</f>
        <v>1000</v>
      </c>
      <c r="F121" s="61">
        <f t="shared" ref="F121" si="253">E125</f>
        <v>1000</v>
      </c>
      <c r="G121" s="61">
        <f t="shared" ref="G121" si="254">F125</f>
        <v>1000</v>
      </c>
      <c r="H121" s="61">
        <f t="shared" ref="H121" si="255">G125</f>
        <v>1000</v>
      </c>
      <c r="I121" s="61">
        <f t="shared" ref="I121" si="256">H125</f>
        <v>1000</v>
      </c>
      <c r="J121" s="61">
        <f t="shared" ref="J121" si="257">I125</f>
        <v>1000</v>
      </c>
      <c r="K121" s="61">
        <f t="shared" ref="K121" si="258">J125</f>
        <v>1000</v>
      </c>
      <c r="L121" s="61">
        <f t="shared" ref="L121" si="259">K125</f>
        <v>1000</v>
      </c>
      <c r="M121" s="61">
        <f t="shared" ref="M121" si="260">L125</f>
        <v>1000</v>
      </c>
      <c r="N121" s="61">
        <f t="shared" ref="N121" si="261">M125</f>
        <v>1000</v>
      </c>
      <c r="O121" s="61">
        <f t="shared" ref="O121" si="262">N125</f>
        <v>1000</v>
      </c>
      <c r="P121" s="17">
        <f t="shared" ref="P121" si="263">O125</f>
        <v>1000</v>
      </c>
      <c r="Q121" s="15">
        <f t="shared" ref="Q121" si="264">P125</f>
        <v>1000</v>
      </c>
      <c r="R121" s="15">
        <f t="shared" ref="R121" si="265">Q125</f>
        <v>1000</v>
      </c>
      <c r="S121" s="15">
        <f t="shared" ref="S121" si="266">R125</f>
        <v>1000</v>
      </c>
      <c r="T121" s="15">
        <f t="shared" ref="T121" si="267">S125</f>
        <v>1000</v>
      </c>
      <c r="U121" s="15">
        <f t="shared" ref="U121" si="268">T125</f>
        <v>1000</v>
      </c>
      <c r="V121" s="15">
        <f t="shared" ref="V121" si="269">U125</f>
        <v>1000</v>
      </c>
      <c r="W121" s="104">
        <f t="shared" ref="W121" si="270">V125</f>
        <v>1000</v>
      </c>
      <c r="X121" s="15">
        <f t="shared" ref="X121" si="271">W125</f>
        <v>1000</v>
      </c>
      <c r="Y121" s="15">
        <f t="shared" ref="Y121" si="272">X125</f>
        <v>1000</v>
      </c>
      <c r="Z121" s="15">
        <f t="shared" ref="Z121" si="273">Y125</f>
        <v>1000</v>
      </c>
      <c r="AA121" s="15">
        <f t="shared" ref="AA121" si="274">Z125</f>
        <v>1000</v>
      </c>
      <c r="AB121" s="15">
        <f t="shared" ref="AB121" si="275">AA125</f>
        <v>1000</v>
      </c>
      <c r="AC121" s="15">
        <f t="shared" ref="AC121" si="276">AB125</f>
        <v>1000</v>
      </c>
      <c r="AD121" s="15">
        <f t="shared" ref="AD121" si="277">AC125</f>
        <v>1000</v>
      </c>
      <c r="AE121" s="15">
        <f t="shared" ref="AE121" si="278">AD125</f>
        <v>1000</v>
      </c>
      <c r="AF121" s="15">
        <f t="shared" ref="AF121" si="279">AE125</f>
        <v>1000</v>
      </c>
      <c r="AG121" s="15">
        <f t="shared" ref="AG121" si="280">AF125</f>
        <v>1000</v>
      </c>
      <c r="AH121" s="15">
        <f t="shared" ref="AH121" si="281">AG125</f>
        <v>1000</v>
      </c>
      <c r="AJ121" s="15">
        <f ca="1">AJ125+AJ124+AJ123-AJ122</f>
        <v>1000</v>
      </c>
      <c r="AK121" s="15">
        <f t="shared" ref="AK121" ca="1" si="282">AK125+AK124+AK123-AK122</f>
        <v>1000</v>
      </c>
      <c r="AL121" s="15">
        <f t="shared" ref="AL121" ca="1" si="283">AL125+AL124+AL123-AL122</f>
        <v>1000</v>
      </c>
      <c r="AM121" s="16">
        <f t="shared" ref="AM121" ca="1" si="284">AM125+AM124+AM123-AM122</f>
        <v>1000</v>
      </c>
      <c r="AN121" s="15">
        <f t="shared" ref="AN121" ca="1" si="285">AN125+AN124+AN123-AN122</f>
        <v>1000</v>
      </c>
      <c r="AO121" s="15">
        <f t="shared" ref="AO121" ca="1" si="286">AO125+AO124+AO123-AO122</f>
        <v>1000</v>
      </c>
      <c r="AP121" s="15">
        <f t="shared" ref="AP121" ca="1" si="287">AP125+AP124+AP123-AP122</f>
        <v>1000</v>
      </c>
      <c r="AQ121" s="15">
        <f t="shared" ref="AQ121" ca="1" si="288">AQ125+AQ124+AQ123-AQ122</f>
        <v>1000</v>
      </c>
      <c r="AR121" s="15">
        <f t="shared" ref="AR121" ca="1" si="289">AR125+AR124+AR123-AR122</f>
        <v>1000</v>
      </c>
      <c r="AS121" s="15">
        <f t="shared" ref="AS121" ca="1" si="290">AS125+AS124+AS123-AS122</f>
        <v>1000</v>
      </c>
      <c r="AU121" s="15">
        <f t="shared" ref="AU121" ca="1" si="291">AU125+AU124+AU123-AU122</f>
        <v>1000</v>
      </c>
      <c r="AV121" s="15">
        <f t="shared" ref="AV121" ca="1" si="292">AV125+AV124+AV123-AV122</f>
        <v>1000</v>
      </c>
      <c r="AW121" s="15">
        <f t="shared" ref="AW121" ca="1" si="293">AW125+AW124+AW123-AW122</f>
        <v>1000</v>
      </c>
    </row>
    <row r="122" spans="2:49" x14ac:dyDescent="0.25">
      <c r="C122" s="108" t="s">
        <v>253</v>
      </c>
      <c r="D122" s="1"/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2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J122" s="15" cm="1">
        <f t="array" aca="1" ref="AJ122" ca="1">SUMPRODUCT(($E122:$AH122)*(AJ$3&amp;AJ$4&amp;AJ$5&amp;AJ$6=$E$3:$AH$3&amp;$E$4:$AH$4&amp;$E$5:$AH$5&amp;$E$6:$AH$6))</f>
        <v>0</v>
      </c>
      <c r="AK122" s="15" cm="1">
        <f t="array" aca="1" ref="AK122" ca="1">SUMPRODUCT(($E122:$AH122)*(AK$3=$E$3:$AH$3)*(AK$4=$E$4:$AH$4)*(AK$5=$E$5:$AH$5)*(AK$6=$E$6:$AH$6))</f>
        <v>0</v>
      </c>
      <c r="AL122" s="15" cm="1">
        <f t="array" aca="1" ref="AL122" ca="1">SUMPRODUCT(($E122:$AH122)*(AL$3=$E$3:$AH$3)*(AL$4=$E$4:$AH$4)*(AL$5=$E$5:$AH$5)*(AL$6=$E$6:$AH$6))</f>
        <v>0</v>
      </c>
      <c r="AM122" s="16" cm="1">
        <f t="array" aca="1" ref="AM122" ca="1">SUMPRODUCT(($E122:$AH122)*(AM$3=$E$3:$AH$3)*(AM$4=$E$4:$AH$4)*(AM$5=$E$5:$AH$5)*(AM$6=$E$6:$AH$6))</f>
        <v>0</v>
      </c>
      <c r="AN122" s="15" cm="1">
        <f t="array" aca="1" ref="AN122" ca="1">SUMPRODUCT(($E122:$AH122)*(AN$3=$E$3:$AH$3)*(AN$4=$E$4:$AH$4)*(AN$5=$E$5:$AH$5)*(AN$6=$E$6:$AH$6))</f>
        <v>0</v>
      </c>
      <c r="AO122" s="15" cm="1">
        <f t="array" aca="1" ref="AO122" ca="1">SUMPRODUCT(($E122:$AH122)*(AO$3=$E$3:$AH$3)*(AO$4=$E$4:$AH$4)*(AO$5=$E$5:$AH$5)*(AO$6=$E$6:$AH$6))</f>
        <v>0</v>
      </c>
      <c r="AP122" s="15" cm="1">
        <f t="array" aca="1" ref="AP122" ca="1">SUMPRODUCT(($E122:$AH122)*(AP$3=$E$3:$AH$3)*(AP$4=$E$4:$AH$4)*(AP$5=$E$5:$AH$5)*(AP$6=$E$6:$AH$6))</f>
        <v>0</v>
      </c>
      <c r="AQ122" s="15" cm="1">
        <f t="array" aca="1" ref="AQ122" ca="1">SUMPRODUCT(($E122:$AH122)*(AQ$3=$E$3:$AH$3)*(AQ$4=$E$4:$AH$4)*(AQ$5=$E$5:$AH$5)*(AQ$6=$E$6:$AH$6))</f>
        <v>0</v>
      </c>
      <c r="AR122" s="15" cm="1">
        <f t="array" aca="1" ref="AR122" ca="1">SUMPRODUCT(($E122:$AH122)*(AR$3=$E$3:$AH$3)*(AR$4=$E$4:$AH$4)*(AR$5=$E$5:$AH$5)*(AR$6=$E$6:$AH$6))</f>
        <v>0</v>
      </c>
      <c r="AS122" s="15" cm="1">
        <f t="array" aca="1" ref="AS122" ca="1">SUMPRODUCT(($E122:$AH122)*(AS$3=$E$3:$AH$3)*(AS$4=$E$4:$AH$4)*(AS$5=$E$5:$AH$5)*(AS$6=$E$6:$AH$6))</f>
        <v>0</v>
      </c>
      <c r="AU122" s="15" cm="1">
        <f t="array" aca="1" ref="AU122" ca="1">SUMPRODUCT(($E122:$AH122)*(AU$5=$E$5:$AH$5))</f>
        <v>0</v>
      </c>
      <c r="AV122" s="15" cm="1">
        <f t="array" aca="1" ref="AV122" ca="1">SUMPRODUCT(($E122:$AH122)*(AV$5=$E$5:$AH$5))</f>
        <v>0</v>
      </c>
      <c r="AW122" s="15" cm="1">
        <f t="array" aca="1" ref="AW122" ca="1">SUMPRODUCT(($E122:$AH122)*(AW$5=$E$5:$AH$5))</f>
        <v>0</v>
      </c>
    </row>
    <row r="123" spans="2:49" x14ac:dyDescent="0.25">
      <c r="C123" s="108" t="s">
        <v>249</v>
      </c>
      <c r="D123" s="1"/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2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J123" s="15" cm="1">
        <f t="array" aca="1" ref="AJ123" ca="1">SUMPRODUCT(($E123:$AH123)*(AJ$3&amp;AJ$4&amp;AJ$5&amp;AJ$6=$E$3:$AH$3&amp;$E$4:$AH$4&amp;$E$5:$AH$5&amp;$E$6:$AH$6))</f>
        <v>0</v>
      </c>
      <c r="AK123" s="15" cm="1">
        <f t="array" aca="1" ref="AK123" ca="1">SUMPRODUCT(($E123:$AH123)*(AK$3=$E$3:$AH$3)*(AK$4=$E$4:$AH$4)*(AK$5=$E$5:$AH$5)*(AK$6=$E$6:$AH$6))</f>
        <v>0</v>
      </c>
      <c r="AL123" s="15" cm="1">
        <f t="array" aca="1" ref="AL123" ca="1">SUMPRODUCT(($E123:$AH123)*(AL$3=$E$3:$AH$3)*(AL$4=$E$4:$AH$4)*(AL$5=$E$5:$AH$5)*(AL$6=$E$6:$AH$6))</f>
        <v>0</v>
      </c>
      <c r="AM123" s="16" cm="1">
        <f t="array" aca="1" ref="AM123" ca="1">SUMPRODUCT(($E123:$AH123)*(AM$3=$E$3:$AH$3)*(AM$4=$E$4:$AH$4)*(AM$5=$E$5:$AH$5)*(AM$6=$E$6:$AH$6))</f>
        <v>0</v>
      </c>
      <c r="AN123" s="15" cm="1">
        <f t="array" aca="1" ref="AN123" ca="1">SUMPRODUCT(($E123:$AH123)*(AN$3=$E$3:$AH$3)*(AN$4=$E$4:$AH$4)*(AN$5=$E$5:$AH$5)*(AN$6=$E$6:$AH$6))</f>
        <v>0</v>
      </c>
      <c r="AO123" s="15" cm="1">
        <f t="array" aca="1" ref="AO123" ca="1">SUMPRODUCT(($E123:$AH123)*(AO$3=$E$3:$AH$3)*(AO$4=$E$4:$AH$4)*(AO$5=$E$5:$AH$5)*(AO$6=$E$6:$AH$6))</f>
        <v>0</v>
      </c>
      <c r="AP123" s="15" cm="1">
        <f t="array" aca="1" ref="AP123" ca="1">SUMPRODUCT(($E123:$AH123)*(AP$3=$E$3:$AH$3)*(AP$4=$E$4:$AH$4)*(AP$5=$E$5:$AH$5)*(AP$6=$E$6:$AH$6))</f>
        <v>0</v>
      </c>
      <c r="AQ123" s="15" cm="1">
        <f t="array" aca="1" ref="AQ123" ca="1">SUMPRODUCT(($E123:$AH123)*(AQ$3=$E$3:$AH$3)*(AQ$4=$E$4:$AH$4)*(AQ$5=$E$5:$AH$5)*(AQ$6=$E$6:$AH$6))</f>
        <v>0</v>
      </c>
      <c r="AR123" s="15" cm="1">
        <f t="array" aca="1" ref="AR123" ca="1">SUMPRODUCT(($E123:$AH123)*(AR$3=$E$3:$AH$3)*(AR$4=$E$4:$AH$4)*(AR$5=$E$5:$AH$5)*(AR$6=$E$6:$AH$6))</f>
        <v>0</v>
      </c>
      <c r="AS123" s="15" cm="1">
        <f t="array" aca="1" ref="AS123" ca="1">SUMPRODUCT(($E123:$AH123)*(AS$3=$E$3:$AH$3)*(AS$4=$E$4:$AH$4)*(AS$5=$E$5:$AH$5)*(AS$6=$E$6:$AH$6))</f>
        <v>0</v>
      </c>
      <c r="AU123" s="15" cm="1">
        <f t="array" aca="1" ref="AU123" ca="1">SUMPRODUCT(($E123:$AH123)*(AU$5=$E$5:$AH$5))</f>
        <v>0</v>
      </c>
      <c r="AV123" s="15" cm="1">
        <f t="array" aca="1" ref="AV123" ca="1">SUMPRODUCT(($E123:$AH123)*(AV$5=$E$5:$AH$5))</f>
        <v>0</v>
      </c>
      <c r="AW123" s="15" cm="1">
        <f t="array" aca="1" ref="AW123" ca="1">SUMPRODUCT(($E123:$AH123)*(AW$5=$E$5:$AH$5))</f>
        <v>0</v>
      </c>
    </row>
    <row r="124" spans="2:49" x14ac:dyDescent="0.25">
      <c r="C124" s="109" t="s">
        <v>250</v>
      </c>
      <c r="D124" s="152"/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9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J124" s="29" cm="1">
        <f t="array" aca="1" ref="AJ124" ca="1">SUMPRODUCT(($E124:$AH124)*(AJ$3&amp;AJ$4&amp;AJ$5&amp;AJ$6=$E$3:$AH$3&amp;$E$4:$AH$4&amp;$E$5:$AH$5&amp;$E$6:$AH$6))</f>
        <v>0</v>
      </c>
      <c r="AK124" s="29" cm="1">
        <f t="array" aca="1" ref="AK124" ca="1">SUMPRODUCT(($E124:$AH124)*(AK$3=$E$3:$AH$3)*(AK$4=$E$4:$AH$4)*(AK$5=$E$5:$AH$5)*(AK$6=$E$6:$AH$6))</f>
        <v>0</v>
      </c>
      <c r="AL124" s="29" cm="1">
        <f t="array" aca="1" ref="AL124" ca="1">SUMPRODUCT(($E124:$AH124)*(AL$3=$E$3:$AH$3)*(AL$4=$E$4:$AH$4)*(AL$5=$E$5:$AH$5)*(AL$6=$E$6:$AH$6))</f>
        <v>0</v>
      </c>
      <c r="AM124" s="240" cm="1">
        <f t="array" aca="1" ref="AM124" ca="1">SUMPRODUCT(($E124:$AH124)*(AM$3=$E$3:$AH$3)*(AM$4=$E$4:$AH$4)*(AM$5=$E$5:$AH$5)*(AM$6=$E$6:$AH$6))</f>
        <v>0</v>
      </c>
      <c r="AN124" s="29" cm="1">
        <f t="array" aca="1" ref="AN124" ca="1">SUMPRODUCT(($E124:$AH124)*(AN$3=$E$3:$AH$3)*(AN$4=$E$4:$AH$4)*(AN$5=$E$5:$AH$5)*(AN$6=$E$6:$AH$6))</f>
        <v>0</v>
      </c>
      <c r="AO124" s="29" cm="1">
        <f t="array" aca="1" ref="AO124" ca="1">SUMPRODUCT(($E124:$AH124)*(AO$3=$E$3:$AH$3)*(AO$4=$E$4:$AH$4)*(AO$5=$E$5:$AH$5)*(AO$6=$E$6:$AH$6))</f>
        <v>0</v>
      </c>
      <c r="AP124" s="29" cm="1">
        <f t="array" aca="1" ref="AP124" ca="1">SUMPRODUCT(($E124:$AH124)*(AP$3=$E$3:$AH$3)*(AP$4=$E$4:$AH$4)*(AP$5=$E$5:$AH$5)*(AP$6=$E$6:$AH$6))</f>
        <v>0</v>
      </c>
      <c r="AQ124" s="29" cm="1">
        <f t="array" aca="1" ref="AQ124" ca="1">SUMPRODUCT(($E124:$AH124)*(AQ$3=$E$3:$AH$3)*(AQ$4=$E$4:$AH$4)*(AQ$5=$E$5:$AH$5)*(AQ$6=$E$6:$AH$6))</f>
        <v>0</v>
      </c>
      <c r="AR124" s="29" cm="1">
        <f t="array" aca="1" ref="AR124" ca="1">SUMPRODUCT(($E124:$AH124)*(AR$3=$E$3:$AH$3)*(AR$4=$E$4:$AH$4)*(AR$5=$E$5:$AH$5)*(AR$6=$E$6:$AH$6))</f>
        <v>0</v>
      </c>
      <c r="AS124" s="29" cm="1">
        <f t="array" aca="1" ref="AS124" ca="1">SUMPRODUCT(($E124:$AH124)*(AS$3=$E$3:$AH$3)*(AS$4=$E$4:$AH$4)*(AS$5=$E$5:$AH$5)*(AS$6=$E$6:$AH$6))</f>
        <v>0</v>
      </c>
      <c r="AU124" s="29" cm="1">
        <f t="array" aca="1" ref="AU124" ca="1">SUMPRODUCT(($E124:$AH124)*(AU$5=$E$5:$AH$5))</f>
        <v>0</v>
      </c>
      <c r="AV124" s="29" cm="1">
        <f t="array" aca="1" ref="AV124" ca="1">SUMPRODUCT(($E124:$AH124)*(AV$5=$E$5:$AH$5))</f>
        <v>0</v>
      </c>
      <c r="AW124" s="29" cm="1">
        <f t="array" aca="1" ref="AW124" ca="1">SUMPRODUCT(($E124:$AH124)*(AW$5=$E$5:$AH$5))</f>
        <v>0</v>
      </c>
    </row>
    <row r="125" spans="2:49" x14ac:dyDescent="0.25">
      <c r="B125" t="s">
        <v>231</v>
      </c>
      <c r="C125" s="2" t="s">
        <v>195</v>
      </c>
      <c r="D125" s="37">
        <v>1000</v>
      </c>
      <c r="E125" s="31">
        <v>1000</v>
      </c>
      <c r="F125" s="31">
        <v>1000</v>
      </c>
      <c r="G125" s="31">
        <v>1000</v>
      </c>
      <c r="H125" s="31">
        <v>1000</v>
      </c>
      <c r="I125" s="31">
        <v>1000</v>
      </c>
      <c r="J125" s="37">
        <v>1000</v>
      </c>
      <c r="K125" s="31">
        <v>1000</v>
      </c>
      <c r="L125" s="31">
        <v>1000</v>
      </c>
      <c r="M125" s="31">
        <v>1000</v>
      </c>
      <c r="N125" s="31">
        <v>1000</v>
      </c>
      <c r="O125" s="31">
        <v>1000</v>
      </c>
      <c r="P125" s="32">
        <v>1000</v>
      </c>
      <c r="Q125" s="15">
        <f t="shared" ref="Q125:AH125" si="294">Q121+Q122-Q123-Q124</f>
        <v>1000</v>
      </c>
      <c r="R125" s="15">
        <f t="shared" si="294"/>
        <v>1000</v>
      </c>
      <c r="S125" s="15">
        <f t="shared" si="294"/>
        <v>1000</v>
      </c>
      <c r="T125" s="15">
        <f t="shared" si="294"/>
        <v>1000</v>
      </c>
      <c r="U125" s="15">
        <f t="shared" si="294"/>
        <v>1000</v>
      </c>
      <c r="V125" s="15">
        <f t="shared" si="294"/>
        <v>1000</v>
      </c>
      <c r="W125" s="15">
        <f t="shared" si="294"/>
        <v>1000</v>
      </c>
      <c r="X125" s="15">
        <f t="shared" si="294"/>
        <v>1000</v>
      </c>
      <c r="Y125" s="15">
        <f t="shared" si="294"/>
        <v>1000</v>
      </c>
      <c r="Z125" s="15">
        <f t="shared" si="294"/>
        <v>1000</v>
      </c>
      <c r="AA125" s="15">
        <f t="shared" si="294"/>
        <v>1000</v>
      </c>
      <c r="AB125" s="15">
        <f t="shared" si="294"/>
        <v>1000</v>
      </c>
      <c r="AC125" s="15">
        <f t="shared" si="294"/>
        <v>1000</v>
      </c>
      <c r="AD125" s="15">
        <f t="shared" si="294"/>
        <v>1000</v>
      </c>
      <c r="AE125" s="15">
        <f t="shared" si="294"/>
        <v>1000</v>
      </c>
      <c r="AF125" s="15">
        <f t="shared" si="294"/>
        <v>1000</v>
      </c>
      <c r="AG125" s="15">
        <f t="shared" si="294"/>
        <v>1000</v>
      </c>
      <c r="AH125" s="15">
        <f t="shared" si="294"/>
        <v>1000</v>
      </c>
      <c r="AJ125" s="15" cm="1">
        <f t="array" aca="1" ref="AJ125" ca="1">INDEX($E125:$AH125,1,MATCH(AJ$3&amp;AJ$4&amp;AJ$5&amp;AJ$6,$E$3:$AH$3&amp;$E$4:$AH$4&amp;$E$5:$AH$5&amp;$E$6:$AH$6,1))</f>
        <v>1000</v>
      </c>
      <c r="AK125" s="15" cm="1">
        <f t="array" aca="1" ref="AK125" ca="1">INDEX($E125:$AH125,1,MATCH(AK$3&amp;AK$4&amp;AK$5&amp;AK$6,$E$3:$AH$3&amp;$E$4:$AH$4&amp;$E$5:$AH$5&amp;$E$6:$AH$6,1))</f>
        <v>1000</v>
      </c>
      <c r="AL125" s="15" cm="1">
        <f t="array" aca="1" ref="AL125" ca="1">INDEX($E125:$AH125,1,MATCH(AL$3&amp;AL$4&amp;AL$5&amp;AL$6,$E$3:$AH$3&amp;$E$4:$AH$4&amp;$E$5:$AH$5&amp;$E$6:$AH$6,1))</f>
        <v>1000</v>
      </c>
      <c r="AM125" s="16" cm="1">
        <f t="array" aca="1" ref="AM125" ca="1">INDEX($E125:$AH125,1,MATCH(AM$3&amp;AM$4&amp;AM$5&amp;AM$6,$E$3:$AH$3&amp;$E$4:$AH$4&amp;$E$5:$AH$5&amp;$E$6:$AH$6,1))</f>
        <v>1000</v>
      </c>
      <c r="AN125" s="15" cm="1">
        <f t="array" aca="1" ref="AN125" ca="1">INDEX($E125:$AH125,1,MATCH(AN$3&amp;AN$4&amp;AN$5&amp;AN$6,$E$3:$AH$3&amp;$E$4:$AH$4&amp;$E$5:$AH$5&amp;$E$6:$AH$6,1))</f>
        <v>1000</v>
      </c>
      <c r="AO125" s="15" cm="1">
        <f t="array" aca="1" ref="AO125" ca="1">INDEX($E125:$AH125,1,MATCH(AO$3&amp;AO$4&amp;AO$5&amp;AO$6,$E$3:$AH$3&amp;$E$4:$AH$4&amp;$E$5:$AH$5&amp;$E$6:$AH$6,1))</f>
        <v>1000</v>
      </c>
      <c r="AP125" s="15" cm="1">
        <f t="array" aca="1" ref="AP125" ca="1">INDEX($E125:$AH125,1,MATCH(AP$3&amp;AP$4&amp;AP$5&amp;AP$6,$E$3:$AH$3&amp;$E$4:$AH$4&amp;$E$5:$AH$5&amp;$E$6:$AH$6,1))</f>
        <v>1000</v>
      </c>
      <c r="AQ125" s="15" cm="1">
        <f t="array" aca="1" ref="AQ125" ca="1">INDEX($E125:$AH125,1,MATCH(AQ$3&amp;AQ$4&amp;AQ$5&amp;AQ$6,$E$3:$AH$3&amp;$E$4:$AH$4&amp;$E$5:$AH$5&amp;$E$6:$AH$6,1))</f>
        <v>1000</v>
      </c>
      <c r="AR125" s="15" cm="1">
        <f t="array" aca="1" ref="AR125" ca="1">INDEX($E125:$AH125,1,MATCH(AR$3&amp;AR$4&amp;AR$5&amp;AR$6,$E$3:$AH$3&amp;$E$4:$AH$4&amp;$E$5:$AH$5&amp;$E$6:$AH$6,1))</f>
        <v>1000</v>
      </c>
      <c r="AS125" s="15" cm="1">
        <f t="array" aca="1" ref="AS125" ca="1">INDEX($E125:$AH125,1,MATCH(AS$3&amp;AS$4&amp;AS$5&amp;AS$6,$E$3:$AH$3&amp;$E$4:$AH$4&amp;$E$5:$AH$5&amp;$E$6:$AH$6,1))</f>
        <v>1000</v>
      </c>
      <c r="AU125" s="13">
        <f ca="1">INDEX($E125:$AH125,1,MATCH(AU$5,$E$5:$AH$5,1))</f>
        <v>1000</v>
      </c>
      <c r="AV125" s="13">
        <f t="shared" ref="AV125:AW125" ca="1" si="295">INDEX($E125:$AH125,1,MATCH(AV$5,$E$5:$AH$5,1))</f>
        <v>1000</v>
      </c>
      <c r="AW125" s="13">
        <f t="shared" ca="1" si="295"/>
        <v>1000</v>
      </c>
    </row>
    <row r="126" spans="2:49" x14ac:dyDescent="0.25">
      <c r="P126" s="8"/>
      <c r="AM126" s="8"/>
    </row>
    <row r="127" spans="2:49" ht="15.75" thickBot="1" x14ac:dyDescent="0.3">
      <c r="B127" t="s">
        <v>231</v>
      </c>
      <c r="C127" s="50" t="s">
        <v>169</v>
      </c>
      <c r="D127" s="51">
        <f t="shared" ref="D127:AW127" si="296">D51+D73+D79+D96+D102+D118+D125</f>
        <v>17958.747272069817</v>
      </c>
      <c r="E127" s="51">
        <f t="shared" si="296"/>
        <v>17604.355899896767</v>
      </c>
      <c r="F127" s="51">
        <f t="shared" si="296"/>
        <v>17054.7103880713</v>
      </c>
      <c r="G127" s="51">
        <f t="shared" si="296"/>
        <v>16527.507382504111</v>
      </c>
      <c r="H127" s="51">
        <f t="shared" si="296"/>
        <v>16479.474069809901</v>
      </c>
      <c r="I127" s="51">
        <f t="shared" si="296"/>
        <v>17612.294691982959</v>
      </c>
      <c r="J127" s="51">
        <f t="shared" si="296"/>
        <v>16654.274405399261</v>
      </c>
      <c r="K127" s="51">
        <f t="shared" si="296"/>
        <v>17052.734704036226</v>
      </c>
      <c r="L127" s="51">
        <f t="shared" si="296"/>
        <v>16416.208913367453</v>
      </c>
      <c r="M127" s="51">
        <f t="shared" si="296"/>
        <v>16788.368444661181</v>
      </c>
      <c r="N127" s="51">
        <f t="shared" si="296"/>
        <v>16887.885213436079</v>
      </c>
      <c r="O127" s="51">
        <f t="shared" si="296"/>
        <v>17671.046984456039</v>
      </c>
      <c r="P127" s="52">
        <f t="shared" si="296"/>
        <v>18025.109978951659</v>
      </c>
      <c r="Q127" s="51">
        <f t="shared" si="296"/>
        <v>17973.099284233598</v>
      </c>
      <c r="R127" s="51">
        <f t="shared" si="296"/>
        <v>16794.619298509679</v>
      </c>
      <c r="S127" s="51">
        <f t="shared" si="296"/>
        <v>16607.431270189329</v>
      </c>
      <c r="T127" s="51">
        <f t="shared" si="296"/>
        <v>16470.811985218774</v>
      </c>
      <c r="U127" s="51">
        <f t="shared" si="296"/>
        <v>16439.836700965629</v>
      </c>
      <c r="V127" s="51">
        <f t="shared" si="296"/>
        <v>17459.548342010938</v>
      </c>
      <c r="W127" s="51">
        <f t="shared" si="296"/>
        <v>17152.157556876562</v>
      </c>
      <c r="X127" s="51">
        <f t="shared" si="296"/>
        <v>17013.542175137587</v>
      </c>
      <c r="Y127" s="51">
        <f t="shared" si="296"/>
        <v>17234.925028264297</v>
      </c>
      <c r="Z127" s="51">
        <f t="shared" si="296"/>
        <v>17820.270376859811</v>
      </c>
      <c r="AA127" s="51">
        <f t="shared" si="296"/>
        <v>17724.032925959171</v>
      </c>
      <c r="AB127" s="51">
        <f t="shared" si="296"/>
        <v>18730.912141875677</v>
      </c>
      <c r="AC127" s="51">
        <f t="shared" si="296"/>
        <v>18677.765997761588</v>
      </c>
      <c r="AD127" s="51">
        <f t="shared" si="296"/>
        <v>17466.262583060168</v>
      </c>
      <c r="AE127" s="51">
        <f t="shared" si="296"/>
        <v>17288.556207743452</v>
      </c>
      <c r="AF127" s="51">
        <f t="shared" si="296"/>
        <v>17164.642658153556</v>
      </c>
      <c r="AG127" s="51">
        <f t="shared" si="296"/>
        <v>17139.73685482279</v>
      </c>
      <c r="AH127" s="51">
        <f t="shared" si="296"/>
        <v>18209.543668451974</v>
      </c>
      <c r="AJ127" s="51">
        <f t="shared" ca="1" si="296"/>
        <v>16527.507382504111</v>
      </c>
      <c r="AK127" s="51">
        <f t="shared" ca="1" si="296"/>
        <v>16654.274405399261</v>
      </c>
      <c r="AL127" s="51">
        <f t="shared" ca="1" si="296"/>
        <v>16788.368444661181</v>
      </c>
      <c r="AM127" s="52">
        <f t="shared" ca="1" si="296"/>
        <v>18025.109978951659</v>
      </c>
      <c r="AN127" s="51">
        <f t="shared" ca="1" si="296"/>
        <v>16607.431270189329</v>
      </c>
      <c r="AO127" s="51">
        <f t="shared" ca="1" si="296"/>
        <v>17459.548342010938</v>
      </c>
      <c r="AP127" s="51">
        <f t="shared" ca="1" si="296"/>
        <v>17234.925028264297</v>
      </c>
      <c r="AQ127" s="51">
        <f t="shared" ca="1" si="296"/>
        <v>18730.912141875677</v>
      </c>
      <c r="AR127" s="51">
        <f t="shared" ca="1" si="296"/>
        <v>17288.556207743452</v>
      </c>
      <c r="AS127" s="51">
        <f t="shared" ca="1" si="296"/>
        <v>18209.543668451974</v>
      </c>
      <c r="AU127" s="51">
        <f t="shared" ca="1" si="296"/>
        <v>16654.274405399261</v>
      </c>
      <c r="AV127" s="51">
        <f t="shared" ca="1" si="296"/>
        <v>17459.548342010938</v>
      </c>
      <c r="AW127" s="51">
        <f t="shared" ca="1" si="296"/>
        <v>18209.543668451974</v>
      </c>
    </row>
    <row r="128" spans="2:49" ht="15.75" thickTop="1" x14ac:dyDescent="0.25"/>
    <row r="129" spans="1:49" ht="18.75" x14ac:dyDescent="0.3">
      <c r="A129" t="s">
        <v>231</v>
      </c>
      <c r="B129" t="s">
        <v>231</v>
      </c>
      <c r="C129" s="181" t="s">
        <v>154</v>
      </c>
      <c r="D129" s="35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</row>
    <row r="131" spans="1:49" x14ac:dyDescent="0.25">
      <c r="C131" s="30" t="s">
        <v>158</v>
      </c>
      <c r="D131" s="30"/>
      <c r="E131" s="45" t="str">
        <f t="shared" ref="E131:AH131" si="297">E$9</f>
        <v>Jul-20A</v>
      </c>
      <c r="F131" s="45" t="str">
        <f t="shared" si="297"/>
        <v>Aug-20A</v>
      </c>
      <c r="G131" s="45" t="str">
        <f t="shared" si="297"/>
        <v>Sep-20A</v>
      </c>
      <c r="H131" s="45" t="str">
        <f t="shared" si="297"/>
        <v>Oct-20A</v>
      </c>
      <c r="I131" s="45" t="str">
        <f t="shared" si="297"/>
        <v>Nov-20A</v>
      </c>
      <c r="J131" s="45" t="str">
        <f t="shared" si="297"/>
        <v>Dec-20A</v>
      </c>
      <c r="K131" s="45" t="str">
        <f t="shared" si="297"/>
        <v>Jan-21A</v>
      </c>
      <c r="L131" s="45" t="str">
        <f t="shared" si="297"/>
        <v>Feb-21A</v>
      </c>
      <c r="M131" s="45" t="str">
        <f t="shared" si="297"/>
        <v>Mar-21A</v>
      </c>
      <c r="N131" s="45" t="str">
        <f t="shared" si="297"/>
        <v>Apr-21A</v>
      </c>
      <c r="O131" s="45" t="str">
        <f t="shared" si="297"/>
        <v>May-21A</v>
      </c>
      <c r="P131" s="46" t="str">
        <f t="shared" si="297"/>
        <v>Jun-21A</v>
      </c>
      <c r="Q131" s="45" t="str">
        <f t="shared" si="297"/>
        <v>Jul-21F</v>
      </c>
      <c r="R131" s="45" t="str">
        <f t="shared" si="297"/>
        <v>Aug-21F</v>
      </c>
      <c r="S131" s="45" t="str">
        <f t="shared" si="297"/>
        <v>Sep-21F</v>
      </c>
      <c r="T131" s="45" t="str">
        <f t="shared" si="297"/>
        <v>Oct-21F</v>
      </c>
      <c r="U131" s="45" t="str">
        <f t="shared" si="297"/>
        <v>Nov-21F</v>
      </c>
      <c r="V131" s="45" t="str">
        <f t="shared" si="297"/>
        <v>Dec-21F</v>
      </c>
      <c r="W131" s="45" t="str">
        <f t="shared" si="297"/>
        <v>Jan-22F</v>
      </c>
      <c r="X131" s="45" t="str">
        <f t="shared" si="297"/>
        <v>Feb-22F</v>
      </c>
      <c r="Y131" s="45" t="str">
        <f t="shared" si="297"/>
        <v>Mar-22F</v>
      </c>
      <c r="Z131" s="45" t="str">
        <f t="shared" si="297"/>
        <v>Apr-22F</v>
      </c>
      <c r="AA131" s="45" t="str">
        <f t="shared" si="297"/>
        <v>May-22F</v>
      </c>
      <c r="AB131" s="45" t="str">
        <f t="shared" si="297"/>
        <v>Jun-22F</v>
      </c>
      <c r="AC131" s="45" t="str">
        <f t="shared" si="297"/>
        <v>Jul-22F</v>
      </c>
      <c r="AD131" s="45" t="str">
        <f t="shared" si="297"/>
        <v>Aug-22F</v>
      </c>
      <c r="AE131" s="45" t="str">
        <f t="shared" si="297"/>
        <v>Sep-22F</v>
      </c>
      <c r="AF131" s="45" t="str">
        <f t="shared" si="297"/>
        <v>Oct-22F</v>
      </c>
      <c r="AG131" s="45" t="str">
        <f t="shared" si="297"/>
        <v>Nov-22F</v>
      </c>
      <c r="AH131" s="45" t="str">
        <f t="shared" si="297"/>
        <v>Dec-22F</v>
      </c>
      <c r="AJ131" s="45" t="str">
        <f ca="1">AJ$10</f>
        <v>Q3'20A</v>
      </c>
      <c r="AK131" s="45" t="str">
        <f t="shared" ref="AK131:AW131" ca="1" si="298">AK$10</f>
        <v>Q4'20A</v>
      </c>
      <c r="AL131" s="45" t="str">
        <f t="shared" ca="1" si="298"/>
        <v>Q1'21A</v>
      </c>
      <c r="AM131" s="46" t="str">
        <f t="shared" ca="1" si="298"/>
        <v>Q2'21A</v>
      </c>
      <c r="AN131" s="45" t="str">
        <f t="shared" ca="1" si="298"/>
        <v>Q3'21F</v>
      </c>
      <c r="AO131" s="45" t="str">
        <f t="shared" ca="1" si="298"/>
        <v>Q4'21F</v>
      </c>
      <c r="AP131" s="45" t="str">
        <f t="shared" ca="1" si="298"/>
        <v>Q1'22F</v>
      </c>
      <c r="AQ131" s="45" t="str">
        <f t="shared" ca="1" si="298"/>
        <v>Q2'22F</v>
      </c>
      <c r="AR131" s="45" t="str">
        <f t="shared" ca="1" si="298"/>
        <v>Q3'22F</v>
      </c>
      <c r="AS131" s="45" t="str">
        <f t="shared" ca="1" si="298"/>
        <v>Q4'22F</v>
      </c>
      <c r="AU131" s="45" t="str">
        <f t="shared" ca="1" si="298"/>
        <v>FY20</v>
      </c>
      <c r="AV131" s="45" t="str">
        <f t="shared" ca="1" si="298"/>
        <v>FY21</v>
      </c>
      <c r="AW131" s="45" t="str">
        <f t="shared" ca="1" si="298"/>
        <v>FY22</v>
      </c>
    </row>
    <row r="132" spans="1:49" x14ac:dyDescent="0.25">
      <c r="C132" s="1" t="s">
        <v>194</v>
      </c>
      <c r="D132" s="1"/>
      <c r="E132" s="61">
        <f>D136</f>
        <v>2025.2028754140629</v>
      </c>
      <c r="F132" s="61">
        <f t="shared" ref="F132:AH132" si="299">E136</f>
        <v>1813.4062277040557</v>
      </c>
      <c r="G132" s="61">
        <f t="shared" si="299"/>
        <v>1198.8913656738462</v>
      </c>
      <c r="H132" s="61">
        <f t="shared" si="299"/>
        <v>923.80937648741406</v>
      </c>
      <c r="I132" s="61">
        <f t="shared" si="299"/>
        <v>980.83062593671525</v>
      </c>
      <c r="J132" s="61">
        <f t="shared" si="299"/>
        <v>1101.5647865951264</v>
      </c>
      <c r="K132" s="61">
        <f t="shared" si="299"/>
        <v>1321.2527267366754</v>
      </c>
      <c r="L132" s="61">
        <f t="shared" si="299"/>
        <v>1587.5475793766077</v>
      </c>
      <c r="M132" s="61">
        <f t="shared" si="299"/>
        <v>1019.0702525065806</v>
      </c>
      <c r="N132" s="61">
        <f t="shared" si="299"/>
        <v>1206.7970073135493</v>
      </c>
      <c r="O132" s="61">
        <f t="shared" si="299"/>
        <v>1395.3718435560806</v>
      </c>
      <c r="P132" s="17">
        <f t="shared" si="299"/>
        <v>1810.5831189666289</v>
      </c>
      <c r="Q132" s="15">
        <f t="shared" si="299"/>
        <v>1784.7086149400711</v>
      </c>
      <c r="R132" s="15">
        <f t="shared" si="299"/>
        <v>1982.0848199654847</v>
      </c>
      <c r="S132" s="15">
        <f t="shared" si="299"/>
        <v>1011.656649398785</v>
      </c>
      <c r="T132" s="15">
        <f t="shared" si="299"/>
        <v>1145.0316613978441</v>
      </c>
      <c r="U132" s="15">
        <f t="shared" si="299"/>
        <v>1074.2084157408804</v>
      </c>
      <c r="V132" s="15">
        <f t="shared" si="299"/>
        <v>1083.1648232928571</v>
      </c>
      <c r="W132" s="104">
        <f t="shared" si="299"/>
        <v>1649.853427028165</v>
      </c>
      <c r="X132" s="15">
        <f t="shared" si="299"/>
        <v>1025.701622300679</v>
      </c>
      <c r="Y132" s="15">
        <f t="shared" si="299"/>
        <v>1184.0937532435305</v>
      </c>
      <c r="Z132" s="15">
        <f t="shared" si="299"/>
        <v>1304.2734782323419</v>
      </c>
      <c r="AA132" s="15">
        <f t="shared" si="299"/>
        <v>1761.4121504392415</v>
      </c>
      <c r="AB132" s="15">
        <f t="shared" si="299"/>
        <v>1429.7025057456535</v>
      </c>
      <c r="AC132" s="15">
        <f t="shared" si="299"/>
        <v>1997.9344914050416</v>
      </c>
      <c r="AD132" s="15">
        <f t="shared" si="299"/>
        <v>2034.4411751960915</v>
      </c>
      <c r="AE132" s="15">
        <f t="shared" si="299"/>
        <v>1051.7056812528124</v>
      </c>
      <c r="AF132" s="15">
        <f t="shared" si="299"/>
        <v>1191.1478109799655</v>
      </c>
      <c r="AG132" s="15">
        <f t="shared" si="299"/>
        <v>1121.2570317005197</v>
      </c>
      <c r="AH132" s="15">
        <f t="shared" si="299"/>
        <v>1129.948320050865</v>
      </c>
      <c r="AM132" s="8"/>
    </row>
    <row r="133" spans="1:49" x14ac:dyDescent="0.25">
      <c r="C133" s="108" t="s">
        <v>201</v>
      </c>
      <c r="D133" s="1"/>
      <c r="E133" s="61">
        <f>E77</f>
        <v>134.05556157355508</v>
      </c>
      <c r="F133" s="61">
        <f t="shared" ref="F133:AH133" si="300">F77</f>
        <v>38.811123901661887</v>
      </c>
      <c r="G133" s="61">
        <f t="shared" si="300"/>
        <v>18.036048748754411</v>
      </c>
      <c r="H133" s="61">
        <f t="shared" si="300"/>
        <v>134.41900925897124</v>
      </c>
      <c r="I133" s="61">
        <f t="shared" si="300"/>
        <v>110.46732897796898</v>
      </c>
      <c r="J133" s="61">
        <f t="shared" si="300"/>
        <v>342.857012933855</v>
      </c>
      <c r="K133" s="61">
        <f t="shared" si="300"/>
        <v>269.73777283984748</v>
      </c>
      <c r="L133" s="61">
        <f t="shared" si="300"/>
        <v>57.074503331757967</v>
      </c>
      <c r="M133" s="61">
        <f t="shared" si="300"/>
        <v>112.06881377268681</v>
      </c>
      <c r="N133" s="61">
        <f t="shared" si="300"/>
        <v>282.4055347380168</v>
      </c>
      <c r="O133" s="61">
        <f t="shared" si="300"/>
        <v>331.81530888445133</v>
      </c>
      <c r="P133" s="17">
        <f t="shared" si="300"/>
        <v>385.40401187736416</v>
      </c>
      <c r="Q133" s="13">
        <f t="shared" si="300"/>
        <v>151.80027924090933</v>
      </c>
      <c r="R133" s="13">
        <f t="shared" si="300"/>
        <v>13.159756792877033</v>
      </c>
      <c r="S133" s="13">
        <f t="shared" si="300"/>
        <v>39.077300163546624</v>
      </c>
      <c r="T133" s="13">
        <f t="shared" si="300"/>
        <v>151.4079276499117</v>
      </c>
      <c r="U133" s="13">
        <f t="shared" si="300"/>
        <v>103.29003539712471</v>
      </c>
      <c r="V133" s="13">
        <f t="shared" si="300"/>
        <v>451.28746179607242</v>
      </c>
      <c r="W133" s="13">
        <f t="shared" si="300"/>
        <v>129.74738935392224</v>
      </c>
      <c r="X133" s="13">
        <f t="shared" si="300"/>
        <v>77.58099224490843</v>
      </c>
      <c r="Y133" s="13">
        <f t="shared" si="300"/>
        <v>124.30930836344555</v>
      </c>
      <c r="Z133" s="13">
        <f t="shared" si="300"/>
        <v>385.23055168926635</v>
      </c>
      <c r="AA133" s="13">
        <f t="shared" si="300"/>
        <v>231.02443468575029</v>
      </c>
      <c r="AB133" s="13">
        <f t="shared" si="300"/>
        <v>440.9291340899706</v>
      </c>
      <c r="AC133" s="13">
        <f t="shared" si="300"/>
        <v>153.49883301854061</v>
      </c>
      <c r="AD133" s="13">
        <f t="shared" si="300"/>
        <v>12.995314944181928</v>
      </c>
      <c r="AE133" s="13">
        <f t="shared" si="300"/>
        <v>40.09514954880683</v>
      </c>
      <c r="AF133" s="13">
        <f t="shared" si="300"/>
        <v>157.78943382217176</v>
      </c>
      <c r="AG133" s="13">
        <f t="shared" si="300"/>
        <v>107.44716262992483</v>
      </c>
      <c r="AH133" s="13">
        <f t="shared" si="300"/>
        <v>471.48565302893121</v>
      </c>
      <c r="AJ133" s="15" cm="1">
        <f t="array" aca="1" ref="AJ133" ca="1">SUMPRODUCT(($E133:$AH133)*(AJ$3&amp;AJ$4&amp;AJ$5&amp;AJ$6=$E$3:$AH$3&amp;$E$4:$AH$4&amp;$E$5:$AH$5&amp;$E$6:$AH$6))</f>
        <v>190.90273422397138</v>
      </c>
      <c r="AK133" s="15" cm="1">
        <f t="array" aca="1" ref="AK133" ca="1">SUMPRODUCT(($E133:$AH133)*(AK$3=$E$3:$AH$3)*(AK$4=$E$4:$AH$4)*(AK$5=$E$5:$AH$5)*(AK$6=$E$6:$AH$6))</f>
        <v>587.74335117079522</v>
      </c>
      <c r="AL133" s="15" cm="1">
        <f t="array" aca="1" ref="AL133" ca="1">SUMPRODUCT(($E133:$AH133)*(AL$3=$E$3:$AH$3)*(AL$4=$E$4:$AH$4)*(AL$5=$E$5:$AH$5)*(AL$6=$E$6:$AH$6))</f>
        <v>438.88108994429228</v>
      </c>
      <c r="AM133" s="16" cm="1">
        <f t="array" aca="1" ref="AM133" ca="1">SUMPRODUCT(($E133:$AH133)*(AM$3=$E$3:$AH$3)*(AM$4=$E$4:$AH$4)*(AM$5=$E$5:$AH$5)*(AM$6=$E$6:$AH$6))</f>
        <v>999.62485549983228</v>
      </c>
      <c r="AN133" s="15" cm="1">
        <f t="array" aca="1" ref="AN133" ca="1">SUMPRODUCT(($E133:$AH133)*(AN$3=$E$3:$AH$3)*(AN$4=$E$4:$AH$4)*(AN$5=$E$5:$AH$5)*(AN$6=$E$6:$AH$6))</f>
        <v>204.03733619733299</v>
      </c>
      <c r="AO133" s="15" cm="1">
        <f t="array" aca="1" ref="AO133" ca="1">SUMPRODUCT(($E133:$AH133)*(AO$3=$E$3:$AH$3)*(AO$4=$E$4:$AH$4)*(AO$5=$E$5:$AH$5)*(AO$6=$E$6:$AH$6))</f>
        <v>705.98542484310883</v>
      </c>
      <c r="AP133" s="15" cm="1">
        <f t="array" aca="1" ref="AP133" ca="1">SUMPRODUCT(($E133:$AH133)*(AP$3=$E$3:$AH$3)*(AP$4=$E$4:$AH$4)*(AP$5=$E$5:$AH$5)*(AP$6=$E$6:$AH$6))</f>
        <v>331.63768996227623</v>
      </c>
      <c r="AQ133" s="15" cm="1">
        <f t="array" aca="1" ref="AQ133" ca="1">SUMPRODUCT(($E133:$AH133)*(AQ$3=$E$3:$AH$3)*(AQ$4=$E$4:$AH$4)*(AQ$5=$E$5:$AH$5)*(AQ$6=$E$6:$AH$6))</f>
        <v>1057.1841204649872</v>
      </c>
      <c r="AR133" s="15" cm="1">
        <f t="array" aca="1" ref="AR133" ca="1">SUMPRODUCT(($E133:$AH133)*(AR$3=$E$3:$AH$3)*(AR$4=$E$4:$AH$4)*(AR$5=$E$5:$AH$5)*(AR$6=$E$6:$AH$6))</f>
        <v>206.58929751152937</v>
      </c>
      <c r="AS133" s="15" cm="1">
        <f t="array" aca="1" ref="AS133" ca="1">SUMPRODUCT(($E133:$AH133)*(AS$3=$E$3:$AH$3)*(AS$4=$E$4:$AH$4)*(AS$5=$E$5:$AH$5)*(AS$6=$E$6:$AH$6))</f>
        <v>736.7222494810278</v>
      </c>
      <c r="AU133" s="15" cm="1">
        <f t="array" aca="1" ref="AU133" ca="1">SUMPRODUCT(($E133:$AH133)*(AU$5=$E$5:$AH$5))</f>
        <v>778.6460853947666</v>
      </c>
      <c r="AV133" s="15" cm="1">
        <f t="array" aca="1" ref="AV133" ca="1">SUMPRODUCT(($E133:$AH133)*(AV$5=$E$5:$AH$5))</f>
        <v>2348.5287064845661</v>
      </c>
      <c r="AW133" s="15" cm="1">
        <f t="array" aca="1" ref="AW133" ca="1">SUMPRODUCT(($E133:$AH133)*(AW$5=$E$5:$AH$5))</f>
        <v>2332.1333574198206</v>
      </c>
    </row>
    <row r="134" spans="1:49" x14ac:dyDescent="0.25">
      <c r="C134" s="108" t="s">
        <v>449</v>
      </c>
      <c r="D134" s="1"/>
      <c r="E134" s="56">
        <f>Expense!E74</f>
        <v>112.10817974373758</v>
      </c>
      <c r="F134" s="56">
        <f>Expense!F74</f>
        <v>96.806144750645828</v>
      </c>
      <c r="G134" s="56">
        <f>Expense!G74</f>
        <v>86.545198276417366</v>
      </c>
      <c r="H134" s="56">
        <f>Expense!H74</f>
        <v>85.919738867598255</v>
      </c>
      <c r="I134" s="56">
        <f>Expense!I74</f>
        <v>84.40309783177814</v>
      </c>
      <c r="J134" s="56">
        <f>Expense!J74</f>
        <v>114.43753359279434</v>
      </c>
      <c r="K134" s="56">
        <f>Expense!K74</f>
        <v>111.27364621053833</v>
      </c>
      <c r="L134" s="56">
        <f>Expense!L74</f>
        <v>97.330080381360276</v>
      </c>
      <c r="M134" s="56">
        <f>Expense!M74</f>
        <v>92.137171600214685</v>
      </c>
      <c r="N134" s="56">
        <f>Expense!N74</f>
        <v>133.05077814982195</v>
      </c>
      <c r="O134" s="56">
        <f>Expense!O74</f>
        <v>120.83047085720591</v>
      </c>
      <c r="P134" s="34">
        <f>Expense!P74</f>
        <v>129.41578089381017</v>
      </c>
      <c r="Q134" s="33">
        <f>Expense!Q74</f>
        <v>117.2610085372108</v>
      </c>
      <c r="R134" s="33">
        <f>Expense!R74</f>
        <v>101.27772731419654</v>
      </c>
      <c r="S134" s="33">
        <f>Expense!S74</f>
        <v>90.547752450240338</v>
      </c>
      <c r="T134" s="33">
        <f>Expense!T74</f>
        <v>89.907679033277958</v>
      </c>
      <c r="U134" s="33">
        <f>Expense!U74</f>
        <v>88.325377503654039</v>
      </c>
      <c r="V134" s="33">
        <f>Expense!V74</f>
        <v>119.73801991606352</v>
      </c>
      <c r="W134" s="33">
        <f>Expense!W74</f>
        <v>116.42099999824069</v>
      </c>
      <c r="X134" s="33">
        <f>Expense!X74</f>
        <v>101.82715218592953</v>
      </c>
      <c r="Y134" s="33">
        <f>Expense!Y74</f>
        <v>96.390982741085281</v>
      </c>
      <c r="Z134" s="33">
        <f>Expense!Z74</f>
        <v>139.21015626738338</v>
      </c>
      <c r="AA134" s="33">
        <f>Expense!AA74</f>
        <v>126.40119175066306</v>
      </c>
      <c r="AB134" s="33">
        <f>Expense!AB74</f>
        <v>135.39812304609919</v>
      </c>
      <c r="AC134" s="33">
        <f>Expense!AC74</f>
        <v>122.66965230219583</v>
      </c>
      <c r="AD134" s="33">
        <f>Expense!AD74</f>
        <v>105.9724714636007</v>
      </c>
      <c r="AE134" s="33">
        <f>Expense!AE74</f>
        <v>94.750551993263997</v>
      </c>
      <c r="AF134" s="33">
        <f>Expense!AF74</f>
        <v>94.095411695433668</v>
      </c>
      <c r="AG134" s="33">
        <f>Expense!AG74</f>
        <v>92.444404421591329</v>
      </c>
      <c r="AH134" s="33">
        <f>Expense!AH74</f>
        <v>125.30375835083939</v>
      </c>
      <c r="AJ134" s="15" cm="1">
        <f t="array" aca="1" ref="AJ134" ca="1">SUMPRODUCT(($E134:$AH134)*(AJ$3&amp;AJ$4&amp;AJ$5&amp;AJ$6=$E$3:$AH$3&amp;$E$4:$AH$4&amp;$E$5:$AH$5&amp;$E$6:$AH$6))</f>
        <v>295.45952277080079</v>
      </c>
      <c r="AK134" s="15" cm="1">
        <f t="array" aca="1" ref="AK134" ca="1">SUMPRODUCT(($E134:$AH134)*(AK$3=$E$3:$AH$3)*(AK$4=$E$4:$AH$4)*(AK$5=$E$5:$AH$5)*(AK$6=$E$6:$AH$6))</f>
        <v>284.76037029217076</v>
      </c>
      <c r="AL134" s="15" cm="1">
        <f t="array" aca="1" ref="AL134" ca="1">SUMPRODUCT(($E134:$AH134)*(AL$3=$E$3:$AH$3)*(AL$4=$E$4:$AH$4)*(AL$5=$E$5:$AH$5)*(AL$6=$E$6:$AH$6))</f>
        <v>300.74089819211326</v>
      </c>
      <c r="AM134" s="16" cm="1">
        <f t="array" aca="1" ref="AM134" ca="1">SUMPRODUCT(($E134:$AH134)*(AM$3=$E$3:$AH$3)*(AM$4=$E$4:$AH$4)*(AM$5=$E$5:$AH$5)*(AM$6=$E$6:$AH$6))</f>
        <v>383.29702990083803</v>
      </c>
      <c r="AN134" s="15" cm="1">
        <f t="array" aca="1" ref="AN134" ca="1">SUMPRODUCT(($E134:$AH134)*(AN$3=$E$3:$AH$3)*(AN$4=$E$4:$AH$4)*(AN$5=$E$5:$AH$5)*(AN$6=$E$6:$AH$6))</f>
        <v>309.08648830164771</v>
      </c>
      <c r="AO134" s="15" cm="1">
        <f t="array" aca="1" ref="AO134" ca="1">SUMPRODUCT(($E134:$AH134)*(AO$3=$E$3:$AH$3)*(AO$4=$E$4:$AH$4)*(AO$5=$E$5:$AH$5)*(AO$6=$E$6:$AH$6))</f>
        <v>297.97107645299553</v>
      </c>
      <c r="AP134" s="15" cm="1">
        <f t="array" aca="1" ref="AP134" ca="1">SUMPRODUCT(($E134:$AH134)*(AP$3=$E$3:$AH$3)*(AP$4=$E$4:$AH$4)*(AP$5=$E$5:$AH$5)*(AP$6=$E$6:$AH$6))</f>
        <v>314.63913492525552</v>
      </c>
      <c r="AQ134" s="15" cm="1">
        <f t="array" aca="1" ref="AQ134" ca="1">SUMPRODUCT(($E134:$AH134)*(AQ$3=$E$3:$AH$3)*(AQ$4=$E$4:$AH$4)*(AQ$5=$E$5:$AH$5)*(AQ$6=$E$6:$AH$6))</f>
        <v>401.0094710641456</v>
      </c>
      <c r="AR134" s="15" cm="1">
        <f t="array" aca="1" ref="AR134" ca="1">SUMPRODUCT(($E134:$AH134)*(AR$3=$E$3:$AH$3)*(AR$4=$E$4:$AH$4)*(AR$5=$E$5:$AH$5)*(AR$6=$E$6:$AH$6))</f>
        <v>323.39267575906052</v>
      </c>
      <c r="AS134" s="15" cm="1">
        <f t="array" aca="1" ref="AS134" ca="1">SUMPRODUCT(($E134:$AH134)*(AS$3=$E$3:$AH$3)*(AS$4=$E$4:$AH$4)*(AS$5=$E$5:$AH$5)*(AS$6=$E$6:$AH$6))</f>
        <v>311.84357446786441</v>
      </c>
      <c r="AU134" s="15" cm="1">
        <f t="array" aca="1" ref="AU134" ca="1">SUMPRODUCT(($E134:$AH134)*(AU$5=$E$5:$AH$5))</f>
        <v>580.21989306297155</v>
      </c>
      <c r="AV134" s="15" cm="1">
        <f t="array" aca="1" ref="AV134" ca="1">SUMPRODUCT(($E134:$AH134)*(AV$5=$E$5:$AH$5))</f>
        <v>1291.0954928475944</v>
      </c>
      <c r="AW134" s="15" cm="1">
        <f t="array" aca="1" ref="AW134" ca="1">SUMPRODUCT(($E134:$AH134)*(AW$5=$E$5:$AH$5))</f>
        <v>1350.8848562163262</v>
      </c>
    </row>
    <row r="135" spans="1:49" x14ac:dyDescent="0.25">
      <c r="C135" s="109" t="s">
        <v>208</v>
      </c>
      <c r="D135" s="23"/>
      <c r="E135" s="24">
        <f t="shared" ref="E135:AH135" si="301">SUM(E133:E134)-(E136-E132)</f>
        <v>457.96038902729981</v>
      </c>
      <c r="F135" s="24">
        <f t="shared" si="301"/>
        <v>750.1321306825173</v>
      </c>
      <c r="G135" s="24">
        <f t="shared" si="301"/>
        <v>379.66323621160387</v>
      </c>
      <c r="H135" s="24">
        <f t="shared" si="301"/>
        <v>163.3174986772683</v>
      </c>
      <c r="I135" s="24">
        <f t="shared" si="301"/>
        <v>74.136266151335974</v>
      </c>
      <c r="J135" s="24">
        <f t="shared" si="301"/>
        <v>237.60660638510035</v>
      </c>
      <c r="K135" s="24">
        <f t="shared" si="301"/>
        <v>114.71656641045354</v>
      </c>
      <c r="L135" s="24">
        <f t="shared" si="301"/>
        <v>722.88191058314533</v>
      </c>
      <c r="M135" s="24">
        <f t="shared" si="301"/>
        <v>16.479230565932738</v>
      </c>
      <c r="N135" s="24">
        <f t="shared" si="301"/>
        <v>226.88147664530743</v>
      </c>
      <c r="O135" s="24">
        <f t="shared" si="301"/>
        <v>37.43450433110894</v>
      </c>
      <c r="P135" s="64">
        <f t="shared" si="301"/>
        <v>540.69429679773214</v>
      </c>
      <c r="Q135" s="24">
        <f t="shared" si="301"/>
        <v>71.685082752706535</v>
      </c>
      <c r="R135" s="24">
        <f t="shared" si="301"/>
        <v>1084.8656546737732</v>
      </c>
      <c r="S135" s="24">
        <f t="shared" si="301"/>
        <v>-3.7499593852721205</v>
      </c>
      <c r="T135" s="24">
        <f t="shared" si="301"/>
        <v>312.13885234015345</v>
      </c>
      <c r="U135" s="24">
        <f t="shared" si="301"/>
        <v>182.65900534880197</v>
      </c>
      <c r="V135" s="24">
        <f t="shared" si="301"/>
        <v>4.3368779768280774</v>
      </c>
      <c r="W135" s="24">
        <f t="shared" si="301"/>
        <v>870.3201940796489</v>
      </c>
      <c r="X135" s="24">
        <f t="shared" si="301"/>
        <v>21.01601348798647</v>
      </c>
      <c r="Y135" s="24">
        <f t="shared" si="301"/>
        <v>100.52056611571948</v>
      </c>
      <c r="Z135" s="24">
        <f t="shared" si="301"/>
        <v>67.302035749750075</v>
      </c>
      <c r="AA135" s="24">
        <f t="shared" si="301"/>
        <v>689.13527113000134</v>
      </c>
      <c r="AB135" s="24">
        <f t="shared" si="301"/>
        <v>8.0952714766816598</v>
      </c>
      <c r="AC135" s="24">
        <f t="shared" si="301"/>
        <v>239.6618015296865</v>
      </c>
      <c r="AD135" s="24">
        <f t="shared" si="301"/>
        <v>1101.7032803510617</v>
      </c>
      <c r="AE135" s="24">
        <f t="shared" si="301"/>
        <v>-4.5964281850822601</v>
      </c>
      <c r="AF135" s="24">
        <f t="shared" si="301"/>
        <v>321.77562479705114</v>
      </c>
      <c r="AG135" s="24">
        <f t="shared" si="301"/>
        <v>191.20027870117087</v>
      </c>
      <c r="AH135" s="24">
        <f t="shared" si="301"/>
        <v>2.4450560375646546</v>
      </c>
      <c r="AJ135" s="29" cm="1">
        <f t="array" aca="1" ref="AJ135" ca="1">SUMPRODUCT(($E135:$AH135)*(AJ$3&amp;AJ$4&amp;AJ$5&amp;AJ$6=$E$3:$AH$3&amp;$E$4:$AH$4&amp;$E$5:$AH$5&amp;$E$6:$AH$6))</f>
        <v>1587.755755921421</v>
      </c>
      <c r="AK135" s="29" cm="1">
        <f t="array" aca="1" ref="AK135" ca="1">SUMPRODUCT(($E135:$AH135)*(AK$3=$E$3:$AH$3)*(AK$4=$E$4:$AH$4)*(AK$5=$E$5:$AH$5)*(AK$6=$E$6:$AH$6))</f>
        <v>475.06037121370463</v>
      </c>
      <c r="AL135" s="29" cm="1">
        <f t="array" aca="1" ref="AL135" ca="1">SUMPRODUCT(($E135:$AH135)*(AL$3=$E$3:$AH$3)*(AL$4=$E$4:$AH$4)*(AL$5=$E$5:$AH$5)*(AL$6=$E$6:$AH$6))</f>
        <v>854.07770755953163</v>
      </c>
      <c r="AM135" s="240" cm="1">
        <f t="array" aca="1" ref="AM135" ca="1">SUMPRODUCT(($E135:$AH135)*(AM$3=$E$3:$AH$3)*(AM$4=$E$4:$AH$4)*(AM$5=$E$5:$AH$5)*(AM$6=$E$6:$AH$6))</f>
        <v>805.01027777414856</v>
      </c>
      <c r="AN135" s="29" cm="1">
        <f t="array" aca="1" ref="AN135" ca="1">SUMPRODUCT(($E135:$AH135)*(AN$3=$E$3:$AH$3)*(AN$4=$E$4:$AH$4)*(AN$5=$E$5:$AH$5)*(AN$6=$E$6:$AH$6))</f>
        <v>1152.8007780412076</v>
      </c>
      <c r="AO135" s="29" cm="1">
        <f t="array" aca="1" ref="AO135" ca="1">SUMPRODUCT(($E135:$AH135)*(AO$3=$E$3:$AH$3)*(AO$4=$E$4:$AH$4)*(AO$5=$E$5:$AH$5)*(AO$6=$E$6:$AH$6))</f>
        <v>499.13473566578352</v>
      </c>
      <c r="AP135" s="29" cm="1">
        <f t="array" aca="1" ref="AP135" ca="1">SUMPRODUCT(($E135:$AH135)*(AP$3=$E$3:$AH$3)*(AP$4=$E$4:$AH$4)*(AP$5=$E$5:$AH$5)*(AP$6=$E$6:$AH$6))</f>
        <v>991.85677368335485</v>
      </c>
      <c r="AQ135" s="29" cm="1">
        <f t="array" aca="1" ref="AQ135" ca="1">SUMPRODUCT(($E135:$AH135)*(AQ$3=$E$3:$AH$3)*(AQ$4=$E$4:$AH$4)*(AQ$5=$E$5:$AH$5)*(AQ$6=$E$6:$AH$6))</f>
        <v>764.53257835643308</v>
      </c>
      <c r="AR135" s="29" cm="1">
        <f t="array" aca="1" ref="AR135" ca="1">SUMPRODUCT(($E135:$AH135)*(AR$3=$E$3:$AH$3)*(AR$4=$E$4:$AH$4)*(AR$5=$E$5:$AH$5)*(AR$6=$E$6:$AH$6))</f>
        <v>1336.768653695666</v>
      </c>
      <c r="AS135" s="29" cm="1">
        <f t="array" aca="1" ref="AS135" ca="1">SUMPRODUCT(($E135:$AH135)*(AS$3=$E$3:$AH$3)*(AS$4=$E$4:$AH$4)*(AS$5=$E$5:$AH$5)*(AS$6=$E$6:$AH$6))</f>
        <v>515.42095953578666</v>
      </c>
      <c r="AU135" s="29" cm="1">
        <f t="array" aca="1" ref="AU135" ca="1">SUMPRODUCT(($E135:$AH135)*(AU$5=$E$5:$AH$5))</f>
        <v>2062.8161271351255</v>
      </c>
      <c r="AV135" s="29" cm="1">
        <f t="array" aca="1" ref="AV135" ca="1">SUMPRODUCT(($E135:$AH135)*(AV$5=$E$5:$AH$5))</f>
        <v>3311.0234990406711</v>
      </c>
      <c r="AW135" s="29" cm="1">
        <f t="array" aca="1" ref="AW135" ca="1">SUMPRODUCT(($E135:$AH135)*(AW$5=$E$5:$AH$5))</f>
        <v>3608.5789652712401</v>
      </c>
    </row>
    <row r="136" spans="1:49" x14ac:dyDescent="0.25">
      <c r="B136" t="s">
        <v>231</v>
      </c>
      <c r="C136" s="2" t="s">
        <v>195</v>
      </c>
      <c r="D136" s="37">
        <v>2025.2028754140629</v>
      </c>
      <c r="E136" s="37">
        <v>1813.4062277040557</v>
      </c>
      <c r="F136" s="37">
        <v>1198.8913656738462</v>
      </c>
      <c r="G136" s="37">
        <v>923.80937648741406</v>
      </c>
      <c r="H136" s="37">
        <v>980.83062593671525</v>
      </c>
      <c r="I136" s="37">
        <v>1101.5647865951264</v>
      </c>
      <c r="J136" s="37">
        <v>1321.2527267366754</v>
      </c>
      <c r="K136" s="37">
        <v>1587.5475793766077</v>
      </c>
      <c r="L136" s="37">
        <v>1019.0702525065806</v>
      </c>
      <c r="M136" s="37">
        <v>1206.7970073135493</v>
      </c>
      <c r="N136" s="31">
        <v>1395.3718435560806</v>
      </c>
      <c r="O136" s="31">
        <v>1810.5831189666289</v>
      </c>
      <c r="P136" s="32">
        <v>1784.7086149400711</v>
      </c>
      <c r="Q136" s="15">
        <f t="shared" ref="Q136:AH136" si="302">SUM(Q133:Q134)/30*Q138</f>
        <v>1982.0848199654847</v>
      </c>
      <c r="R136" s="15">
        <f t="shared" si="302"/>
        <v>1011.656649398785</v>
      </c>
      <c r="S136" s="15">
        <f t="shared" si="302"/>
        <v>1145.0316613978441</v>
      </c>
      <c r="T136" s="15">
        <f t="shared" si="302"/>
        <v>1074.2084157408804</v>
      </c>
      <c r="U136" s="15">
        <f t="shared" si="302"/>
        <v>1083.1648232928571</v>
      </c>
      <c r="V136" s="15">
        <f t="shared" si="302"/>
        <v>1649.853427028165</v>
      </c>
      <c r="W136" s="15">
        <f t="shared" si="302"/>
        <v>1025.701622300679</v>
      </c>
      <c r="X136" s="15">
        <f t="shared" si="302"/>
        <v>1184.0937532435305</v>
      </c>
      <c r="Y136" s="15">
        <f t="shared" si="302"/>
        <v>1304.2734782323419</v>
      </c>
      <c r="Z136" s="15">
        <f t="shared" si="302"/>
        <v>1761.4121504392415</v>
      </c>
      <c r="AA136" s="15">
        <f t="shared" si="302"/>
        <v>1429.7025057456535</v>
      </c>
      <c r="AB136" s="15">
        <f t="shared" si="302"/>
        <v>1997.9344914050416</v>
      </c>
      <c r="AC136" s="15">
        <f t="shared" si="302"/>
        <v>2034.4411751960915</v>
      </c>
      <c r="AD136" s="15">
        <f t="shared" si="302"/>
        <v>1051.7056812528124</v>
      </c>
      <c r="AE136" s="15">
        <f t="shared" si="302"/>
        <v>1191.1478109799655</v>
      </c>
      <c r="AF136" s="15">
        <f t="shared" si="302"/>
        <v>1121.2570317005197</v>
      </c>
      <c r="AG136" s="15">
        <f t="shared" si="302"/>
        <v>1129.948320050865</v>
      </c>
      <c r="AH136" s="15">
        <f t="shared" si="302"/>
        <v>1724.292675393071</v>
      </c>
      <c r="AJ136" s="15" cm="1">
        <f t="array" aca="1" ref="AJ136" ca="1">INDEX($E136:$AH136,1,MATCH(AJ$3&amp;AJ$4&amp;AJ$5&amp;AJ$6,$E$3:$AH$3&amp;$E$4:$AH$4&amp;$E$5:$AH$5&amp;$E$6:$AH$6,1))</f>
        <v>923.80937648741406</v>
      </c>
      <c r="AK136" s="15" cm="1">
        <f t="array" aca="1" ref="AK136" ca="1">INDEX($E136:$AH136,1,MATCH(AK$3&amp;AK$4&amp;AK$5&amp;AK$6,$E$3:$AH$3&amp;$E$4:$AH$4&amp;$E$5:$AH$5&amp;$E$6:$AH$6,1))</f>
        <v>1321.2527267366754</v>
      </c>
      <c r="AL136" s="15" cm="1">
        <f t="array" aca="1" ref="AL136" ca="1">INDEX($E136:$AH136,1,MATCH(AL$3&amp;AL$4&amp;AL$5&amp;AL$6,$E$3:$AH$3&amp;$E$4:$AH$4&amp;$E$5:$AH$5&amp;$E$6:$AH$6,1))</f>
        <v>1206.7970073135493</v>
      </c>
      <c r="AM136" s="16" cm="1">
        <f t="array" aca="1" ref="AM136" ca="1">INDEX($E136:$AH136,1,MATCH(AM$3&amp;AM$4&amp;AM$5&amp;AM$6,$E$3:$AH$3&amp;$E$4:$AH$4&amp;$E$5:$AH$5&amp;$E$6:$AH$6,1))</f>
        <v>1784.7086149400711</v>
      </c>
      <c r="AN136" s="15" cm="1">
        <f t="array" aca="1" ref="AN136" ca="1">INDEX($E136:$AH136,1,MATCH(AN$3&amp;AN$4&amp;AN$5&amp;AN$6,$E$3:$AH$3&amp;$E$4:$AH$4&amp;$E$5:$AH$5&amp;$E$6:$AH$6,1))</f>
        <v>1145.0316613978441</v>
      </c>
      <c r="AO136" s="15" cm="1">
        <f t="array" aca="1" ref="AO136" ca="1">INDEX($E136:$AH136,1,MATCH(AO$3&amp;AO$4&amp;AO$5&amp;AO$6,$E$3:$AH$3&amp;$E$4:$AH$4&amp;$E$5:$AH$5&amp;$E$6:$AH$6,1))</f>
        <v>1649.853427028165</v>
      </c>
      <c r="AP136" s="15" cm="1">
        <f t="array" aca="1" ref="AP136" ca="1">INDEX($E136:$AH136,1,MATCH(AP$3&amp;AP$4&amp;AP$5&amp;AP$6,$E$3:$AH$3&amp;$E$4:$AH$4&amp;$E$5:$AH$5&amp;$E$6:$AH$6,1))</f>
        <v>1304.2734782323419</v>
      </c>
      <c r="AQ136" s="15" cm="1">
        <f t="array" aca="1" ref="AQ136" ca="1">INDEX($E136:$AH136,1,MATCH(AQ$3&amp;AQ$4&amp;AQ$5&amp;AQ$6,$E$3:$AH$3&amp;$E$4:$AH$4&amp;$E$5:$AH$5&amp;$E$6:$AH$6,1))</f>
        <v>1997.9344914050416</v>
      </c>
      <c r="AR136" s="15" cm="1">
        <f t="array" aca="1" ref="AR136" ca="1">INDEX($E136:$AH136,1,MATCH(AR$3&amp;AR$4&amp;AR$5&amp;AR$6,$E$3:$AH$3&amp;$E$4:$AH$4&amp;$E$5:$AH$5&amp;$E$6:$AH$6,1))</f>
        <v>1191.1478109799655</v>
      </c>
      <c r="AS136" s="15" cm="1">
        <f t="array" aca="1" ref="AS136" ca="1">INDEX($E136:$AH136,1,MATCH(AS$3&amp;AS$4&amp;AS$5&amp;AS$6,$E$3:$AH$3&amp;$E$4:$AH$4&amp;$E$5:$AH$5&amp;$E$6:$AH$6,1))</f>
        <v>1724.292675393071</v>
      </c>
      <c r="AU136" s="13">
        <f ca="1">INDEX($E136:$AH136,1,MATCH(AU$5,$E$5:$AH$5,1))</f>
        <v>1321.2527267366754</v>
      </c>
      <c r="AV136" s="13">
        <f t="shared" ref="AV136:AW136" ca="1" si="303">INDEX($E136:$AH136,1,MATCH(AV$5,$E$5:$AH$5,1))</f>
        <v>1649.853427028165</v>
      </c>
      <c r="AW136" s="13">
        <f t="shared" ca="1" si="303"/>
        <v>1724.292675393071</v>
      </c>
    </row>
    <row r="137" spans="1:49" x14ac:dyDescent="0.25">
      <c r="P137" s="8"/>
      <c r="AM137" s="8"/>
    </row>
    <row r="138" spans="1:49" x14ac:dyDescent="0.25">
      <c r="C138" t="s">
        <v>223</v>
      </c>
      <c r="D138" s="116"/>
      <c r="E138" s="116">
        <f>E136/(SUM(E133:E134)/E46)</f>
        <v>221</v>
      </c>
      <c r="F138" s="116">
        <f t="shared" ref="F138:P138" si="304">F136/(SUM(F133:F134)/F46)</f>
        <v>265.20767839990975</v>
      </c>
      <c r="G138" s="116">
        <f t="shared" si="304"/>
        <v>265.00239845057348</v>
      </c>
      <c r="H138" s="116">
        <f t="shared" si="304"/>
        <v>133.54400453069135</v>
      </c>
      <c r="I138" s="116">
        <f t="shared" si="304"/>
        <v>169.5841905766321</v>
      </c>
      <c r="J138" s="117">
        <f t="shared" si="304"/>
        <v>86.67844850362836</v>
      </c>
      <c r="K138" s="116">
        <f t="shared" si="304"/>
        <v>125</v>
      </c>
      <c r="L138" s="116">
        <f t="shared" si="304"/>
        <v>198</v>
      </c>
      <c r="M138" s="116">
        <f t="shared" si="304"/>
        <v>177.29113156646389</v>
      </c>
      <c r="N138" s="116">
        <f t="shared" si="304"/>
        <v>100.75946377058357</v>
      </c>
      <c r="O138" s="116">
        <f t="shared" si="304"/>
        <v>120</v>
      </c>
      <c r="P138" s="118">
        <f t="shared" si="304"/>
        <v>104</v>
      </c>
      <c r="Q138" s="119">
        <f>E138</f>
        <v>221</v>
      </c>
      <c r="R138" s="119">
        <f t="shared" ref="R138:AH138" si="305">F138</f>
        <v>265.20767839990975</v>
      </c>
      <c r="S138" s="119">
        <f t="shared" si="305"/>
        <v>265.00239845057348</v>
      </c>
      <c r="T138" s="119">
        <f t="shared" si="305"/>
        <v>133.54400453069135</v>
      </c>
      <c r="U138" s="119">
        <f t="shared" si="305"/>
        <v>169.5841905766321</v>
      </c>
      <c r="V138" s="119">
        <f t="shared" si="305"/>
        <v>86.67844850362836</v>
      </c>
      <c r="W138" s="119">
        <f t="shared" si="305"/>
        <v>125</v>
      </c>
      <c r="X138" s="119">
        <f t="shared" si="305"/>
        <v>198</v>
      </c>
      <c r="Y138" s="119">
        <f t="shared" si="305"/>
        <v>177.29113156646389</v>
      </c>
      <c r="Z138" s="119">
        <f t="shared" si="305"/>
        <v>100.75946377058357</v>
      </c>
      <c r="AA138" s="119">
        <f t="shared" si="305"/>
        <v>120</v>
      </c>
      <c r="AB138" s="119">
        <f t="shared" si="305"/>
        <v>104</v>
      </c>
      <c r="AC138" s="119">
        <f t="shared" si="305"/>
        <v>221</v>
      </c>
      <c r="AD138" s="119">
        <f t="shared" si="305"/>
        <v>265.20767839990975</v>
      </c>
      <c r="AE138" s="119">
        <f t="shared" si="305"/>
        <v>265.00239845057348</v>
      </c>
      <c r="AF138" s="119">
        <f t="shared" si="305"/>
        <v>133.54400453069135</v>
      </c>
      <c r="AG138" s="119">
        <f t="shared" si="305"/>
        <v>169.5841905766321</v>
      </c>
      <c r="AH138" s="119">
        <f t="shared" si="305"/>
        <v>86.67844850362836</v>
      </c>
      <c r="AJ138" s="116">
        <f t="shared" ref="AJ138:AW138" ca="1" si="306">AJ136/(SUM(AJ133:AJ134)/AJ46)</f>
        <v>170.9483881368717</v>
      </c>
      <c r="AK138" s="116">
        <f t="shared" ca="1" si="306"/>
        <v>136.28909823664074</v>
      </c>
      <c r="AL138" s="116">
        <f t="shared" ca="1" si="306"/>
        <v>146.84762270505755</v>
      </c>
      <c r="AM138" s="118">
        <f t="shared" ca="1" si="306"/>
        <v>116.14811873345204</v>
      </c>
      <c r="AN138" s="116">
        <f t="shared" ca="1" si="306"/>
        <v>200.83427158430587</v>
      </c>
      <c r="AO138" s="116">
        <f t="shared" ca="1" si="306"/>
        <v>147.9016354202985</v>
      </c>
      <c r="AP138" s="116">
        <f t="shared" ca="1" si="306"/>
        <v>181.63209405093338</v>
      </c>
      <c r="AQ138" s="116">
        <f t="shared" ca="1" si="306"/>
        <v>123.31291624858393</v>
      </c>
      <c r="AR138" s="116">
        <f t="shared" ca="1" si="306"/>
        <v>202.27726299185409</v>
      </c>
      <c r="AS138" s="116">
        <f t="shared" ca="1" si="306"/>
        <v>147.99866373762367</v>
      </c>
      <c r="AU138" s="116">
        <f t="shared" ca="1" si="306"/>
        <v>175.01762100374651</v>
      </c>
      <c r="AV138" s="116">
        <f t="shared" ca="1" si="306"/>
        <v>163.18916492508308</v>
      </c>
      <c r="AW138" s="116">
        <f t="shared" ca="1" si="306"/>
        <v>168.54257218800447</v>
      </c>
    </row>
    <row r="139" spans="1:49" x14ac:dyDescent="0.25">
      <c r="P139" s="8"/>
      <c r="AM139" s="8"/>
    </row>
    <row r="140" spans="1:49" x14ac:dyDescent="0.25">
      <c r="C140" s="30" t="s">
        <v>159</v>
      </c>
      <c r="D140" s="30"/>
      <c r="E140" s="45" t="str">
        <f t="shared" ref="E140:AH140" si="307">E$9</f>
        <v>Jul-20A</v>
      </c>
      <c r="F140" s="45" t="str">
        <f t="shared" si="307"/>
        <v>Aug-20A</v>
      </c>
      <c r="G140" s="45" t="str">
        <f t="shared" si="307"/>
        <v>Sep-20A</v>
      </c>
      <c r="H140" s="45" t="str">
        <f t="shared" si="307"/>
        <v>Oct-20A</v>
      </c>
      <c r="I140" s="45" t="str">
        <f t="shared" si="307"/>
        <v>Nov-20A</v>
      </c>
      <c r="J140" s="45" t="str">
        <f t="shared" si="307"/>
        <v>Dec-20A</v>
      </c>
      <c r="K140" s="45" t="str">
        <f t="shared" si="307"/>
        <v>Jan-21A</v>
      </c>
      <c r="L140" s="45" t="str">
        <f t="shared" si="307"/>
        <v>Feb-21A</v>
      </c>
      <c r="M140" s="45" t="str">
        <f t="shared" si="307"/>
        <v>Mar-21A</v>
      </c>
      <c r="N140" s="45" t="str">
        <f t="shared" si="307"/>
        <v>Apr-21A</v>
      </c>
      <c r="O140" s="45" t="str">
        <f t="shared" si="307"/>
        <v>May-21A</v>
      </c>
      <c r="P140" s="46" t="str">
        <f t="shared" si="307"/>
        <v>Jun-21A</v>
      </c>
      <c r="Q140" s="45" t="str">
        <f t="shared" si="307"/>
        <v>Jul-21F</v>
      </c>
      <c r="R140" s="45" t="str">
        <f t="shared" si="307"/>
        <v>Aug-21F</v>
      </c>
      <c r="S140" s="45" t="str">
        <f t="shared" si="307"/>
        <v>Sep-21F</v>
      </c>
      <c r="T140" s="45" t="str">
        <f t="shared" si="307"/>
        <v>Oct-21F</v>
      </c>
      <c r="U140" s="45" t="str">
        <f t="shared" si="307"/>
        <v>Nov-21F</v>
      </c>
      <c r="V140" s="45" t="str">
        <f t="shared" si="307"/>
        <v>Dec-21F</v>
      </c>
      <c r="W140" s="45" t="str">
        <f t="shared" si="307"/>
        <v>Jan-22F</v>
      </c>
      <c r="X140" s="45" t="str">
        <f t="shared" si="307"/>
        <v>Feb-22F</v>
      </c>
      <c r="Y140" s="45" t="str">
        <f t="shared" si="307"/>
        <v>Mar-22F</v>
      </c>
      <c r="Z140" s="45" t="str">
        <f t="shared" si="307"/>
        <v>Apr-22F</v>
      </c>
      <c r="AA140" s="45" t="str">
        <f t="shared" si="307"/>
        <v>May-22F</v>
      </c>
      <c r="AB140" s="45" t="str">
        <f t="shared" si="307"/>
        <v>Jun-22F</v>
      </c>
      <c r="AC140" s="45" t="str">
        <f t="shared" si="307"/>
        <v>Jul-22F</v>
      </c>
      <c r="AD140" s="45" t="str">
        <f t="shared" si="307"/>
        <v>Aug-22F</v>
      </c>
      <c r="AE140" s="45" t="str">
        <f t="shared" si="307"/>
        <v>Sep-22F</v>
      </c>
      <c r="AF140" s="45" t="str">
        <f t="shared" si="307"/>
        <v>Oct-22F</v>
      </c>
      <c r="AG140" s="45" t="str">
        <f t="shared" si="307"/>
        <v>Nov-22F</v>
      </c>
      <c r="AH140" s="45" t="str">
        <f t="shared" si="307"/>
        <v>Dec-22F</v>
      </c>
      <c r="AJ140" s="45" t="str">
        <f ca="1">AJ$10</f>
        <v>Q3'20A</v>
      </c>
      <c r="AK140" s="45" t="str">
        <f t="shared" ref="AK140:AW140" ca="1" si="308">AK$10</f>
        <v>Q4'20A</v>
      </c>
      <c r="AL140" s="45" t="str">
        <f t="shared" ca="1" si="308"/>
        <v>Q1'21A</v>
      </c>
      <c r="AM140" s="46" t="str">
        <f t="shared" ca="1" si="308"/>
        <v>Q2'21A</v>
      </c>
      <c r="AN140" s="45" t="str">
        <f t="shared" ca="1" si="308"/>
        <v>Q3'21F</v>
      </c>
      <c r="AO140" s="45" t="str">
        <f t="shared" ca="1" si="308"/>
        <v>Q4'21F</v>
      </c>
      <c r="AP140" s="45" t="str">
        <f t="shared" ca="1" si="308"/>
        <v>Q1'22F</v>
      </c>
      <c r="AQ140" s="45" t="str">
        <f t="shared" ca="1" si="308"/>
        <v>Q2'22F</v>
      </c>
      <c r="AR140" s="45" t="str">
        <f t="shared" ca="1" si="308"/>
        <v>Q3'22F</v>
      </c>
      <c r="AS140" s="45" t="str">
        <f t="shared" ca="1" si="308"/>
        <v>Q4'22F</v>
      </c>
      <c r="AU140" s="45" t="str">
        <f t="shared" ca="1" si="308"/>
        <v>FY20</v>
      </c>
      <c r="AV140" s="45" t="str">
        <f t="shared" ca="1" si="308"/>
        <v>FY21</v>
      </c>
      <c r="AW140" s="45" t="str">
        <f t="shared" ca="1" si="308"/>
        <v>FY22</v>
      </c>
    </row>
    <row r="141" spans="1:49" x14ac:dyDescent="0.25">
      <c r="C141" s="1" t="s">
        <v>194</v>
      </c>
      <c r="D141" s="1"/>
      <c r="E141" s="61">
        <f>D144</f>
        <v>1803.6429398070677</v>
      </c>
      <c r="F141" s="61">
        <f t="shared" ref="F141:AH141" si="309">E144</f>
        <v>1829.840465482423</v>
      </c>
      <c r="G141" s="61">
        <f t="shared" si="309"/>
        <v>1694.1012643611755</v>
      </c>
      <c r="H141" s="61">
        <f t="shared" si="309"/>
        <v>1493.1012695628979</v>
      </c>
      <c r="I141" s="61">
        <f t="shared" si="309"/>
        <v>1364.20066892555</v>
      </c>
      <c r="J141" s="61">
        <f t="shared" si="309"/>
        <v>1304.4823082022854</v>
      </c>
      <c r="K141" s="61">
        <f t="shared" si="309"/>
        <v>1478.8293295995604</v>
      </c>
      <c r="L141" s="61">
        <f t="shared" si="309"/>
        <v>1538.8397827425376</v>
      </c>
      <c r="M141" s="61">
        <f t="shared" si="309"/>
        <v>1382.9474191285376</v>
      </c>
      <c r="N141" s="61">
        <f t="shared" si="309"/>
        <v>1349.3365001798363</v>
      </c>
      <c r="O141" s="61">
        <f t="shared" si="309"/>
        <v>1500.7770840945338</v>
      </c>
      <c r="P141" s="17">
        <f t="shared" si="309"/>
        <v>1673.0841415687526</v>
      </c>
      <c r="Q141" s="15">
        <f t="shared" si="309"/>
        <v>1878.5217441201676</v>
      </c>
      <c r="R141" s="15">
        <f t="shared" si="309"/>
        <v>1648.3585967775937</v>
      </c>
      <c r="S141" s="15">
        <f t="shared" si="309"/>
        <v>1461.6031254342402</v>
      </c>
      <c r="T141" s="15">
        <f t="shared" si="309"/>
        <v>1206.7011303298743</v>
      </c>
      <c r="U141" s="15">
        <f t="shared" si="309"/>
        <v>1126.5015552299517</v>
      </c>
      <c r="V141" s="15">
        <f t="shared" si="309"/>
        <v>1018.1938927410487</v>
      </c>
      <c r="W141" s="104">
        <f t="shared" si="309"/>
        <v>1272.2833687733926</v>
      </c>
      <c r="X141" s="15">
        <f t="shared" si="309"/>
        <v>1449.8731103983794</v>
      </c>
      <c r="Y141" s="15">
        <f t="shared" si="309"/>
        <v>1207.7597182052014</v>
      </c>
      <c r="Z141" s="15">
        <f t="shared" si="309"/>
        <v>1112.4466480009294</v>
      </c>
      <c r="AA141" s="15">
        <f t="shared" si="309"/>
        <v>1382.2143130159834</v>
      </c>
      <c r="AB141" s="15">
        <f t="shared" si="309"/>
        <v>1564.3944363585247</v>
      </c>
      <c r="AC141" s="15">
        <f t="shared" si="309"/>
        <v>1761.0716732926624</v>
      </c>
      <c r="AD141" s="15">
        <f t="shared" si="309"/>
        <v>1695.5483383216279</v>
      </c>
      <c r="AE141" s="15">
        <f t="shared" si="309"/>
        <v>1503.4629399841276</v>
      </c>
      <c r="AF141" s="15">
        <f t="shared" si="309"/>
        <v>1242.9039926375638</v>
      </c>
      <c r="AG141" s="15">
        <f t="shared" si="309"/>
        <v>1164.2474299543912</v>
      </c>
      <c r="AH141" s="15">
        <f t="shared" si="309"/>
        <v>1051.8272850854378</v>
      </c>
      <c r="AJ141" s="15">
        <f ca="1">AJ144+AJ143-AJ142</f>
        <v>1803.6429398070677</v>
      </c>
      <c r="AK141" s="15">
        <f t="shared" ref="AK141" ca="1" si="310">AK144+AK143-AK142</f>
        <v>1493.1012695628976</v>
      </c>
      <c r="AL141" s="15">
        <f t="shared" ref="AL141" ca="1" si="311">AL144+AL143-AL142</f>
        <v>1478.8293295995604</v>
      </c>
      <c r="AM141" s="16">
        <f t="shared" ref="AM141" ca="1" si="312">AM144+AM143-AM142</f>
        <v>1349.3365001798363</v>
      </c>
      <c r="AN141" s="15">
        <f t="shared" ref="AN141" ca="1" si="313">AN144+AN143-AN142</f>
        <v>1878.521744120168</v>
      </c>
      <c r="AO141" s="15">
        <f t="shared" ref="AO141" ca="1" si="314">AO144+AO143-AO142</f>
        <v>1206.7011303298743</v>
      </c>
      <c r="AP141" s="15">
        <f t="shared" ref="AP141" ca="1" si="315">AP144+AP143-AP142</f>
        <v>1272.2833687733923</v>
      </c>
      <c r="AQ141" s="15">
        <f t="shared" ref="AQ141" ca="1" si="316">AQ144+AQ143-AQ142</f>
        <v>1112.4466480009291</v>
      </c>
      <c r="AR141" s="15">
        <f t="shared" ref="AR141" ca="1" si="317">AR144+AR143-AR142</f>
        <v>1761.0716732926626</v>
      </c>
      <c r="AS141" s="15">
        <f t="shared" ref="AS141" ca="1" si="318">AS144+AS143-AS142</f>
        <v>1242.903992637564</v>
      </c>
      <c r="AU141" s="15">
        <f t="shared" ref="AU141" ca="1" si="319">AU144+AU143-AU142</f>
        <v>1803.6429398070673</v>
      </c>
      <c r="AV141" s="15">
        <f t="shared" ref="AV141" ca="1" si="320">AV144+AV143-AV142</f>
        <v>1478.8293295995609</v>
      </c>
      <c r="AW141" s="15">
        <f t="shared" ref="AW141" ca="1" si="321">AW144+AW143-AW142</f>
        <v>1272.2833687733937</v>
      </c>
    </row>
    <row r="142" spans="1:49" x14ac:dyDescent="0.25">
      <c r="C142" s="108" t="s">
        <v>224</v>
      </c>
      <c r="D142" s="1"/>
      <c r="E142" s="56">
        <f>Expense!E162</f>
        <v>466.33051765939143</v>
      </c>
      <c r="F142" s="56">
        <f>Expense!F162</f>
        <v>411.25055864271195</v>
      </c>
      <c r="G142" s="56">
        <f>Expense!G162</f>
        <v>325.43115049900075</v>
      </c>
      <c r="H142" s="56">
        <f>Expense!H162</f>
        <v>283.09912311626232</v>
      </c>
      <c r="I142" s="56">
        <f>Expense!I162</f>
        <v>255.76143729257313</v>
      </c>
      <c r="J142" s="56">
        <f>Expense!J162</f>
        <v>331.3179786842739</v>
      </c>
      <c r="K142" s="56">
        <f>Expense!K162</f>
        <v>347.25322529242891</v>
      </c>
      <c r="L142" s="56">
        <f>Expense!L162</f>
        <v>287.43922102738668</v>
      </c>
      <c r="M142" s="56">
        <f>Expense!M162</f>
        <v>276.18080868502204</v>
      </c>
      <c r="N142" s="56">
        <f>Expense!N162</f>
        <v>331.1039208234501</v>
      </c>
      <c r="O142" s="56">
        <f>Expense!O162</f>
        <v>410.12473139176257</v>
      </c>
      <c r="P142" s="34">
        <f>Expense!P162</f>
        <v>492.55763835999801</v>
      </c>
      <c r="Q142" s="33">
        <f>Expense!Q162</f>
        <v>432.20772937043762</v>
      </c>
      <c r="R142" s="33">
        <f>Expense!R162</f>
        <v>383.23952647174065</v>
      </c>
      <c r="S142" s="33">
        <f>Expense!S162</f>
        <v>316.40296995337928</v>
      </c>
      <c r="T142" s="33">
        <f>Expense!T162</f>
        <v>295.37424700548763</v>
      </c>
      <c r="U142" s="33">
        <f>Expense!U162</f>
        <v>266.97544533134896</v>
      </c>
      <c r="V142" s="33">
        <f>Expense!V162</f>
        <v>333.59895535371396</v>
      </c>
      <c r="W142" s="33">
        <f>Expense!W162</f>
        <v>380.1638588506043</v>
      </c>
      <c r="X142" s="33">
        <f>Expense!X162</f>
        <v>316.68053689956969</v>
      </c>
      <c r="Y142" s="33">
        <f>Expense!Y162</f>
        <v>291.68898121936365</v>
      </c>
      <c r="Z142" s="33">
        <f>Expense!Z162</f>
        <v>362.42338948565737</v>
      </c>
      <c r="AA142" s="33">
        <f>Expense!AA162</f>
        <v>410.19191364067774</v>
      </c>
      <c r="AB142" s="33">
        <f>Expense!AB162</f>
        <v>461.76165226450257</v>
      </c>
      <c r="AC142" s="33">
        <f>Expense!AC162</f>
        <v>444.58111164429289</v>
      </c>
      <c r="AD142" s="33">
        <f>Expense!AD162</f>
        <v>394.21537567945734</v>
      </c>
      <c r="AE142" s="33">
        <f>Expense!AE162</f>
        <v>325.89553846687261</v>
      </c>
      <c r="AF142" s="33">
        <f>Expense!AF162</f>
        <v>305.27140096194086</v>
      </c>
      <c r="AG142" s="33">
        <f>Expense!AG162</f>
        <v>275.79428618588832</v>
      </c>
      <c r="AH142" s="33">
        <f>Expense!AH162</f>
        <v>344.02824903576118</v>
      </c>
      <c r="AJ142" s="15" cm="1">
        <f t="array" aca="1" ref="AJ142" ca="1">SUMPRODUCT(($E142:$AH142)*(AJ$3&amp;AJ$4&amp;AJ$5&amp;AJ$6=$E$3:$AH$3&amp;$E$4:$AH$4&amp;$E$5:$AH$5&amp;$E$6:$AH$6))</f>
        <v>1203.0122268011041</v>
      </c>
      <c r="AK142" s="15" cm="1">
        <f t="array" aca="1" ref="AK142" ca="1">SUMPRODUCT(($E142:$AH142)*(AK$3=$E$3:$AH$3)*(AK$4=$E$4:$AH$4)*(AK$5=$E$5:$AH$5)*(AK$6=$E$6:$AH$6))</f>
        <v>870.17853909310929</v>
      </c>
      <c r="AL142" s="15" cm="1">
        <f t="array" aca="1" ref="AL142" ca="1">SUMPRODUCT(($E142:$AH142)*(AL$3=$E$3:$AH$3)*(AL$4=$E$4:$AH$4)*(AL$5=$E$5:$AH$5)*(AL$6=$E$6:$AH$6))</f>
        <v>910.87325500483769</v>
      </c>
      <c r="AM142" s="16" cm="1">
        <f t="array" aca="1" ref="AM142" ca="1">SUMPRODUCT(($E142:$AH142)*(AM$3=$E$3:$AH$3)*(AM$4=$E$4:$AH$4)*(AM$5=$E$5:$AH$5)*(AM$6=$E$6:$AH$6))</f>
        <v>1233.7862905752106</v>
      </c>
      <c r="AN142" s="15" cm="1">
        <f t="array" aca="1" ref="AN142" ca="1">SUMPRODUCT(($E142:$AH142)*(AN$3=$E$3:$AH$3)*(AN$4=$E$4:$AH$4)*(AN$5=$E$5:$AH$5)*(AN$6=$E$6:$AH$6))</f>
        <v>1131.8502257955574</v>
      </c>
      <c r="AO142" s="15" cm="1">
        <f t="array" aca="1" ref="AO142" ca="1">SUMPRODUCT(($E142:$AH142)*(AO$3=$E$3:$AH$3)*(AO$4=$E$4:$AH$4)*(AO$5=$E$5:$AH$5)*(AO$6=$E$6:$AH$6))</f>
        <v>895.94864769055062</v>
      </c>
      <c r="AP142" s="15" cm="1">
        <f t="array" aca="1" ref="AP142" ca="1">SUMPRODUCT(($E142:$AH142)*(AP$3=$E$3:$AH$3)*(AP$4=$E$4:$AH$4)*(AP$5=$E$5:$AH$5)*(AP$6=$E$6:$AH$6))</f>
        <v>988.5333769695377</v>
      </c>
      <c r="AQ142" s="15" cm="1">
        <f t="array" aca="1" ref="AQ142" ca="1">SUMPRODUCT(($E142:$AH142)*(AQ$3=$E$3:$AH$3)*(AQ$4=$E$4:$AH$4)*(AQ$5=$E$5:$AH$5)*(AQ$6=$E$6:$AH$6))</f>
        <v>1234.3769553908378</v>
      </c>
      <c r="AR142" s="15" cm="1">
        <f t="array" aca="1" ref="AR142" ca="1">SUMPRODUCT(($E142:$AH142)*(AR$3=$E$3:$AH$3)*(AR$4=$E$4:$AH$4)*(AR$5=$E$5:$AH$5)*(AR$6=$E$6:$AH$6))</f>
        <v>1164.6920257906227</v>
      </c>
      <c r="AS142" s="15" cm="1">
        <f t="array" aca="1" ref="AS142" ca="1">SUMPRODUCT(($E142:$AH142)*(AS$3=$E$3:$AH$3)*(AS$4=$E$4:$AH$4)*(AS$5=$E$5:$AH$5)*(AS$6=$E$6:$AH$6))</f>
        <v>925.09393618359036</v>
      </c>
      <c r="AU142" s="15" cm="1">
        <f t="array" aca="1" ref="AU142" ca="1">SUMPRODUCT(($E142:$AH142)*(AU$5=$E$5:$AH$5))</f>
        <v>2073.1907658942137</v>
      </c>
      <c r="AV142" s="15" cm="1">
        <f t="array" aca="1" ref="AV142" ca="1">SUMPRODUCT(($E142:$AH142)*(AV$5=$E$5:$AH$5))</f>
        <v>4172.4584190661562</v>
      </c>
      <c r="AW142" s="15" cm="1">
        <f t="array" aca="1" ref="AW142" ca="1">SUMPRODUCT(($E142:$AH142)*(AW$5=$E$5:$AH$5))</f>
        <v>4312.6962943345879</v>
      </c>
    </row>
    <row r="143" spans="1:49" x14ac:dyDescent="0.25">
      <c r="C143" s="109" t="s">
        <v>208</v>
      </c>
      <c r="D143" s="23"/>
      <c r="E143" s="24">
        <f t="shared" ref="E143:AH143" si="322">(E141-E144)+SUM(E142:E142)</f>
        <v>440.1329919840361</v>
      </c>
      <c r="F143" s="24">
        <f t="shared" si="322"/>
        <v>546.98975976395946</v>
      </c>
      <c r="G143" s="24">
        <f t="shared" si="322"/>
        <v>526.43114529727836</v>
      </c>
      <c r="H143" s="24">
        <f t="shared" si="322"/>
        <v>411.99972375361023</v>
      </c>
      <c r="I143" s="24">
        <f t="shared" si="322"/>
        <v>315.47979801583773</v>
      </c>
      <c r="J143" s="24">
        <f t="shared" si="322"/>
        <v>156.97095728699884</v>
      </c>
      <c r="K143" s="24">
        <f t="shared" si="322"/>
        <v>287.2427721494517</v>
      </c>
      <c r="L143" s="24">
        <f t="shared" si="322"/>
        <v>443.33158464138671</v>
      </c>
      <c r="M143" s="24">
        <f t="shared" si="322"/>
        <v>309.79172763372333</v>
      </c>
      <c r="N143" s="24">
        <f t="shared" si="322"/>
        <v>179.66333690875257</v>
      </c>
      <c r="O143" s="24">
        <f t="shared" si="322"/>
        <v>237.81767391754386</v>
      </c>
      <c r="P143" s="64">
        <f t="shared" si="322"/>
        <v>287.120035808583</v>
      </c>
      <c r="Q143" s="29">
        <f t="shared" si="322"/>
        <v>662.37087671301151</v>
      </c>
      <c r="R143" s="29">
        <f t="shared" si="322"/>
        <v>569.99499781509417</v>
      </c>
      <c r="S143" s="29">
        <f t="shared" si="322"/>
        <v>571.30496505774511</v>
      </c>
      <c r="T143" s="29">
        <f t="shared" si="322"/>
        <v>375.57382210541027</v>
      </c>
      <c r="U143" s="29">
        <f t="shared" si="322"/>
        <v>375.28310782025198</v>
      </c>
      <c r="V143" s="29">
        <f t="shared" si="322"/>
        <v>79.509479321370065</v>
      </c>
      <c r="W143" s="29">
        <f t="shared" si="322"/>
        <v>202.5741172256175</v>
      </c>
      <c r="X143" s="29">
        <f t="shared" si="322"/>
        <v>558.7939290927477</v>
      </c>
      <c r="Y143" s="29">
        <f t="shared" si="322"/>
        <v>387.00205142363563</v>
      </c>
      <c r="Z143" s="29">
        <f t="shared" si="322"/>
        <v>92.655724470603332</v>
      </c>
      <c r="AA143" s="29">
        <f t="shared" si="322"/>
        <v>228.01179029813648</v>
      </c>
      <c r="AB143" s="29">
        <f t="shared" si="322"/>
        <v>265.08441533036489</v>
      </c>
      <c r="AC143" s="29">
        <f t="shared" si="322"/>
        <v>510.10444661532739</v>
      </c>
      <c r="AD143" s="29">
        <f t="shared" si="322"/>
        <v>586.30077401695758</v>
      </c>
      <c r="AE143" s="29">
        <f t="shared" si="322"/>
        <v>586.45448581343646</v>
      </c>
      <c r="AF143" s="29">
        <f t="shared" si="322"/>
        <v>383.92796364511338</v>
      </c>
      <c r="AG143" s="29">
        <f t="shared" si="322"/>
        <v>388.21443105484178</v>
      </c>
      <c r="AH143" s="29">
        <f t="shared" si="322"/>
        <v>83.796810279164333</v>
      </c>
      <c r="AJ143" s="29" cm="1">
        <f t="array" aca="1" ref="AJ143" ca="1">SUMPRODUCT(($E143:$AH143)*(AJ$3&amp;AJ$4&amp;AJ$5&amp;AJ$6=$E$3:$AH$3&amp;$E$4:$AH$4&amp;$E$5:$AH$5&amp;$E$6:$AH$6))</f>
        <v>1513.553897045274</v>
      </c>
      <c r="AK143" s="29" cm="1">
        <f t="array" aca="1" ref="AK143" ca="1">SUMPRODUCT(($E143:$AH143)*(AK$3=$E$3:$AH$3)*(AK$4=$E$4:$AH$4)*(AK$5=$E$5:$AH$5)*(AK$6=$E$6:$AH$6))</f>
        <v>884.45047905644674</v>
      </c>
      <c r="AL143" s="29" cm="1">
        <f t="array" aca="1" ref="AL143" ca="1">SUMPRODUCT(($E143:$AH143)*(AL$3=$E$3:$AH$3)*(AL$4=$E$4:$AH$4)*(AL$5=$E$5:$AH$5)*(AL$6=$E$6:$AH$6))</f>
        <v>1040.3660844245619</v>
      </c>
      <c r="AM143" s="240" cm="1">
        <f t="array" aca="1" ref="AM143" ca="1">SUMPRODUCT(($E143:$AH143)*(AM$3=$E$3:$AH$3)*(AM$4=$E$4:$AH$4)*(AM$5=$E$5:$AH$5)*(AM$6=$E$6:$AH$6))</f>
        <v>704.60104663487937</v>
      </c>
      <c r="AN143" s="29" cm="1">
        <f t="array" aca="1" ref="AN143" ca="1">SUMPRODUCT(($E143:$AH143)*(AN$3=$E$3:$AH$3)*(AN$4=$E$4:$AH$4)*(AN$5=$E$5:$AH$5)*(AN$6=$E$6:$AH$6))</f>
        <v>1803.6708395858509</v>
      </c>
      <c r="AO143" s="29" cm="1">
        <f t="array" aca="1" ref="AO143" ca="1">SUMPRODUCT(($E143:$AH143)*(AO$3=$E$3:$AH$3)*(AO$4=$E$4:$AH$4)*(AO$5=$E$5:$AH$5)*(AO$6=$E$6:$AH$6))</f>
        <v>830.36640924703238</v>
      </c>
      <c r="AP143" s="29" cm="1">
        <f t="array" aca="1" ref="AP143" ca="1">SUMPRODUCT(($E143:$AH143)*(AP$3=$E$3:$AH$3)*(AP$4=$E$4:$AH$4)*(AP$5=$E$5:$AH$5)*(AP$6=$E$6:$AH$6))</f>
        <v>1148.3700977420008</v>
      </c>
      <c r="AQ143" s="29" cm="1">
        <f t="array" aca="1" ref="AQ143" ca="1">SUMPRODUCT(($E143:$AH143)*(AQ$3=$E$3:$AH$3)*(AQ$4=$E$4:$AH$4)*(AQ$5=$E$5:$AH$5)*(AQ$6=$E$6:$AH$6))</f>
        <v>585.7519300991047</v>
      </c>
      <c r="AR143" s="29" cm="1">
        <f t="array" aca="1" ref="AR143" ca="1">SUMPRODUCT(($E143:$AH143)*(AR$3=$E$3:$AH$3)*(AR$4=$E$4:$AH$4)*(AR$5=$E$5:$AH$5)*(AR$6=$E$6:$AH$6))</f>
        <v>1682.8597064457213</v>
      </c>
      <c r="AS143" s="29" cm="1">
        <f t="array" aca="1" ref="AS143" ca="1">SUMPRODUCT(($E143:$AH143)*(AS$3=$E$3:$AH$3)*(AS$4=$E$4:$AH$4)*(AS$5=$E$5:$AH$5)*(AS$6=$E$6:$AH$6))</f>
        <v>855.93920497911949</v>
      </c>
      <c r="AU143" s="29" cm="1">
        <f t="array" aca="1" ref="AU143" ca="1">SUMPRODUCT(($E143:$AH143)*(AU$5=$E$5:$AH$5))</f>
        <v>2398.0043761017205</v>
      </c>
      <c r="AV143" s="29" cm="1">
        <f t="array" aca="1" ref="AV143" ca="1">SUMPRODUCT(($E143:$AH143)*(AV$5=$E$5:$AH$5))</f>
        <v>4379.0043798923243</v>
      </c>
      <c r="AW143" s="29" cm="1">
        <f t="array" aca="1" ref="AW143" ca="1">SUMPRODUCT(($E143:$AH143)*(AW$5=$E$5:$AH$5))</f>
        <v>4272.9209392659468</v>
      </c>
    </row>
    <row r="144" spans="1:49" x14ac:dyDescent="0.25">
      <c r="B144" t="s">
        <v>231</v>
      </c>
      <c r="C144" s="2" t="s">
        <v>195</v>
      </c>
      <c r="D144" s="37">
        <v>1803.6429398070677</v>
      </c>
      <c r="E144" s="31">
        <v>1829.840465482423</v>
      </c>
      <c r="F144" s="31">
        <v>1694.1012643611755</v>
      </c>
      <c r="G144" s="31">
        <v>1493.1012695628979</v>
      </c>
      <c r="H144" s="31">
        <v>1364.20066892555</v>
      </c>
      <c r="I144" s="31">
        <v>1304.4823082022854</v>
      </c>
      <c r="J144" s="37">
        <v>1478.8293295995604</v>
      </c>
      <c r="K144" s="31">
        <v>1538.8397827425376</v>
      </c>
      <c r="L144" s="31">
        <v>1382.9474191285376</v>
      </c>
      <c r="M144" s="31">
        <v>1349.3365001798363</v>
      </c>
      <c r="N144" s="31">
        <v>1500.7770840945338</v>
      </c>
      <c r="O144" s="31">
        <v>1673.0841415687526</v>
      </c>
      <c r="P144" s="32">
        <v>1878.5217441201676</v>
      </c>
      <c r="Q144" s="15">
        <f t="shared" ref="Q144:AH144" si="323">Q146*(SUM(Q142:Q142)/30)</f>
        <v>1648.3585967775937</v>
      </c>
      <c r="R144" s="15">
        <f t="shared" si="323"/>
        <v>1461.6031254342402</v>
      </c>
      <c r="S144" s="15">
        <f t="shared" si="323"/>
        <v>1206.7011303298743</v>
      </c>
      <c r="T144" s="15">
        <f t="shared" si="323"/>
        <v>1126.5015552299517</v>
      </c>
      <c r="U144" s="15">
        <f t="shared" si="323"/>
        <v>1018.1938927410487</v>
      </c>
      <c r="V144" s="15">
        <f t="shared" si="323"/>
        <v>1272.2833687733926</v>
      </c>
      <c r="W144" s="15">
        <f t="shared" si="323"/>
        <v>1449.8731103983794</v>
      </c>
      <c r="X144" s="15">
        <f t="shared" si="323"/>
        <v>1207.7597182052014</v>
      </c>
      <c r="Y144" s="15">
        <f t="shared" si="323"/>
        <v>1112.4466480009294</v>
      </c>
      <c r="Z144" s="15">
        <f t="shared" si="323"/>
        <v>1382.2143130159834</v>
      </c>
      <c r="AA144" s="15">
        <f t="shared" si="323"/>
        <v>1564.3944363585247</v>
      </c>
      <c r="AB144" s="15">
        <f t="shared" si="323"/>
        <v>1761.0716732926624</v>
      </c>
      <c r="AC144" s="15">
        <f t="shared" si="323"/>
        <v>1695.5483383216279</v>
      </c>
      <c r="AD144" s="15">
        <f t="shared" si="323"/>
        <v>1503.4629399841276</v>
      </c>
      <c r="AE144" s="15">
        <f t="shared" si="323"/>
        <v>1242.9039926375638</v>
      </c>
      <c r="AF144" s="15">
        <f t="shared" si="323"/>
        <v>1164.2474299543912</v>
      </c>
      <c r="AG144" s="15">
        <f t="shared" si="323"/>
        <v>1051.8272850854378</v>
      </c>
      <c r="AH144" s="15">
        <f t="shared" si="323"/>
        <v>1312.0587238420346</v>
      </c>
      <c r="AJ144" s="15" cm="1">
        <f t="array" aca="1" ref="AJ144" ca="1">INDEX($E144:$AH144,1,MATCH(AJ$3&amp;AJ$4&amp;AJ$5&amp;AJ$6,$E$3:$AH$3&amp;$E$4:$AH$4&amp;$E$5:$AH$5&amp;$E$6:$AH$6,1))</f>
        <v>1493.1012695628979</v>
      </c>
      <c r="AK144" s="15" cm="1">
        <f t="array" aca="1" ref="AK144" ca="1">INDEX($E144:$AH144,1,MATCH(AK$3&amp;AK$4&amp;AK$5&amp;AK$6,$E$3:$AH$3&amp;$E$4:$AH$4&amp;$E$5:$AH$5&amp;$E$6:$AH$6,1))</f>
        <v>1478.8293295995604</v>
      </c>
      <c r="AL144" s="15" cm="1">
        <f t="array" aca="1" ref="AL144" ca="1">INDEX($E144:$AH144,1,MATCH(AL$3&amp;AL$4&amp;AL$5&amp;AL$6,$E$3:$AH$3&amp;$E$4:$AH$4&amp;$E$5:$AH$5&amp;$E$6:$AH$6,1))</f>
        <v>1349.3365001798363</v>
      </c>
      <c r="AM144" s="16" cm="1">
        <f t="array" aca="1" ref="AM144" ca="1">INDEX($E144:$AH144,1,MATCH(AM$3&amp;AM$4&amp;AM$5&amp;AM$6,$E$3:$AH$3&amp;$E$4:$AH$4&amp;$E$5:$AH$5&amp;$E$6:$AH$6,1))</f>
        <v>1878.5217441201676</v>
      </c>
      <c r="AN144" s="15" cm="1">
        <f t="array" aca="1" ref="AN144" ca="1">INDEX($E144:$AH144,1,MATCH(AN$3&amp;AN$4&amp;AN$5&amp;AN$6,$E$3:$AH$3&amp;$E$4:$AH$4&amp;$E$5:$AH$5&amp;$E$6:$AH$6,1))</f>
        <v>1206.7011303298743</v>
      </c>
      <c r="AO144" s="15" cm="1">
        <f t="array" aca="1" ref="AO144" ca="1">INDEX($E144:$AH144,1,MATCH(AO$3&amp;AO$4&amp;AO$5&amp;AO$6,$E$3:$AH$3&amp;$E$4:$AH$4&amp;$E$5:$AH$5&amp;$E$6:$AH$6,1))</f>
        <v>1272.2833687733926</v>
      </c>
      <c r="AP144" s="15" cm="1">
        <f t="array" aca="1" ref="AP144" ca="1">INDEX($E144:$AH144,1,MATCH(AP$3&amp;AP$4&amp;AP$5&amp;AP$6,$E$3:$AH$3&amp;$E$4:$AH$4&amp;$E$5:$AH$5&amp;$E$6:$AH$6,1))</f>
        <v>1112.4466480009294</v>
      </c>
      <c r="AQ144" s="15" cm="1">
        <f t="array" aca="1" ref="AQ144" ca="1">INDEX($E144:$AH144,1,MATCH(AQ$3&amp;AQ$4&amp;AQ$5&amp;AQ$6,$E$3:$AH$3&amp;$E$4:$AH$4&amp;$E$5:$AH$5&amp;$E$6:$AH$6,1))</f>
        <v>1761.0716732926624</v>
      </c>
      <c r="AR144" s="15" cm="1">
        <f t="array" aca="1" ref="AR144" ca="1">INDEX($E144:$AH144,1,MATCH(AR$3&amp;AR$4&amp;AR$5&amp;AR$6,$E$3:$AH$3&amp;$E$4:$AH$4&amp;$E$5:$AH$5&amp;$E$6:$AH$6,1))</f>
        <v>1242.9039926375638</v>
      </c>
      <c r="AS144" s="15" cm="1">
        <f t="array" aca="1" ref="AS144" ca="1">INDEX($E144:$AH144,1,MATCH(AS$3&amp;AS$4&amp;AS$5&amp;AS$6,$E$3:$AH$3&amp;$E$4:$AH$4&amp;$E$5:$AH$5&amp;$E$6:$AH$6,1))</f>
        <v>1312.0587238420346</v>
      </c>
      <c r="AU144" s="13">
        <f ca="1">INDEX($E144:$AH144,1,MATCH(AU$5,$E$5:$AH$5,1))</f>
        <v>1478.8293295995604</v>
      </c>
      <c r="AV144" s="13">
        <f t="shared" ref="AV144:AW144" ca="1" si="324">INDEX($E144:$AH144,1,MATCH(AV$5,$E$5:$AH$5,1))</f>
        <v>1272.2833687733926</v>
      </c>
      <c r="AW144" s="13">
        <f t="shared" ca="1" si="324"/>
        <v>1312.0587238420346</v>
      </c>
    </row>
    <row r="145" spans="2:49" x14ac:dyDescent="0.25">
      <c r="P145" s="8"/>
      <c r="AM145" s="8"/>
    </row>
    <row r="146" spans="2:49" x14ac:dyDescent="0.25">
      <c r="C146" t="s">
        <v>590</v>
      </c>
      <c r="E146" s="116">
        <f>E144/(SUM(E142:E142)/E46)</f>
        <v>117.7173954644938</v>
      </c>
      <c r="F146" s="161">
        <f t="shared" ref="F146:P146" si="325">F144/(SUM(F142:F142)/F46)</f>
        <v>123.58168727738926</v>
      </c>
      <c r="G146" s="161">
        <f t="shared" si="325"/>
        <v>137.64213419091382</v>
      </c>
      <c r="H146" s="161">
        <f t="shared" si="325"/>
        <v>144.56427705344436</v>
      </c>
      <c r="I146" s="161">
        <f t="shared" si="325"/>
        <v>153.01160980457533</v>
      </c>
      <c r="J146" s="161">
        <f t="shared" si="325"/>
        <v>133.90423322081134</v>
      </c>
      <c r="K146" s="161">
        <f t="shared" si="325"/>
        <v>132.94388682322386</v>
      </c>
      <c r="L146" s="161">
        <f t="shared" si="325"/>
        <v>144.33807058607073</v>
      </c>
      <c r="M146" s="161">
        <f t="shared" si="325"/>
        <v>146.57099165627298</v>
      </c>
      <c r="N146" s="161">
        <f t="shared" si="325"/>
        <v>135.97940009548594</v>
      </c>
      <c r="O146" s="161">
        <f t="shared" si="325"/>
        <v>122.38355896444899</v>
      </c>
      <c r="P146" s="162">
        <f t="shared" si="325"/>
        <v>114.41433029288665</v>
      </c>
      <c r="Q146" s="119">
        <f>P146</f>
        <v>114.41433029288665</v>
      </c>
      <c r="R146" s="119">
        <f t="shared" ref="R146:AH146" si="326">Q146</f>
        <v>114.41433029288665</v>
      </c>
      <c r="S146" s="119">
        <f t="shared" si="326"/>
        <v>114.41433029288665</v>
      </c>
      <c r="T146" s="119">
        <f t="shared" si="326"/>
        <v>114.41433029288665</v>
      </c>
      <c r="U146" s="119">
        <f t="shared" si="326"/>
        <v>114.41433029288665</v>
      </c>
      <c r="V146" s="119">
        <f t="shared" si="326"/>
        <v>114.41433029288665</v>
      </c>
      <c r="W146" s="119">
        <f t="shared" si="326"/>
        <v>114.41433029288665</v>
      </c>
      <c r="X146" s="119">
        <f t="shared" si="326"/>
        <v>114.41433029288665</v>
      </c>
      <c r="Y146" s="119">
        <f t="shared" si="326"/>
        <v>114.41433029288665</v>
      </c>
      <c r="Z146" s="119">
        <f t="shared" si="326"/>
        <v>114.41433029288665</v>
      </c>
      <c r="AA146" s="119">
        <f t="shared" si="326"/>
        <v>114.41433029288665</v>
      </c>
      <c r="AB146" s="119">
        <f t="shared" si="326"/>
        <v>114.41433029288665</v>
      </c>
      <c r="AC146" s="119">
        <f t="shared" si="326"/>
        <v>114.41433029288665</v>
      </c>
      <c r="AD146" s="119">
        <f t="shared" si="326"/>
        <v>114.41433029288665</v>
      </c>
      <c r="AE146" s="119">
        <f t="shared" si="326"/>
        <v>114.41433029288665</v>
      </c>
      <c r="AF146" s="119">
        <f t="shared" si="326"/>
        <v>114.41433029288665</v>
      </c>
      <c r="AG146" s="119">
        <f t="shared" si="326"/>
        <v>114.41433029288665</v>
      </c>
      <c r="AH146" s="119">
        <f t="shared" si="326"/>
        <v>114.41433029288665</v>
      </c>
      <c r="AJ146" s="161">
        <f t="shared" ref="AJ146:AW146" ca="1" si="327">AJ144/(SUM(AJ142:AJ142)/AJ46)</f>
        <v>111.70220157943409</v>
      </c>
      <c r="AK146" s="161">
        <f t="shared" ca="1" si="327"/>
        <v>152.95095625165638</v>
      </c>
      <c r="AL146" s="161">
        <f t="shared" ca="1" si="327"/>
        <v>133.32292319367778</v>
      </c>
      <c r="AM146" s="162">
        <f t="shared" ca="1" si="327"/>
        <v>137.03099010120579</v>
      </c>
      <c r="AN146" s="161">
        <f t="shared" ca="1" si="327"/>
        <v>95.951831129735822</v>
      </c>
      <c r="AO146" s="161">
        <f t="shared" ca="1" si="327"/>
        <v>127.80364531467443</v>
      </c>
      <c r="AP146" s="161">
        <f t="shared" ca="1" si="327"/>
        <v>101.28155573968941</v>
      </c>
      <c r="AQ146" s="161">
        <f t="shared" ca="1" si="327"/>
        <v>128.4019844214892</v>
      </c>
      <c r="AR146" s="161">
        <f t="shared" ca="1" si="327"/>
        <v>96.043723886103194</v>
      </c>
      <c r="AS146" s="161">
        <f t="shared" ca="1" si="327"/>
        <v>127.64680485631072</v>
      </c>
      <c r="AU146" s="161">
        <f t="shared" ca="1" si="327"/>
        <v>128.39594103300354</v>
      </c>
      <c r="AV146" s="161">
        <f t="shared" ca="1" si="327"/>
        <v>109.77269675486231</v>
      </c>
      <c r="AW146" s="161">
        <f t="shared" ca="1" si="327"/>
        <v>109.52339519099168</v>
      </c>
    </row>
    <row r="147" spans="2:49" x14ac:dyDescent="0.25">
      <c r="P147" s="8"/>
      <c r="AM147" s="8"/>
    </row>
    <row r="148" spans="2:49" x14ac:dyDescent="0.25">
      <c r="C148" s="30" t="s">
        <v>160</v>
      </c>
      <c r="D148" s="30"/>
      <c r="E148" s="45" t="str">
        <f t="shared" ref="E148:AH148" si="328">E$9</f>
        <v>Jul-20A</v>
      </c>
      <c r="F148" s="45" t="str">
        <f t="shared" si="328"/>
        <v>Aug-20A</v>
      </c>
      <c r="G148" s="45" t="str">
        <f t="shared" si="328"/>
        <v>Sep-20A</v>
      </c>
      <c r="H148" s="45" t="str">
        <f t="shared" si="328"/>
        <v>Oct-20A</v>
      </c>
      <c r="I148" s="45" t="str">
        <f t="shared" si="328"/>
        <v>Nov-20A</v>
      </c>
      <c r="J148" s="45" t="str">
        <f t="shared" si="328"/>
        <v>Dec-20A</v>
      </c>
      <c r="K148" s="45" t="str">
        <f t="shared" si="328"/>
        <v>Jan-21A</v>
      </c>
      <c r="L148" s="45" t="str">
        <f t="shared" si="328"/>
        <v>Feb-21A</v>
      </c>
      <c r="M148" s="45" t="str">
        <f t="shared" si="328"/>
        <v>Mar-21A</v>
      </c>
      <c r="N148" s="45" t="str">
        <f t="shared" si="328"/>
        <v>Apr-21A</v>
      </c>
      <c r="O148" s="45" t="str">
        <f t="shared" si="328"/>
        <v>May-21A</v>
      </c>
      <c r="P148" s="46" t="str">
        <f t="shared" si="328"/>
        <v>Jun-21A</v>
      </c>
      <c r="Q148" s="45" t="str">
        <f t="shared" si="328"/>
        <v>Jul-21F</v>
      </c>
      <c r="R148" s="45" t="str">
        <f t="shared" si="328"/>
        <v>Aug-21F</v>
      </c>
      <c r="S148" s="45" t="str">
        <f t="shared" si="328"/>
        <v>Sep-21F</v>
      </c>
      <c r="T148" s="45" t="str">
        <f t="shared" si="328"/>
        <v>Oct-21F</v>
      </c>
      <c r="U148" s="45" t="str">
        <f t="shared" si="328"/>
        <v>Nov-21F</v>
      </c>
      <c r="V148" s="45" t="str">
        <f t="shared" si="328"/>
        <v>Dec-21F</v>
      </c>
      <c r="W148" s="45" t="str">
        <f t="shared" si="328"/>
        <v>Jan-22F</v>
      </c>
      <c r="X148" s="45" t="str">
        <f t="shared" si="328"/>
        <v>Feb-22F</v>
      </c>
      <c r="Y148" s="45" t="str">
        <f t="shared" si="328"/>
        <v>Mar-22F</v>
      </c>
      <c r="Z148" s="45" t="str">
        <f t="shared" si="328"/>
        <v>Apr-22F</v>
      </c>
      <c r="AA148" s="45" t="str">
        <f t="shared" si="328"/>
        <v>May-22F</v>
      </c>
      <c r="AB148" s="45" t="str">
        <f t="shared" si="328"/>
        <v>Jun-22F</v>
      </c>
      <c r="AC148" s="45" t="str">
        <f t="shared" si="328"/>
        <v>Jul-22F</v>
      </c>
      <c r="AD148" s="45" t="str">
        <f t="shared" si="328"/>
        <v>Aug-22F</v>
      </c>
      <c r="AE148" s="45" t="str">
        <f t="shared" si="328"/>
        <v>Sep-22F</v>
      </c>
      <c r="AF148" s="45" t="str">
        <f t="shared" si="328"/>
        <v>Oct-22F</v>
      </c>
      <c r="AG148" s="45" t="str">
        <f t="shared" si="328"/>
        <v>Nov-22F</v>
      </c>
      <c r="AH148" s="45" t="str">
        <f t="shared" si="328"/>
        <v>Dec-22F</v>
      </c>
      <c r="AJ148" s="45" t="str">
        <f ca="1">AJ$10</f>
        <v>Q3'20A</v>
      </c>
      <c r="AK148" s="45" t="str">
        <f t="shared" ref="AK148:AW148" ca="1" si="329">AK$10</f>
        <v>Q4'20A</v>
      </c>
      <c r="AL148" s="45" t="str">
        <f t="shared" ca="1" si="329"/>
        <v>Q1'21A</v>
      </c>
      <c r="AM148" s="46" t="str">
        <f t="shared" ca="1" si="329"/>
        <v>Q2'21A</v>
      </c>
      <c r="AN148" s="45" t="str">
        <f t="shared" ca="1" si="329"/>
        <v>Q3'21F</v>
      </c>
      <c r="AO148" s="45" t="str">
        <f t="shared" ca="1" si="329"/>
        <v>Q4'21F</v>
      </c>
      <c r="AP148" s="45" t="str">
        <f t="shared" ca="1" si="329"/>
        <v>Q1'22F</v>
      </c>
      <c r="AQ148" s="45" t="str">
        <f t="shared" ca="1" si="329"/>
        <v>Q2'22F</v>
      </c>
      <c r="AR148" s="45" t="str">
        <f t="shared" ca="1" si="329"/>
        <v>Q3'22F</v>
      </c>
      <c r="AS148" s="45" t="str">
        <f t="shared" ca="1" si="329"/>
        <v>Q4'22F</v>
      </c>
      <c r="AU148" s="45" t="str">
        <f t="shared" ca="1" si="329"/>
        <v>FY20</v>
      </c>
      <c r="AV148" s="45" t="str">
        <f t="shared" ca="1" si="329"/>
        <v>FY21</v>
      </c>
      <c r="AW148" s="45" t="str">
        <f t="shared" ca="1" si="329"/>
        <v>FY22</v>
      </c>
    </row>
    <row r="149" spans="2:49" x14ac:dyDescent="0.25">
      <c r="C149" s="1" t="s">
        <v>194</v>
      </c>
      <c r="D149" s="1"/>
      <c r="E149" s="61">
        <f>D152</f>
        <v>225.77691192089037</v>
      </c>
      <c r="F149" s="61">
        <f t="shared" ref="F149:AH149" si="330">E152</f>
        <v>0</v>
      </c>
      <c r="G149" s="61">
        <f t="shared" si="330"/>
        <v>0</v>
      </c>
      <c r="H149" s="61">
        <f t="shared" si="330"/>
        <v>0</v>
      </c>
      <c r="I149" s="61">
        <f t="shared" si="330"/>
        <v>0</v>
      </c>
      <c r="J149" s="61">
        <f t="shared" si="330"/>
        <v>0</v>
      </c>
      <c r="K149" s="61">
        <f t="shared" si="330"/>
        <v>0</v>
      </c>
      <c r="L149" s="61">
        <f t="shared" si="330"/>
        <v>0</v>
      </c>
      <c r="M149" s="61">
        <f t="shared" si="330"/>
        <v>0</v>
      </c>
      <c r="N149" s="61">
        <f t="shared" si="330"/>
        <v>389.76</v>
      </c>
      <c r="O149" s="61">
        <f t="shared" si="330"/>
        <v>0</v>
      </c>
      <c r="P149" s="17">
        <f t="shared" si="330"/>
        <v>0</v>
      </c>
      <c r="Q149" s="15">
        <f t="shared" si="330"/>
        <v>0</v>
      </c>
      <c r="R149" s="15">
        <f t="shared" si="330"/>
        <v>0</v>
      </c>
      <c r="S149" s="15">
        <f t="shared" si="330"/>
        <v>0</v>
      </c>
      <c r="T149" s="15">
        <f t="shared" si="330"/>
        <v>0</v>
      </c>
      <c r="U149" s="15">
        <f t="shared" si="330"/>
        <v>0</v>
      </c>
      <c r="V149" s="15">
        <f t="shared" si="330"/>
        <v>0</v>
      </c>
      <c r="W149" s="104">
        <f t="shared" si="330"/>
        <v>0</v>
      </c>
      <c r="X149" s="15">
        <f t="shared" si="330"/>
        <v>0</v>
      </c>
      <c r="Y149" s="15">
        <f t="shared" si="330"/>
        <v>0</v>
      </c>
      <c r="Z149" s="15">
        <f t="shared" si="330"/>
        <v>375.14400000000001</v>
      </c>
      <c r="AA149" s="15">
        <f t="shared" si="330"/>
        <v>0</v>
      </c>
      <c r="AB149" s="15">
        <f t="shared" si="330"/>
        <v>0</v>
      </c>
      <c r="AC149" s="15">
        <f t="shared" si="330"/>
        <v>0</v>
      </c>
      <c r="AD149" s="15">
        <f t="shared" si="330"/>
        <v>0</v>
      </c>
      <c r="AE149" s="15">
        <f t="shared" si="330"/>
        <v>0</v>
      </c>
      <c r="AF149" s="15">
        <f t="shared" si="330"/>
        <v>0</v>
      </c>
      <c r="AG149" s="15">
        <f t="shared" si="330"/>
        <v>0</v>
      </c>
      <c r="AH149" s="15">
        <f t="shared" si="330"/>
        <v>0</v>
      </c>
      <c r="AJ149" s="15">
        <f ca="1">AJ152+AJ151-AJ150</f>
        <v>225.77691192089037</v>
      </c>
      <c r="AK149" s="15">
        <f t="shared" ref="AK149" ca="1" si="331">AK152+AK151-AK150</f>
        <v>0</v>
      </c>
      <c r="AL149" s="15">
        <f t="shared" ref="AL149" ca="1" si="332">AL152+AL151-AL150</f>
        <v>0</v>
      </c>
      <c r="AM149" s="16">
        <f t="shared" ref="AM149" ca="1" si="333">AM152+AM151-AM150</f>
        <v>389.76</v>
      </c>
      <c r="AN149" s="15">
        <f t="shared" ref="AN149" ca="1" si="334">AN152+AN151-AN150</f>
        <v>0</v>
      </c>
      <c r="AO149" s="15">
        <f t="shared" ref="AO149" ca="1" si="335">AO152+AO151-AO150</f>
        <v>0</v>
      </c>
      <c r="AP149" s="15">
        <f t="shared" ref="AP149" ca="1" si="336">AP152+AP151-AP150</f>
        <v>0</v>
      </c>
      <c r="AQ149" s="15">
        <f t="shared" ref="AQ149" ca="1" si="337">AQ152+AQ151-AQ150</f>
        <v>375.14400000000001</v>
      </c>
      <c r="AR149" s="15">
        <f t="shared" ref="AR149" ca="1" si="338">AR152+AR151-AR150</f>
        <v>0</v>
      </c>
      <c r="AS149" s="15">
        <f t="shared" ref="AS149" ca="1" si="339">AS152+AS151-AS150</f>
        <v>0</v>
      </c>
      <c r="AU149" s="15">
        <f t="shared" ref="AU149" ca="1" si="340">AU152+AU151-AU150</f>
        <v>225.77691192089037</v>
      </c>
      <c r="AV149" s="15">
        <f t="shared" ref="AV149" ca="1" si="341">AV152+AV151-AV150</f>
        <v>0</v>
      </c>
      <c r="AW149" s="15">
        <f t="shared" ref="AW149" ca="1" si="342">AW152+AW151-AW150</f>
        <v>0</v>
      </c>
    </row>
    <row r="150" spans="2:49" x14ac:dyDescent="0.25">
      <c r="C150" s="108" t="s">
        <v>209</v>
      </c>
      <c r="D150" s="1"/>
      <c r="E150" s="56">
        <f>Expense!E127</f>
        <v>0</v>
      </c>
      <c r="F150" s="56">
        <f>Expense!F127</f>
        <v>0</v>
      </c>
      <c r="G150" s="56">
        <f>Expense!G127</f>
        <v>0</v>
      </c>
      <c r="H150" s="56">
        <f>Expense!H127</f>
        <v>0</v>
      </c>
      <c r="I150" s="56">
        <f>Expense!I127</f>
        <v>0</v>
      </c>
      <c r="J150" s="56">
        <f>Expense!J127</f>
        <v>0</v>
      </c>
      <c r="K150" s="56">
        <f>Expense!K127</f>
        <v>0</v>
      </c>
      <c r="L150" s="56">
        <f>Expense!L127</f>
        <v>0</v>
      </c>
      <c r="M150" s="56">
        <f>Expense!M127</f>
        <v>389.76</v>
      </c>
      <c r="N150" s="56">
        <f>Expense!N127</f>
        <v>0</v>
      </c>
      <c r="O150" s="56">
        <f>Expense!O127</f>
        <v>0</v>
      </c>
      <c r="P150" s="34">
        <f>Expense!P127</f>
        <v>0</v>
      </c>
      <c r="Q150" s="33">
        <f>Expense!Q127</f>
        <v>0</v>
      </c>
      <c r="R150" s="33">
        <f>Expense!R127</f>
        <v>0</v>
      </c>
      <c r="S150" s="33">
        <f>Expense!S127</f>
        <v>0</v>
      </c>
      <c r="T150" s="33">
        <f>Expense!T127</f>
        <v>0</v>
      </c>
      <c r="U150" s="33">
        <f>Expense!U127</f>
        <v>0</v>
      </c>
      <c r="V150" s="33">
        <f>Expense!V127</f>
        <v>0</v>
      </c>
      <c r="W150" s="33">
        <f>Expense!W127</f>
        <v>0</v>
      </c>
      <c r="X150" s="33">
        <f>Expense!X127</f>
        <v>0</v>
      </c>
      <c r="Y150" s="33">
        <f>Expense!Y127</f>
        <v>375.14400000000001</v>
      </c>
      <c r="Z150" s="33">
        <f>Expense!Z127</f>
        <v>0</v>
      </c>
      <c r="AA150" s="33">
        <f>Expense!AA127</f>
        <v>0</v>
      </c>
      <c r="AB150" s="33">
        <f>Expense!AB127</f>
        <v>0</v>
      </c>
      <c r="AC150" s="33">
        <f>Expense!AC127</f>
        <v>0</v>
      </c>
      <c r="AD150" s="33">
        <f>Expense!AD127</f>
        <v>0</v>
      </c>
      <c r="AE150" s="33">
        <f>Expense!AE127</f>
        <v>0</v>
      </c>
      <c r="AF150" s="33">
        <f>Expense!AF127</f>
        <v>0</v>
      </c>
      <c r="AG150" s="33">
        <f>Expense!AG127</f>
        <v>0</v>
      </c>
      <c r="AH150" s="33">
        <f>Expense!AH127</f>
        <v>0</v>
      </c>
      <c r="AJ150" s="15" cm="1">
        <f t="array" aca="1" ref="AJ150" ca="1">SUMPRODUCT(($E150:$AH150)*(AJ$3&amp;AJ$4&amp;AJ$5&amp;AJ$6=$E$3:$AH$3&amp;$E$4:$AH$4&amp;$E$5:$AH$5&amp;$E$6:$AH$6))</f>
        <v>0</v>
      </c>
      <c r="AK150" s="15" cm="1">
        <f t="array" aca="1" ref="AK150" ca="1">SUMPRODUCT(($E150:$AH150)*(AK$3=$E$3:$AH$3)*(AK$4=$E$4:$AH$4)*(AK$5=$E$5:$AH$5)*(AK$6=$E$6:$AH$6))</f>
        <v>0</v>
      </c>
      <c r="AL150" s="15" cm="1">
        <f t="array" aca="1" ref="AL150" ca="1">SUMPRODUCT(($E150:$AH150)*(AL$3=$E$3:$AH$3)*(AL$4=$E$4:$AH$4)*(AL$5=$E$5:$AH$5)*(AL$6=$E$6:$AH$6))</f>
        <v>389.76</v>
      </c>
      <c r="AM150" s="16" cm="1">
        <f t="array" aca="1" ref="AM150" ca="1">SUMPRODUCT(($E150:$AH150)*(AM$3=$E$3:$AH$3)*(AM$4=$E$4:$AH$4)*(AM$5=$E$5:$AH$5)*(AM$6=$E$6:$AH$6))</f>
        <v>0</v>
      </c>
      <c r="AN150" s="15" cm="1">
        <f t="array" aca="1" ref="AN150" ca="1">SUMPRODUCT(($E150:$AH150)*(AN$3=$E$3:$AH$3)*(AN$4=$E$4:$AH$4)*(AN$5=$E$5:$AH$5)*(AN$6=$E$6:$AH$6))</f>
        <v>0</v>
      </c>
      <c r="AO150" s="15" cm="1">
        <f t="array" aca="1" ref="AO150" ca="1">SUMPRODUCT(($E150:$AH150)*(AO$3=$E$3:$AH$3)*(AO$4=$E$4:$AH$4)*(AO$5=$E$5:$AH$5)*(AO$6=$E$6:$AH$6))</f>
        <v>0</v>
      </c>
      <c r="AP150" s="15" cm="1">
        <f t="array" aca="1" ref="AP150" ca="1">SUMPRODUCT(($E150:$AH150)*(AP$3=$E$3:$AH$3)*(AP$4=$E$4:$AH$4)*(AP$5=$E$5:$AH$5)*(AP$6=$E$6:$AH$6))</f>
        <v>375.14400000000001</v>
      </c>
      <c r="AQ150" s="15" cm="1">
        <f t="array" aca="1" ref="AQ150" ca="1">SUMPRODUCT(($E150:$AH150)*(AQ$3=$E$3:$AH$3)*(AQ$4=$E$4:$AH$4)*(AQ$5=$E$5:$AH$5)*(AQ$6=$E$6:$AH$6))</f>
        <v>0</v>
      </c>
      <c r="AR150" s="15" cm="1">
        <f t="array" aca="1" ref="AR150" ca="1">SUMPRODUCT(($E150:$AH150)*(AR$3=$E$3:$AH$3)*(AR$4=$E$4:$AH$4)*(AR$5=$E$5:$AH$5)*(AR$6=$E$6:$AH$6))</f>
        <v>0</v>
      </c>
      <c r="AS150" s="15" cm="1">
        <f t="array" aca="1" ref="AS150" ca="1">SUMPRODUCT(($E150:$AH150)*(AS$3=$E$3:$AH$3)*(AS$4=$E$4:$AH$4)*(AS$5=$E$5:$AH$5)*(AS$6=$E$6:$AH$6))</f>
        <v>0</v>
      </c>
      <c r="AU150" s="15" cm="1">
        <f t="array" aca="1" ref="AU150" ca="1">SUMPRODUCT(($E150:$AH150)*(AU$5=$E$5:$AH$5))</f>
        <v>0</v>
      </c>
      <c r="AV150" s="15" cm="1">
        <f t="array" aca="1" ref="AV150" ca="1">SUMPRODUCT(($E150:$AH150)*(AV$5=$E$5:$AH$5))</f>
        <v>389.76</v>
      </c>
      <c r="AW150" s="15" cm="1">
        <f t="array" aca="1" ref="AW150" ca="1">SUMPRODUCT(($E150:$AH150)*(AW$5=$E$5:$AH$5))</f>
        <v>375.14400000000001</v>
      </c>
    </row>
    <row r="151" spans="2:49" x14ac:dyDescent="0.25">
      <c r="C151" s="109" t="s">
        <v>208</v>
      </c>
      <c r="D151" s="23"/>
      <c r="E151" s="24">
        <f>E150-(E152-E149)</f>
        <v>225.77691192089037</v>
      </c>
      <c r="F151" s="24">
        <f t="shared" ref="F151:P151" si="343">F150-(F152-F149)</f>
        <v>0</v>
      </c>
      <c r="G151" s="24">
        <f t="shared" si="343"/>
        <v>0</v>
      </c>
      <c r="H151" s="24">
        <f t="shared" si="343"/>
        <v>0</v>
      </c>
      <c r="I151" s="24">
        <f t="shared" si="343"/>
        <v>0</v>
      </c>
      <c r="J151" s="24">
        <f t="shared" si="343"/>
        <v>0</v>
      </c>
      <c r="K151" s="24">
        <f t="shared" si="343"/>
        <v>0</v>
      </c>
      <c r="L151" s="24">
        <f t="shared" si="343"/>
        <v>0</v>
      </c>
      <c r="M151" s="24">
        <f t="shared" si="343"/>
        <v>0</v>
      </c>
      <c r="N151" s="24">
        <f t="shared" si="343"/>
        <v>389.76</v>
      </c>
      <c r="O151" s="24">
        <f t="shared" si="343"/>
        <v>0</v>
      </c>
      <c r="P151" s="64">
        <f t="shared" si="343"/>
        <v>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f>Z149</f>
        <v>375.14400000000001</v>
      </c>
      <c r="AA151" s="38"/>
      <c r="AB151" s="38"/>
      <c r="AC151" s="38"/>
      <c r="AD151" s="38"/>
      <c r="AE151" s="38"/>
      <c r="AF151" s="38"/>
      <c r="AG151" s="38"/>
      <c r="AH151" s="38"/>
      <c r="AJ151" s="29" cm="1">
        <f t="array" aca="1" ref="AJ151" ca="1">SUMPRODUCT(($E151:$AH151)*(AJ$3&amp;AJ$4&amp;AJ$5&amp;AJ$6=$E$3:$AH$3&amp;$E$4:$AH$4&amp;$E$5:$AH$5&amp;$E$6:$AH$6))</f>
        <v>225.77691192089037</v>
      </c>
      <c r="AK151" s="29" cm="1">
        <f t="array" aca="1" ref="AK151" ca="1">SUMPRODUCT(($E151:$AH151)*(AK$3=$E$3:$AH$3)*(AK$4=$E$4:$AH$4)*(AK$5=$E$5:$AH$5)*(AK$6=$E$6:$AH$6))</f>
        <v>0</v>
      </c>
      <c r="AL151" s="29" cm="1">
        <f t="array" aca="1" ref="AL151" ca="1">SUMPRODUCT(($E151:$AH151)*(AL$3=$E$3:$AH$3)*(AL$4=$E$4:$AH$4)*(AL$5=$E$5:$AH$5)*(AL$6=$E$6:$AH$6))</f>
        <v>0</v>
      </c>
      <c r="AM151" s="240" cm="1">
        <f t="array" aca="1" ref="AM151" ca="1">SUMPRODUCT(($E151:$AH151)*(AM$3=$E$3:$AH$3)*(AM$4=$E$4:$AH$4)*(AM$5=$E$5:$AH$5)*(AM$6=$E$6:$AH$6))</f>
        <v>389.76</v>
      </c>
      <c r="AN151" s="29" cm="1">
        <f t="array" aca="1" ref="AN151" ca="1">SUMPRODUCT(($E151:$AH151)*(AN$3=$E$3:$AH$3)*(AN$4=$E$4:$AH$4)*(AN$5=$E$5:$AH$5)*(AN$6=$E$6:$AH$6))</f>
        <v>0</v>
      </c>
      <c r="AO151" s="29" cm="1">
        <f t="array" aca="1" ref="AO151" ca="1">SUMPRODUCT(($E151:$AH151)*(AO$3=$E$3:$AH$3)*(AO$4=$E$4:$AH$4)*(AO$5=$E$5:$AH$5)*(AO$6=$E$6:$AH$6))</f>
        <v>0</v>
      </c>
      <c r="AP151" s="29" cm="1">
        <f t="array" aca="1" ref="AP151" ca="1">SUMPRODUCT(($E151:$AH151)*(AP$3=$E$3:$AH$3)*(AP$4=$E$4:$AH$4)*(AP$5=$E$5:$AH$5)*(AP$6=$E$6:$AH$6))</f>
        <v>0</v>
      </c>
      <c r="AQ151" s="29" cm="1">
        <f t="array" aca="1" ref="AQ151" ca="1">SUMPRODUCT(($E151:$AH151)*(AQ$3=$E$3:$AH$3)*(AQ$4=$E$4:$AH$4)*(AQ$5=$E$5:$AH$5)*(AQ$6=$E$6:$AH$6))</f>
        <v>375.14400000000001</v>
      </c>
      <c r="AR151" s="29" cm="1">
        <f t="array" aca="1" ref="AR151" ca="1">SUMPRODUCT(($E151:$AH151)*(AR$3=$E$3:$AH$3)*(AR$4=$E$4:$AH$4)*(AR$5=$E$5:$AH$5)*(AR$6=$E$6:$AH$6))</f>
        <v>0</v>
      </c>
      <c r="AS151" s="29" cm="1">
        <f t="array" aca="1" ref="AS151" ca="1">SUMPRODUCT(($E151:$AH151)*(AS$3=$E$3:$AH$3)*(AS$4=$E$4:$AH$4)*(AS$5=$E$5:$AH$5)*(AS$6=$E$6:$AH$6))</f>
        <v>0</v>
      </c>
      <c r="AU151" s="29" cm="1">
        <f t="array" aca="1" ref="AU151" ca="1">SUMPRODUCT(($E151:$AH151)*(AU$5=$E$5:$AH$5))</f>
        <v>225.77691192089037</v>
      </c>
      <c r="AV151" s="29" cm="1">
        <f t="array" aca="1" ref="AV151" ca="1">SUMPRODUCT(($E151:$AH151)*(AV$5=$E$5:$AH$5))</f>
        <v>389.76</v>
      </c>
      <c r="AW151" s="29" cm="1">
        <f t="array" aca="1" ref="AW151" ca="1">SUMPRODUCT(($E151:$AH151)*(AW$5=$E$5:$AH$5))</f>
        <v>375.14400000000001</v>
      </c>
    </row>
    <row r="152" spans="2:49" x14ac:dyDescent="0.25">
      <c r="B152" t="s">
        <v>231</v>
      </c>
      <c r="C152" s="2" t="s">
        <v>195</v>
      </c>
      <c r="D152" s="37">
        <v>225.77691192089037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7">
        <v>0</v>
      </c>
      <c r="K152" s="31">
        <v>0</v>
      </c>
      <c r="L152" s="31">
        <v>0</v>
      </c>
      <c r="M152" s="31">
        <v>389.76</v>
      </c>
      <c r="N152" s="31">
        <v>0</v>
      </c>
      <c r="O152" s="31">
        <v>0</v>
      </c>
      <c r="P152" s="32">
        <v>0</v>
      </c>
      <c r="Q152" s="15">
        <f>Q149+Q150-Q151</f>
        <v>0</v>
      </c>
      <c r="R152" s="15">
        <f t="shared" ref="R152:AH152" si="344">R149+R150-R151</f>
        <v>0</v>
      </c>
      <c r="S152" s="15">
        <f t="shared" si="344"/>
        <v>0</v>
      </c>
      <c r="T152" s="15">
        <f t="shared" si="344"/>
        <v>0</v>
      </c>
      <c r="U152" s="15">
        <f t="shared" si="344"/>
        <v>0</v>
      </c>
      <c r="V152" s="15">
        <f t="shared" si="344"/>
        <v>0</v>
      </c>
      <c r="W152" s="15">
        <f t="shared" si="344"/>
        <v>0</v>
      </c>
      <c r="X152" s="15">
        <f t="shared" si="344"/>
        <v>0</v>
      </c>
      <c r="Y152" s="15">
        <f t="shared" si="344"/>
        <v>375.14400000000001</v>
      </c>
      <c r="Z152" s="15">
        <f t="shared" si="344"/>
        <v>0</v>
      </c>
      <c r="AA152" s="15">
        <f t="shared" si="344"/>
        <v>0</v>
      </c>
      <c r="AB152" s="15">
        <f t="shared" si="344"/>
        <v>0</v>
      </c>
      <c r="AC152" s="15">
        <f t="shared" si="344"/>
        <v>0</v>
      </c>
      <c r="AD152" s="15">
        <f t="shared" si="344"/>
        <v>0</v>
      </c>
      <c r="AE152" s="15">
        <f t="shared" si="344"/>
        <v>0</v>
      </c>
      <c r="AF152" s="15">
        <f t="shared" si="344"/>
        <v>0</v>
      </c>
      <c r="AG152" s="15">
        <f t="shared" si="344"/>
        <v>0</v>
      </c>
      <c r="AH152" s="15">
        <f t="shared" si="344"/>
        <v>0</v>
      </c>
      <c r="AJ152" s="15" cm="1">
        <f t="array" aca="1" ref="AJ152" ca="1">INDEX($E152:$AH152,1,MATCH(AJ$3&amp;AJ$4&amp;AJ$5&amp;AJ$6,$E$3:$AH$3&amp;$E$4:$AH$4&amp;$E$5:$AH$5&amp;$E$6:$AH$6,1))</f>
        <v>0</v>
      </c>
      <c r="AK152" s="15" cm="1">
        <f t="array" aca="1" ref="AK152" ca="1">INDEX($E152:$AH152,1,MATCH(AK$3&amp;AK$4&amp;AK$5&amp;AK$6,$E$3:$AH$3&amp;$E$4:$AH$4&amp;$E$5:$AH$5&amp;$E$6:$AH$6,1))</f>
        <v>0</v>
      </c>
      <c r="AL152" s="15" cm="1">
        <f t="array" aca="1" ref="AL152" ca="1">INDEX($E152:$AH152,1,MATCH(AL$3&amp;AL$4&amp;AL$5&amp;AL$6,$E$3:$AH$3&amp;$E$4:$AH$4&amp;$E$5:$AH$5&amp;$E$6:$AH$6,1))</f>
        <v>389.76</v>
      </c>
      <c r="AM152" s="16" cm="1">
        <f t="array" aca="1" ref="AM152" ca="1">INDEX($E152:$AH152,1,MATCH(AM$3&amp;AM$4&amp;AM$5&amp;AM$6,$E$3:$AH$3&amp;$E$4:$AH$4&amp;$E$5:$AH$5&amp;$E$6:$AH$6,1))</f>
        <v>0</v>
      </c>
      <c r="AN152" s="15" cm="1">
        <f t="array" aca="1" ref="AN152" ca="1">INDEX($E152:$AH152,1,MATCH(AN$3&amp;AN$4&amp;AN$5&amp;AN$6,$E$3:$AH$3&amp;$E$4:$AH$4&amp;$E$5:$AH$5&amp;$E$6:$AH$6,1))</f>
        <v>0</v>
      </c>
      <c r="AO152" s="15" cm="1">
        <f t="array" aca="1" ref="AO152" ca="1">INDEX($E152:$AH152,1,MATCH(AO$3&amp;AO$4&amp;AO$5&amp;AO$6,$E$3:$AH$3&amp;$E$4:$AH$4&amp;$E$5:$AH$5&amp;$E$6:$AH$6,1))</f>
        <v>0</v>
      </c>
      <c r="AP152" s="15" cm="1">
        <f t="array" aca="1" ref="AP152" ca="1">INDEX($E152:$AH152,1,MATCH(AP$3&amp;AP$4&amp;AP$5&amp;AP$6,$E$3:$AH$3&amp;$E$4:$AH$4&amp;$E$5:$AH$5&amp;$E$6:$AH$6,1))</f>
        <v>375.14400000000001</v>
      </c>
      <c r="AQ152" s="15" cm="1">
        <f t="array" aca="1" ref="AQ152" ca="1">INDEX($E152:$AH152,1,MATCH(AQ$3&amp;AQ$4&amp;AQ$5&amp;AQ$6,$E$3:$AH$3&amp;$E$4:$AH$4&amp;$E$5:$AH$5&amp;$E$6:$AH$6,1))</f>
        <v>0</v>
      </c>
      <c r="AR152" s="15" cm="1">
        <f t="array" aca="1" ref="AR152" ca="1">INDEX($E152:$AH152,1,MATCH(AR$3&amp;AR$4&amp;AR$5&amp;AR$6,$E$3:$AH$3&amp;$E$4:$AH$4&amp;$E$5:$AH$5&amp;$E$6:$AH$6,1))</f>
        <v>0</v>
      </c>
      <c r="AS152" s="15" cm="1">
        <f t="array" aca="1" ref="AS152" ca="1">INDEX($E152:$AH152,1,MATCH(AS$3&amp;AS$4&amp;AS$5&amp;AS$6,$E$3:$AH$3&amp;$E$4:$AH$4&amp;$E$5:$AH$5&amp;$E$6:$AH$6,1))</f>
        <v>0</v>
      </c>
      <c r="AU152" s="13">
        <f ca="1">INDEX($E152:$AH152,1,MATCH(AU$5,$E$5:$AH$5,1))</f>
        <v>0</v>
      </c>
      <c r="AV152" s="13">
        <f t="shared" ref="AV152:AW152" ca="1" si="345">INDEX($E152:$AH152,1,MATCH(AV$5,$E$5:$AH$5,1))</f>
        <v>0</v>
      </c>
      <c r="AW152" s="13">
        <f t="shared" ca="1" si="345"/>
        <v>0</v>
      </c>
    </row>
    <row r="153" spans="2:49" x14ac:dyDescent="0.25">
      <c r="P153" s="8"/>
      <c r="AM153" s="8"/>
    </row>
    <row r="154" spans="2:49" x14ac:dyDescent="0.25">
      <c r="C154" s="30" t="s">
        <v>161</v>
      </c>
      <c r="D154" s="30"/>
      <c r="E154" s="45" t="str">
        <f t="shared" ref="E154:AH154" si="346">E$9</f>
        <v>Jul-20A</v>
      </c>
      <c r="F154" s="45" t="str">
        <f t="shared" si="346"/>
        <v>Aug-20A</v>
      </c>
      <c r="G154" s="45" t="str">
        <f t="shared" si="346"/>
        <v>Sep-20A</v>
      </c>
      <c r="H154" s="45" t="str">
        <f t="shared" si="346"/>
        <v>Oct-20A</v>
      </c>
      <c r="I154" s="45" t="str">
        <f t="shared" si="346"/>
        <v>Nov-20A</v>
      </c>
      <c r="J154" s="45" t="str">
        <f t="shared" si="346"/>
        <v>Dec-20A</v>
      </c>
      <c r="K154" s="45" t="str">
        <f t="shared" si="346"/>
        <v>Jan-21A</v>
      </c>
      <c r="L154" s="45" t="str">
        <f t="shared" si="346"/>
        <v>Feb-21A</v>
      </c>
      <c r="M154" s="45" t="str">
        <f t="shared" si="346"/>
        <v>Mar-21A</v>
      </c>
      <c r="N154" s="45" t="str">
        <f t="shared" si="346"/>
        <v>Apr-21A</v>
      </c>
      <c r="O154" s="45" t="str">
        <f t="shared" si="346"/>
        <v>May-21A</v>
      </c>
      <c r="P154" s="46" t="str">
        <f t="shared" si="346"/>
        <v>Jun-21A</v>
      </c>
      <c r="Q154" s="45" t="str">
        <f t="shared" si="346"/>
        <v>Jul-21F</v>
      </c>
      <c r="R154" s="45" t="str">
        <f t="shared" si="346"/>
        <v>Aug-21F</v>
      </c>
      <c r="S154" s="45" t="str">
        <f t="shared" si="346"/>
        <v>Sep-21F</v>
      </c>
      <c r="T154" s="45" t="str">
        <f t="shared" si="346"/>
        <v>Oct-21F</v>
      </c>
      <c r="U154" s="45" t="str">
        <f t="shared" si="346"/>
        <v>Nov-21F</v>
      </c>
      <c r="V154" s="45" t="str">
        <f t="shared" si="346"/>
        <v>Dec-21F</v>
      </c>
      <c r="W154" s="45" t="str">
        <f t="shared" si="346"/>
        <v>Jan-22F</v>
      </c>
      <c r="X154" s="45" t="str">
        <f t="shared" si="346"/>
        <v>Feb-22F</v>
      </c>
      <c r="Y154" s="45" t="str">
        <f t="shared" si="346"/>
        <v>Mar-22F</v>
      </c>
      <c r="Z154" s="45" t="str">
        <f t="shared" si="346"/>
        <v>Apr-22F</v>
      </c>
      <c r="AA154" s="45" t="str">
        <f t="shared" si="346"/>
        <v>May-22F</v>
      </c>
      <c r="AB154" s="45" t="str">
        <f t="shared" si="346"/>
        <v>Jun-22F</v>
      </c>
      <c r="AC154" s="45" t="str">
        <f t="shared" si="346"/>
        <v>Jul-22F</v>
      </c>
      <c r="AD154" s="45" t="str">
        <f t="shared" si="346"/>
        <v>Aug-22F</v>
      </c>
      <c r="AE154" s="45" t="str">
        <f t="shared" si="346"/>
        <v>Sep-22F</v>
      </c>
      <c r="AF154" s="45" t="str">
        <f t="shared" si="346"/>
        <v>Oct-22F</v>
      </c>
      <c r="AG154" s="45" t="str">
        <f t="shared" si="346"/>
        <v>Nov-22F</v>
      </c>
      <c r="AH154" s="45" t="str">
        <f t="shared" si="346"/>
        <v>Dec-22F</v>
      </c>
      <c r="AJ154" s="45" t="str">
        <f ca="1">AJ$10</f>
        <v>Q3'20A</v>
      </c>
      <c r="AK154" s="45" t="str">
        <f t="shared" ref="AK154:AW154" ca="1" si="347">AK$10</f>
        <v>Q4'20A</v>
      </c>
      <c r="AL154" s="45" t="str">
        <f t="shared" ca="1" si="347"/>
        <v>Q1'21A</v>
      </c>
      <c r="AM154" s="46" t="str">
        <f t="shared" ca="1" si="347"/>
        <v>Q2'21A</v>
      </c>
      <c r="AN154" s="45" t="str">
        <f t="shared" ca="1" si="347"/>
        <v>Q3'21F</v>
      </c>
      <c r="AO154" s="45" t="str">
        <f t="shared" ca="1" si="347"/>
        <v>Q4'21F</v>
      </c>
      <c r="AP154" s="45" t="str">
        <f t="shared" ca="1" si="347"/>
        <v>Q1'22F</v>
      </c>
      <c r="AQ154" s="45" t="str">
        <f t="shared" ca="1" si="347"/>
        <v>Q2'22F</v>
      </c>
      <c r="AR154" s="45" t="str">
        <f t="shared" ca="1" si="347"/>
        <v>Q3'22F</v>
      </c>
      <c r="AS154" s="45" t="str">
        <f t="shared" ca="1" si="347"/>
        <v>Q4'22F</v>
      </c>
      <c r="AU154" s="45" t="str">
        <f t="shared" ca="1" si="347"/>
        <v>FY20</v>
      </c>
      <c r="AV154" s="45" t="str">
        <f t="shared" ca="1" si="347"/>
        <v>FY21</v>
      </c>
      <c r="AW154" s="45" t="str">
        <f t="shared" ca="1" si="347"/>
        <v>FY22</v>
      </c>
    </row>
    <row r="155" spans="2:49" x14ac:dyDescent="0.25">
      <c r="C155" s="1" t="s">
        <v>194</v>
      </c>
      <c r="D155" s="1"/>
      <c r="E155" s="61">
        <f>D158</f>
        <v>915.08386040870118</v>
      </c>
      <c r="F155" s="61">
        <f t="shared" ref="F155:AH155" si="348">E158</f>
        <v>915.08386040870118</v>
      </c>
      <c r="G155" s="61">
        <f t="shared" si="348"/>
        <v>1230.0838604087012</v>
      </c>
      <c r="H155" s="61">
        <f t="shared" si="348"/>
        <v>1230.0838604087012</v>
      </c>
      <c r="I155" s="61">
        <f t="shared" si="348"/>
        <v>1230.0838604087012</v>
      </c>
      <c r="J155" s="61">
        <f t="shared" si="348"/>
        <v>1230.0838604087012</v>
      </c>
      <c r="K155" s="61">
        <f t="shared" si="348"/>
        <v>885.08386040870118</v>
      </c>
      <c r="L155" s="61">
        <f t="shared" si="348"/>
        <v>885.08386040870118</v>
      </c>
      <c r="M155" s="61">
        <f t="shared" si="348"/>
        <v>885.08386040870118</v>
      </c>
      <c r="N155" s="61">
        <f t="shared" si="348"/>
        <v>885.08386040870118</v>
      </c>
      <c r="O155" s="61">
        <f t="shared" si="348"/>
        <v>885.08386040870118</v>
      </c>
      <c r="P155" s="17">
        <f t="shared" si="348"/>
        <v>905.08386040870118</v>
      </c>
      <c r="Q155" s="15">
        <f t="shared" si="348"/>
        <v>905.08386040870118</v>
      </c>
      <c r="R155" s="15">
        <f t="shared" si="348"/>
        <v>905.08386040870118</v>
      </c>
      <c r="S155" s="15">
        <f t="shared" si="348"/>
        <v>905.08386040870118</v>
      </c>
      <c r="T155" s="15">
        <f t="shared" si="348"/>
        <v>905.08386040870118</v>
      </c>
      <c r="U155" s="15">
        <f t="shared" si="348"/>
        <v>905.08386040870118</v>
      </c>
      <c r="V155" s="15">
        <f t="shared" si="348"/>
        <v>905.08386040870118</v>
      </c>
      <c r="W155" s="104">
        <f t="shared" si="348"/>
        <v>905.08386040870118</v>
      </c>
      <c r="X155" s="15">
        <f t="shared" si="348"/>
        <v>905.08386040870118</v>
      </c>
      <c r="Y155" s="15">
        <f t="shared" si="348"/>
        <v>905.08386040870118</v>
      </c>
      <c r="Z155" s="15">
        <f t="shared" si="348"/>
        <v>905.08386040870118</v>
      </c>
      <c r="AA155" s="15">
        <f t="shared" si="348"/>
        <v>905.08386040870118</v>
      </c>
      <c r="AB155" s="15">
        <f t="shared" si="348"/>
        <v>905.08386040870118</v>
      </c>
      <c r="AC155" s="15">
        <f t="shared" si="348"/>
        <v>905.08386040870118</v>
      </c>
      <c r="AD155" s="15">
        <f t="shared" si="348"/>
        <v>905.08386040870118</v>
      </c>
      <c r="AE155" s="15">
        <f t="shared" si="348"/>
        <v>905.08386040870118</v>
      </c>
      <c r="AF155" s="15">
        <f t="shared" si="348"/>
        <v>905.08386040870118</v>
      </c>
      <c r="AG155" s="15">
        <f t="shared" si="348"/>
        <v>905.08386040870118</v>
      </c>
      <c r="AH155" s="15">
        <f t="shared" si="348"/>
        <v>905.08386040870118</v>
      </c>
      <c r="AJ155" s="15">
        <f ca="1">AJ158+AJ157-AJ156</f>
        <v>915.08386040870118</v>
      </c>
      <c r="AK155" s="15">
        <f t="shared" ref="AK155" ca="1" si="349">AK158+AK157-AK156</f>
        <v>1230.0838604087012</v>
      </c>
      <c r="AL155" s="15">
        <f t="shared" ref="AL155" ca="1" si="350">AL158+AL157-AL156</f>
        <v>885.08386040870118</v>
      </c>
      <c r="AM155" s="16">
        <f t="shared" ref="AM155" ca="1" si="351">AM158+AM157-AM156</f>
        <v>885.08386040870118</v>
      </c>
      <c r="AN155" s="15">
        <f t="shared" ref="AN155" ca="1" si="352">AN158+AN157-AN156</f>
        <v>905.08386040870118</v>
      </c>
      <c r="AO155" s="15">
        <f t="shared" ref="AO155" ca="1" si="353">AO158+AO157-AO156</f>
        <v>905.08386040870118</v>
      </c>
      <c r="AP155" s="15">
        <f t="shared" ref="AP155" ca="1" si="354">AP158+AP157-AP156</f>
        <v>905.08386040870118</v>
      </c>
      <c r="AQ155" s="15">
        <f t="shared" ref="AQ155" ca="1" si="355">AQ158+AQ157-AQ156</f>
        <v>905.08386040870118</v>
      </c>
      <c r="AR155" s="15">
        <f t="shared" ref="AR155" ca="1" si="356">AR158+AR157-AR156</f>
        <v>905.08386040870118</v>
      </c>
      <c r="AS155" s="15">
        <f t="shared" ref="AS155" ca="1" si="357">AS158+AS157-AS156</f>
        <v>905.08386040870118</v>
      </c>
      <c r="AT155" s="15">
        <f t="shared" ref="AT155" si="358">AT158+AT157-AT156</f>
        <v>0</v>
      </c>
      <c r="AU155" s="15">
        <f t="shared" ref="AU155" ca="1" si="359">AU158+AU157-AU156</f>
        <v>915.08386040870118</v>
      </c>
      <c r="AV155" s="15">
        <f t="shared" ref="AV155" ca="1" si="360">AV158+AV157-AV156</f>
        <v>885.08386040870118</v>
      </c>
      <c r="AW155" s="15">
        <f t="shared" ref="AW155" ca="1" si="361">AW158+AW157-AW156</f>
        <v>905.08386040870118</v>
      </c>
    </row>
    <row r="156" spans="2:49" x14ac:dyDescent="0.25">
      <c r="C156" s="108" t="s">
        <v>210</v>
      </c>
      <c r="D156" s="1"/>
      <c r="E156" s="37">
        <v>0</v>
      </c>
      <c r="F156" s="37">
        <v>620</v>
      </c>
      <c r="G156" s="37">
        <v>0</v>
      </c>
      <c r="H156" s="37">
        <v>0</v>
      </c>
      <c r="I156" s="37">
        <v>0</v>
      </c>
      <c r="J156" s="37">
        <v>305</v>
      </c>
      <c r="K156" s="37">
        <v>0</v>
      </c>
      <c r="L156" s="37">
        <v>0</v>
      </c>
      <c r="M156" s="37">
        <v>0</v>
      </c>
      <c r="N156" s="37">
        <v>0</v>
      </c>
      <c r="O156" s="37">
        <v>325</v>
      </c>
      <c r="P156" s="32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J156" s="15" cm="1">
        <f t="array" aca="1" ref="AJ156" ca="1">SUMPRODUCT(($E156:$AH156)*(AJ$3&amp;AJ$4&amp;AJ$5&amp;AJ$6=$E$3:$AH$3&amp;$E$4:$AH$4&amp;$E$5:$AH$5&amp;$E$6:$AH$6))</f>
        <v>620</v>
      </c>
      <c r="AK156" s="15" cm="1">
        <f t="array" aca="1" ref="AK156" ca="1">SUMPRODUCT(($E156:$AH156)*(AK$3=$E$3:$AH$3)*(AK$4=$E$4:$AH$4)*(AK$5=$E$5:$AH$5)*(AK$6=$E$6:$AH$6))</f>
        <v>305</v>
      </c>
      <c r="AL156" s="15" cm="1">
        <f t="array" aca="1" ref="AL156" ca="1">SUMPRODUCT(($E156:$AH156)*(AL$3=$E$3:$AH$3)*(AL$4=$E$4:$AH$4)*(AL$5=$E$5:$AH$5)*(AL$6=$E$6:$AH$6))</f>
        <v>0</v>
      </c>
      <c r="AM156" s="16" cm="1">
        <f t="array" aca="1" ref="AM156" ca="1">SUMPRODUCT(($E156:$AH156)*(AM$3=$E$3:$AH$3)*(AM$4=$E$4:$AH$4)*(AM$5=$E$5:$AH$5)*(AM$6=$E$6:$AH$6))</f>
        <v>325</v>
      </c>
      <c r="AN156" s="15" cm="1">
        <f t="array" aca="1" ref="AN156" ca="1">SUMPRODUCT(($E156:$AH156)*(AN$3=$E$3:$AH$3)*(AN$4=$E$4:$AH$4)*(AN$5=$E$5:$AH$5)*(AN$6=$E$6:$AH$6))</f>
        <v>0</v>
      </c>
      <c r="AO156" s="15" cm="1">
        <f t="array" aca="1" ref="AO156" ca="1">SUMPRODUCT(($E156:$AH156)*(AO$3=$E$3:$AH$3)*(AO$4=$E$4:$AH$4)*(AO$5=$E$5:$AH$5)*(AO$6=$E$6:$AH$6))</f>
        <v>0</v>
      </c>
      <c r="AP156" s="15" cm="1">
        <f t="array" aca="1" ref="AP156" ca="1">SUMPRODUCT(($E156:$AH156)*(AP$3=$E$3:$AH$3)*(AP$4=$E$4:$AH$4)*(AP$5=$E$5:$AH$5)*(AP$6=$E$6:$AH$6))</f>
        <v>0</v>
      </c>
      <c r="AQ156" s="15" cm="1">
        <f t="array" aca="1" ref="AQ156" ca="1">SUMPRODUCT(($E156:$AH156)*(AQ$3=$E$3:$AH$3)*(AQ$4=$E$4:$AH$4)*(AQ$5=$E$5:$AH$5)*(AQ$6=$E$6:$AH$6))</f>
        <v>0</v>
      </c>
      <c r="AR156" s="15" cm="1">
        <f t="array" aca="1" ref="AR156" ca="1">SUMPRODUCT(($E156:$AH156)*(AR$3=$E$3:$AH$3)*(AR$4=$E$4:$AH$4)*(AR$5=$E$5:$AH$5)*(AR$6=$E$6:$AH$6))</f>
        <v>0</v>
      </c>
      <c r="AS156" s="15" cm="1">
        <f t="array" aca="1" ref="AS156" ca="1">SUMPRODUCT(($E156:$AH156)*(AS$3=$E$3:$AH$3)*(AS$4=$E$4:$AH$4)*(AS$5=$E$5:$AH$5)*(AS$6=$E$6:$AH$6))</f>
        <v>0</v>
      </c>
      <c r="AU156" s="15" cm="1">
        <f t="array" aca="1" ref="AU156" ca="1">SUMPRODUCT(($E156:$AH156)*(AU$5=$E$5:$AH$5))</f>
        <v>925</v>
      </c>
      <c r="AV156" s="15" cm="1">
        <f t="array" aca="1" ref="AV156" ca="1">SUMPRODUCT(($E156:$AH156)*(AV$5=$E$5:$AH$5))</f>
        <v>325</v>
      </c>
      <c r="AW156" s="15" cm="1">
        <f t="array" aca="1" ref="AW156" ca="1">SUMPRODUCT(($E156:$AH156)*(AW$5=$E$5:$AH$5))</f>
        <v>0</v>
      </c>
    </row>
    <row r="157" spans="2:49" x14ac:dyDescent="0.25">
      <c r="C157" s="109" t="s">
        <v>211</v>
      </c>
      <c r="D157" s="23"/>
      <c r="E157" s="38">
        <v>0</v>
      </c>
      <c r="F157" s="38">
        <v>305</v>
      </c>
      <c r="G157" s="38">
        <v>0</v>
      </c>
      <c r="H157" s="38">
        <v>0</v>
      </c>
      <c r="I157" s="38">
        <v>0</v>
      </c>
      <c r="J157" s="38">
        <v>650</v>
      </c>
      <c r="K157" s="38"/>
      <c r="L157" s="38">
        <v>0</v>
      </c>
      <c r="M157" s="38">
        <v>0</v>
      </c>
      <c r="N157" s="38">
        <v>0</v>
      </c>
      <c r="O157" s="38">
        <v>305</v>
      </c>
      <c r="P157" s="39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J157" s="29" cm="1">
        <f t="array" aca="1" ref="AJ157" ca="1">SUMPRODUCT(($E157:$AH157)*(AJ$3&amp;AJ$4&amp;AJ$5&amp;AJ$6=$E$3:$AH$3&amp;$E$4:$AH$4&amp;$E$5:$AH$5&amp;$E$6:$AH$6))</f>
        <v>305</v>
      </c>
      <c r="AK157" s="29" cm="1">
        <f t="array" aca="1" ref="AK157" ca="1">SUMPRODUCT(($E157:$AH157)*(AK$3=$E$3:$AH$3)*(AK$4=$E$4:$AH$4)*(AK$5=$E$5:$AH$5)*(AK$6=$E$6:$AH$6))</f>
        <v>650</v>
      </c>
      <c r="AL157" s="29" cm="1">
        <f t="array" aca="1" ref="AL157" ca="1">SUMPRODUCT(($E157:$AH157)*(AL$3=$E$3:$AH$3)*(AL$4=$E$4:$AH$4)*(AL$5=$E$5:$AH$5)*(AL$6=$E$6:$AH$6))</f>
        <v>0</v>
      </c>
      <c r="AM157" s="240" cm="1">
        <f t="array" aca="1" ref="AM157" ca="1">SUMPRODUCT(($E157:$AH157)*(AM$3=$E$3:$AH$3)*(AM$4=$E$4:$AH$4)*(AM$5=$E$5:$AH$5)*(AM$6=$E$6:$AH$6))</f>
        <v>305</v>
      </c>
      <c r="AN157" s="29" cm="1">
        <f t="array" aca="1" ref="AN157" ca="1">SUMPRODUCT(($E157:$AH157)*(AN$3=$E$3:$AH$3)*(AN$4=$E$4:$AH$4)*(AN$5=$E$5:$AH$5)*(AN$6=$E$6:$AH$6))</f>
        <v>0</v>
      </c>
      <c r="AO157" s="29" cm="1">
        <f t="array" aca="1" ref="AO157" ca="1">SUMPRODUCT(($E157:$AH157)*(AO$3=$E$3:$AH$3)*(AO$4=$E$4:$AH$4)*(AO$5=$E$5:$AH$5)*(AO$6=$E$6:$AH$6))</f>
        <v>0</v>
      </c>
      <c r="AP157" s="29" cm="1">
        <f t="array" aca="1" ref="AP157" ca="1">SUMPRODUCT(($E157:$AH157)*(AP$3=$E$3:$AH$3)*(AP$4=$E$4:$AH$4)*(AP$5=$E$5:$AH$5)*(AP$6=$E$6:$AH$6))</f>
        <v>0</v>
      </c>
      <c r="AQ157" s="29" cm="1">
        <f t="array" aca="1" ref="AQ157" ca="1">SUMPRODUCT(($E157:$AH157)*(AQ$3=$E$3:$AH$3)*(AQ$4=$E$4:$AH$4)*(AQ$5=$E$5:$AH$5)*(AQ$6=$E$6:$AH$6))</f>
        <v>0</v>
      </c>
      <c r="AR157" s="29" cm="1">
        <f t="array" aca="1" ref="AR157" ca="1">SUMPRODUCT(($E157:$AH157)*(AR$3=$E$3:$AH$3)*(AR$4=$E$4:$AH$4)*(AR$5=$E$5:$AH$5)*(AR$6=$E$6:$AH$6))</f>
        <v>0</v>
      </c>
      <c r="AS157" s="29" cm="1">
        <f t="array" aca="1" ref="AS157" ca="1">SUMPRODUCT(($E157:$AH157)*(AS$3=$E$3:$AH$3)*(AS$4=$E$4:$AH$4)*(AS$5=$E$5:$AH$5)*(AS$6=$E$6:$AH$6))</f>
        <v>0</v>
      </c>
      <c r="AU157" s="29" cm="1">
        <f t="array" aca="1" ref="AU157" ca="1">SUMPRODUCT(($E157:$AH157)*(AU$5=$E$5:$AH$5))</f>
        <v>955</v>
      </c>
      <c r="AV157" s="29" cm="1">
        <f t="array" aca="1" ref="AV157" ca="1">SUMPRODUCT(($E157:$AH157)*(AV$5=$E$5:$AH$5))</f>
        <v>305</v>
      </c>
      <c r="AW157" s="29" cm="1">
        <f t="array" aca="1" ref="AW157" ca="1">SUMPRODUCT(($E157:$AH157)*(AW$5=$E$5:$AH$5))</f>
        <v>0</v>
      </c>
    </row>
    <row r="158" spans="2:49" x14ac:dyDescent="0.25">
      <c r="B158" t="s">
        <v>231</v>
      </c>
      <c r="C158" s="2" t="s">
        <v>195</v>
      </c>
      <c r="D158" s="37">
        <v>915.08386040870118</v>
      </c>
      <c r="E158" s="31">
        <v>915.08386040870118</v>
      </c>
      <c r="F158" s="31">
        <v>1230.0838604087012</v>
      </c>
      <c r="G158" s="31">
        <v>1230.0838604087012</v>
      </c>
      <c r="H158" s="31">
        <v>1230.0838604087012</v>
      </c>
      <c r="I158" s="31">
        <v>1230.0838604087012</v>
      </c>
      <c r="J158" s="37">
        <v>885.08386040870118</v>
      </c>
      <c r="K158" s="31">
        <v>885.08386040870118</v>
      </c>
      <c r="L158" s="31">
        <v>885.08386040870118</v>
      </c>
      <c r="M158" s="31">
        <v>885.08386040870118</v>
      </c>
      <c r="N158" s="31">
        <v>885.08386040870118</v>
      </c>
      <c r="O158" s="31">
        <v>905.08386040870118</v>
      </c>
      <c r="P158" s="32">
        <v>905.08386040870118</v>
      </c>
      <c r="Q158" s="15">
        <f t="shared" ref="Q158:AH158" si="362">Q155+Q156-Q157</f>
        <v>905.08386040870118</v>
      </c>
      <c r="R158" s="15">
        <f t="shared" si="362"/>
        <v>905.08386040870118</v>
      </c>
      <c r="S158" s="15">
        <f t="shared" si="362"/>
        <v>905.08386040870118</v>
      </c>
      <c r="T158" s="15">
        <f t="shared" si="362"/>
        <v>905.08386040870118</v>
      </c>
      <c r="U158" s="15">
        <f t="shared" si="362"/>
        <v>905.08386040870118</v>
      </c>
      <c r="V158" s="15">
        <f t="shared" si="362"/>
        <v>905.08386040870118</v>
      </c>
      <c r="W158" s="15">
        <f t="shared" si="362"/>
        <v>905.08386040870118</v>
      </c>
      <c r="X158" s="15">
        <f t="shared" si="362"/>
        <v>905.08386040870118</v>
      </c>
      <c r="Y158" s="15">
        <f t="shared" si="362"/>
        <v>905.08386040870118</v>
      </c>
      <c r="Z158" s="15">
        <f t="shared" si="362"/>
        <v>905.08386040870118</v>
      </c>
      <c r="AA158" s="15">
        <f t="shared" si="362"/>
        <v>905.08386040870118</v>
      </c>
      <c r="AB158" s="15">
        <f t="shared" si="362"/>
        <v>905.08386040870118</v>
      </c>
      <c r="AC158" s="15">
        <f t="shared" si="362"/>
        <v>905.08386040870118</v>
      </c>
      <c r="AD158" s="15">
        <f t="shared" si="362"/>
        <v>905.08386040870118</v>
      </c>
      <c r="AE158" s="15">
        <f t="shared" si="362"/>
        <v>905.08386040870118</v>
      </c>
      <c r="AF158" s="15">
        <f t="shared" si="362"/>
        <v>905.08386040870118</v>
      </c>
      <c r="AG158" s="15">
        <f t="shared" si="362"/>
        <v>905.08386040870118</v>
      </c>
      <c r="AH158" s="15">
        <f t="shared" si="362"/>
        <v>905.08386040870118</v>
      </c>
      <c r="AJ158" s="15" cm="1">
        <f t="array" aca="1" ref="AJ158" ca="1">INDEX($E158:$AH158,1,MATCH(AJ$3&amp;AJ$4&amp;AJ$5&amp;AJ$6,$E$3:$AH$3&amp;$E$4:$AH$4&amp;$E$5:$AH$5&amp;$E$6:$AH$6,1))</f>
        <v>1230.0838604087012</v>
      </c>
      <c r="AK158" s="15" cm="1">
        <f t="array" aca="1" ref="AK158" ca="1">INDEX($E158:$AH158,1,MATCH(AK$3&amp;AK$4&amp;AK$5&amp;AK$6,$E$3:$AH$3&amp;$E$4:$AH$4&amp;$E$5:$AH$5&amp;$E$6:$AH$6,1))</f>
        <v>885.08386040870118</v>
      </c>
      <c r="AL158" s="15" cm="1">
        <f t="array" aca="1" ref="AL158" ca="1">INDEX($E158:$AH158,1,MATCH(AL$3&amp;AL$4&amp;AL$5&amp;AL$6,$E$3:$AH$3&amp;$E$4:$AH$4&amp;$E$5:$AH$5&amp;$E$6:$AH$6,1))</f>
        <v>885.08386040870118</v>
      </c>
      <c r="AM158" s="16" cm="1">
        <f t="array" aca="1" ref="AM158" ca="1">INDEX($E158:$AH158,1,MATCH(AM$3&amp;AM$4&amp;AM$5&amp;AM$6,$E$3:$AH$3&amp;$E$4:$AH$4&amp;$E$5:$AH$5&amp;$E$6:$AH$6,1))</f>
        <v>905.08386040870118</v>
      </c>
      <c r="AN158" s="15" cm="1">
        <f t="array" aca="1" ref="AN158" ca="1">INDEX($E158:$AH158,1,MATCH(AN$3&amp;AN$4&amp;AN$5&amp;AN$6,$E$3:$AH$3&amp;$E$4:$AH$4&amp;$E$5:$AH$5&amp;$E$6:$AH$6,1))</f>
        <v>905.08386040870118</v>
      </c>
      <c r="AO158" s="15" cm="1">
        <f t="array" aca="1" ref="AO158" ca="1">INDEX($E158:$AH158,1,MATCH(AO$3&amp;AO$4&amp;AO$5&amp;AO$6,$E$3:$AH$3&amp;$E$4:$AH$4&amp;$E$5:$AH$5&amp;$E$6:$AH$6,1))</f>
        <v>905.08386040870118</v>
      </c>
      <c r="AP158" s="15" cm="1">
        <f t="array" aca="1" ref="AP158" ca="1">INDEX($E158:$AH158,1,MATCH(AP$3&amp;AP$4&amp;AP$5&amp;AP$6,$E$3:$AH$3&amp;$E$4:$AH$4&amp;$E$5:$AH$5&amp;$E$6:$AH$6,1))</f>
        <v>905.08386040870118</v>
      </c>
      <c r="AQ158" s="15" cm="1">
        <f t="array" aca="1" ref="AQ158" ca="1">INDEX($E158:$AH158,1,MATCH(AQ$3&amp;AQ$4&amp;AQ$5&amp;AQ$6,$E$3:$AH$3&amp;$E$4:$AH$4&amp;$E$5:$AH$5&amp;$E$6:$AH$6,1))</f>
        <v>905.08386040870118</v>
      </c>
      <c r="AR158" s="15" cm="1">
        <f t="array" aca="1" ref="AR158" ca="1">INDEX($E158:$AH158,1,MATCH(AR$3&amp;AR$4&amp;AR$5&amp;AR$6,$E$3:$AH$3&amp;$E$4:$AH$4&amp;$E$5:$AH$5&amp;$E$6:$AH$6,1))</f>
        <v>905.08386040870118</v>
      </c>
      <c r="AS158" s="15" cm="1">
        <f t="array" aca="1" ref="AS158" ca="1">INDEX($E158:$AH158,1,MATCH(AS$3&amp;AS$4&amp;AS$5&amp;AS$6,$E$3:$AH$3&amp;$E$4:$AH$4&amp;$E$5:$AH$5&amp;$E$6:$AH$6,1))</f>
        <v>905.08386040870118</v>
      </c>
      <c r="AU158" s="13">
        <f ca="1">INDEX($E158:$AH158,1,MATCH(AU$5,$E$5:$AH$5,1))</f>
        <v>885.08386040870118</v>
      </c>
      <c r="AV158" s="13">
        <f t="shared" ref="AV158:AW158" ca="1" si="363">INDEX($E158:$AH158,1,MATCH(AV$5,$E$5:$AH$5,1))</f>
        <v>905.08386040870118</v>
      </c>
      <c r="AW158" s="13">
        <f t="shared" ca="1" si="363"/>
        <v>905.08386040870118</v>
      </c>
    </row>
    <row r="159" spans="2:49" x14ac:dyDescent="0.25">
      <c r="P159" s="8"/>
      <c r="AM159" s="8"/>
    </row>
    <row r="160" spans="2:49" x14ac:dyDescent="0.25">
      <c r="C160" s="30" t="s">
        <v>162</v>
      </c>
      <c r="D160" s="30"/>
      <c r="E160" s="45" t="str">
        <f t="shared" ref="E160:AH160" si="364">E$9</f>
        <v>Jul-20A</v>
      </c>
      <c r="F160" s="45" t="str">
        <f t="shared" si="364"/>
        <v>Aug-20A</v>
      </c>
      <c r="G160" s="45" t="str">
        <f t="shared" si="364"/>
        <v>Sep-20A</v>
      </c>
      <c r="H160" s="45" t="str">
        <f t="shared" si="364"/>
        <v>Oct-20A</v>
      </c>
      <c r="I160" s="45" t="str">
        <f t="shared" si="364"/>
        <v>Nov-20A</v>
      </c>
      <c r="J160" s="45" t="str">
        <f t="shared" si="364"/>
        <v>Dec-20A</v>
      </c>
      <c r="K160" s="45" t="str">
        <f t="shared" si="364"/>
        <v>Jan-21A</v>
      </c>
      <c r="L160" s="45" t="str">
        <f t="shared" si="364"/>
        <v>Feb-21A</v>
      </c>
      <c r="M160" s="45" t="str">
        <f t="shared" si="364"/>
        <v>Mar-21A</v>
      </c>
      <c r="N160" s="45" t="str">
        <f t="shared" si="364"/>
        <v>Apr-21A</v>
      </c>
      <c r="O160" s="45" t="str">
        <f t="shared" si="364"/>
        <v>May-21A</v>
      </c>
      <c r="P160" s="46" t="str">
        <f t="shared" si="364"/>
        <v>Jun-21A</v>
      </c>
      <c r="Q160" s="45" t="str">
        <f t="shared" si="364"/>
        <v>Jul-21F</v>
      </c>
      <c r="R160" s="45" t="str">
        <f t="shared" si="364"/>
        <v>Aug-21F</v>
      </c>
      <c r="S160" s="45" t="str">
        <f t="shared" si="364"/>
        <v>Sep-21F</v>
      </c>
      <c r="T160" s="45" t="str">
        <f t="shared" si="364"/>
        <v>Oct-21F</v>
      </c>
      <c r="U160" s="45" t="str">
        <f t="shared" si="364"/>
        <v>Nov-21F</v>
      </c>
      <c r="V160" s="45" t="str">
        <f t="shared" si="364"/>
        <v>Dec-21F</v>
      </c>
      <c r="W160" s="45" t="str">
        <f t="shared" si="364"/>
        <v>Jan-22F</v>
      </c>
      <c r="X160" s="45" t="str">
        <f t="shared" si="364"/>
        <v>Feb-22F</v>
      </c>
      <c r="Y160" s="45" t="str">
        <f t="shared" si="364"/>
        <v>Mar-22F</v>
      </c>
      <c r="Z160" s="45" t="str">
        <f t="shared" si="364"/>
        <v>Apr-22F</v>
      </c>
      <c r="AA160" s="45" t="str">
        <f t="shared" si="364"/>
        <v>May-22F</v>
      </c>
      <c r="AB160" s="45" t="str">
        <f t="shared" si="364"/>
        <v>Jun-22F</v>
      </c>
      <c r="AC160" s="45" t="str">
        <f t="shared" si="364"/>
        <v>Jul-22F</v>
      </c>
      <c r="AD160" s="45" t="str">
        <f t="shared" si="364"/>
        <v>Aug-22F</v>
      </c>
      <c r="AE160" s="45" t="str">
        <f t="shared" si="364"/>
        <v>Sep-22F</v>
      </c>
      <c r="AF160" s="45" t="str">
        <f t="shared" si="364"/>
        <v>Oct-22F</v>
      </c>
      <c r="AG160" s="45" t="str">
        <f t="shared" si="364"/>
        <v>Nov-22F</v>
      </c>
      <c r="AH160" s="45" t="str">
        <f t="shared" si="364"/>
        <v>Dec-22F</v>
      </c>
      <c r="AJ160" s="45" t="str">
        <f ca="1">AJ$10</f>
        <v>Q3'20A</v>
      </c>
      <c r="AK160" s="45" t="str">
        <f t="shared" ref="AK160:AW160" ca="1" si="365">AK$10</f>
        <v>Q4'20A</v>
      </c>
      <c r="AL160" s="45" t="str">
        <f t="shared" ca="1" si="365"/>
        <v>Q1'21A</v>
      </c>
      <c r="AM160" s="46" t="str">
        <f t="shared" ca="1" si="365"/>
        <v>Q2'21A</v>
      </c>
      <c r="AN160" s="45" t="str">
        <f t="shared" ca="1" si="365"/>
        <v>Q3'21F</v>
      </c>
      <c r="AO160" s="45" t="str">
        <f t="shared" ca="1" si="365"/>
        <v>Q4'21F</v>
      </c>
      <c r="AP160" s="45" t="str">
        <f t="shared" ca="1" si="365"/>
        <v>Q1'22F</v>
      </c>
      <c r="AQ160" s="45" t="str">
        <f t="shared" ca="1" si="365"/>
        <v>Q2'22F</v>
      </c>
      <c r="AR160" s="45" t="str">
        <f t="shared" ca="1" si="365"/>
        <v>Q3'22F</v>
      </c>
      <c r="AS160" s="45" t="str">
        <f t="shared" ca="1" si="365"/>
        <v>Q4'22F</v>
      </c>
      <c r="AU160" s="45" t="str">
        <f t="shared" ca="1" si="365"/>
        <v>FY20</v>
      </c>
      <c r="AV160" s="45" t="str">
        <f t="shared" ca="1" si="365"/>
        <v>FY21</v>
      </c>
      <c r="AW160" s="45" t="str">
        <f t="shared" ca="1" si="365"/>
        <v>FY22</v>
      </c>
    </row>
    <row r="161" spans="2:49" x14ac:dyDescent="0.25">
      <c r="C161" s="1" t="s">
        <v>194</v>
      </c>
      <c r="D161" s="1"/>
      <c r="E161" s="61">
        <f>D164</f>
        <v>1325.5</v>
      </c>
      <c r="F161" s="61">
        <f t="shared" ref="F161:AH161" si="366">E164</f>
        <v>1350</v>
      </c>
      <c r="G161" s="61">
        <f t="shared" si="366"/>
        <v>1362.5</v>
      </c>
      <c r="H161" s="61">
        <f t="shared" si="366"/>
        <v>1375</v>
      </c>
      <c r="I161" s="61">
        <f t="shared" si="366"/>
        <v>1387.5</v>
      </c>
      <c r="J161" s="61">
        <f t="shared" si="366"/>
        <v>1400</v>
      </c>
      <c r="K161" s="61">
        <f t="shared" si="366"/>
        <v>1412.5</v>
      </c>
      <c r="L161" s="61">
        <f t="shared" si="366"/>
        <v>1425</v>
      </c>
      <c r="M161" s="61">
        <f t="shared" si="366"/>
        <v>1437.5</v>
      </c>
      <c r="N161" s="61">
        <f t="shared" si="366"/>
        <v>1450</v>
      </c>
      <c r="O161" s="61">
        <f t="shared" si="366"/>
        <v>1462.5</v>
      </c>
      <c r="P161" s="17">
        <f t="shared" si="366"/>
        <v>1475</v>
      </c>
      <c r="Q161" s="15">
        <f t="shared" si="366"/>
        <v>1487.5</v>
      </c>
      <c r="R161" s="15">
        <f t="shared" si="366"/>
        <v>1421.2416800383851</v>
      </c>
      <c r="S161" s="15">
        <f t="shared" si="366"/>
        <v>1465.6000464916347</v>
      </c>
      <c r="T161" s="15">
        <f t="shared" si="366"/>
        <v>1448.9071801626212</v>
      </c>
      <c r="U161" s="15">
        <f t="shared" si="366"/>
        <v>1454.6143158511913</v>
      </c>
      <c r="V161" s="15">
        <f t="shared" si="366"/>
        <v>1477.7390948030277</v>
      </c>
      <c r="W161" s="104">
        <f t="shared" si="366"/>
        <v>1415.0752593495592</v>
      </c>
      <c r="X161" s="15">
        <f t="shared" si="366"/>
        <v>1507.4621518722622</v>
      </c>
      <c r="Y161" s="15">
        <f t="shared" si="366"/>
        <v>1499.2489964085325</v>
      </c>
      <c r="Z161" s="15">
        <f t="shared" si="366"/>
        <v>1490.922664503159</v>
      </c>
      <c r="AA161" s="15">
        <f t="shared" si="366"/>
        <v>1569.8656037307196</v>
      </c>
      <c r="AB161" s="15">
        <f t="shared" si="366"/>
        <v>1502.9619103275481</v>
      </c>
      <c r="AC161" s="15">
        <f t="shared" si="366"/>
        <v>1562.2391315171121</v>
      </c>
      <c r="AD161" s="15">
        <f t="shared" si="366"/>
        <v>1486.8015522183264</v>
      </c>
      <c r="AE161" s="15">
        <f t="shared" si="366"/>
        <v>1533.5530173546092</v>
      </c>
      <c r="AF161" s="15">
        <f t="shared" si="366"/>
        <v>1516.1569097713086</v>
      </c>
      <c r="AG161" s="15">
        <f t="shared" si="366"/>
        <v>1522.3673331037583</v>
      </c>
      <c r="AH161" s="15">
        <f t="shared" si="366"/>
        <v>1546.6454627872981</v>
      </c>
      <c r="AJ161" s="15">
        <f ca="1">AJ164+AJ163-AJ162</f>
        <v>1325.5</v>
      </c>
      <c r="AK161" s="15">
        <f t="shared" ref="AK161" ca="1" si="367">AK164+AK163-AK162</f>
        <v>1375</v>
      </c>
      <c r="AL161" s="15">
        <f t="shared" ref="AL161" ca="1" si="368">AL164+AL163-AL162</f>
        <v>1412.5</v>
      </c>
      <c r="AM161" s="16">
        <f t="shared" ref="AM161" ca="1" si="369">AM164+AM163-AM162</f>
        <v>1450.0000000000002</v>
      </c>
      <c r="AN161" s="15">
        <f t="shared" ref="AN161" ca="1" si="370">AN164+AN163-AN162</f>
        <v>1487.5</v>
      </c>
      <c r="AO161" s="15">
        <f t="shared" ref="AO161" ca="1" si="371">AO164+AO163-AO162</f>
        <v>1448.9071801626214</v>
      </c>
      <c r="AP161" s="15">
        <f t="shared" ref="AP161" ca="1" si="372">AP164+AP163-AP162</f>
        <v>1415.0752593495592</v>
      </c>
      <c r="AQ161" s="15">
        <f t="shared" ref="AQ161" ca="1" si="373">AQ164+AQ163-AQ162</f>
        <v>1490.922664503159</v>
      </c>
      <c r="AR161" s="15">
        <f t="shared" ref="AR161" ca="1" si="374">AR164+AR163-AR162</f>
        <v>1562.2391315171121</v>
      </c>
      <c r="AS161" s="15">
        <f t="shared" ref="AS161" ca="1" si="375">AS164+AS163-AS162</f>
        <v>1516.1569097713086</v>
      </c>
      <c r="AT161" s="15">
        <f t="shared" ref="AT161" si="376">AT164+AT163-AT162</f>
        <v>0</v>
      </c>
      <c r="AU161" s="15">
        <f t="shared" ref="AU161" ca="1" si="377">AU164+AU163-AU162</f>
        <v>1325.5</v>
      </c>
      <c r="AV161" s="15">
        <f t="shared" ref="AV161" ca="1" si="378">AV164+AV163-AV162</f>
        <v>1412.4999999999998</v>
      </c>
      <c r="AW161" s="15">
        <f t="shared" ref="AW161" ca="1" si="379">AW164+AW163-AW162</f>
        <v>1415.0752593495592</v>
      </c>
    </row>
    <row r="162" spans="2:49" x14ac:dyDescent="0.25">
      <c r="C162" s="108" t="s">
        <v>279</v>
      </c>
      <c r="D162" s="1"/>
      <c r="E162" s="37">
        <f>E163+(E164-E161)</f>
        <v>172.59361037737426</v>
      </c>
      <c r="F162" s="37">
        <f t="shared" ref="F162:P162" si="380">F163+(F164-F161)</f>
        <v>136.42129473409102</v>
      </c>
      <c r="G162" s="37">
        <f t="shared" si="380"/>
        <v>133.93511115332853</v>
      </c>
      <c r="H162" s="37">
        <f t="shared" si="380"/>
        <v>131.0511650987753</v>
      </c>
      <c r="I162" s="37">
        <f t="shared" si="380"/>
        <v>153.11727798050197</v>
      </c>
      <c r="J162" s="37">
        <f t="shared" si="380"/>
        <v>202.75619880970646</v>
      </c>
      <c r="K162" s="37">
        <f t="shared" si="380"/>
        <v>153.64509584290613</v>
      </c>
      <c r="L162" s="37">
        <f t="shared" si="380"/>
        <v>150.77453243271236</v>
      </c>
      <c r="M162" s="37">
        <f t="shared" si="380"/>
        <v>132.92514113201105</v>
      </c>
      <c r="N162" s="37">
        <f t="shared" si="380"/>
        <v>194.98454125810872</v>
      </c>
      <c r="O162" s="37">
        <f t="shared" si="380"/>
        <v>198.57012426421761</v>
      </c>
      <c r="P162" s="32">
        <f t="shared" si="380"/>
        <v>207.29437852557157</v>
      </c>
      <c r="Q162" s="15">
        <f t="shared" ref="Q162" si="381">Q163+(Q164-Q161)</f>
        <v>104.2826919261496</v>
      </c>
      <c r="R162" s="15">
        <f t="shared" ref="R162" si="382">R163+(R164-R161)</f>
        <v>183.50755802911544</v>
      </c>
      <c r="S162" s="15">
        <f t="shared" ref="S162" si="383">S163+(S164-S161)</f>
        <v>116.01234152540633</v>
      </c>
      <c r="T162" s="15">
        <f t="shared" ref="T162" si="384">T163+(T164-T161)</f>
        <v>140.86314819112783</v>
      </c>
      <c r="U162" s="15">
        <f t="shared" ref="U162" si="385">U163+(U164-U161)</f>
        <v>161.05007679249979</v>
      </c>
      <c r="V162" s="15">
        <f t="shared" ref="V162" si="386">V163+(V164-V161)</f>
        <v>118.73286540804384</v>
      </c>
      <c r="W162" s="15">
        <f t="shared" ref="W162" si="387">W163+(W164-W161)</f>
        <v>251.53495188762554</v>
      </c>
      <c r="X162" s="15">
        <f t="shared" ref="X162" si="388">X163+(X164-X161)</f>
        <v>128.68498776622778</v>
      </c>
      <c r="Y162" s="15">
        <f t="shared" ref="Y162" si="389">Y163+(Y164-Y161)</f>
        <v>126.77563792629985</v>
      </c>
      <c r="Z162" s="15">
        <f t="shared" ref="Z162" si="390">Z163+(Z164-Z161)</f>
        <v>272.40237949024686</v>
      </c>
      <c r="AA162" s="15">
        <f t="shared" ref="AA162" si="391">AA163+(AA164-AA161)</f>
        <v>114.64313126517504</v>
      </c>
      <c r="AB162" s="15">
        <f t="shared" ref="AB162" si="392">AB163+(AB164-AB161)</f>
        <v>256.94599408769977</v>
      </c>
      <c r="AC162" s="15">
        <f t="shared" ref="AC162" si="393">AC163+(AC164-AC161)</f>
        <v>102.97024869621373</v>
      </c>
      <c r="AD162" s="15">
        <f t="shared" ref="AD162" si="394">AD163+(AD164-AD161)</f>
        <v>192.35234930276795</v>
      </c>
      <c r="AE162" s="15">
        <f t="shared" ref="AE162" si="395">AE163+(AE164-AE161)</f>
        <v>121.46849368710923</v>
      </c>
      <c r="AF162" s="15">
        <f t="shared" ref="AF162" si="396">AF163+(AF164-AF161)</f>
        <v>147.66173180940143</v>
      </c>
      <c r="AG162" s="15">
        <f t="shared" ref="AG162" si="397">AG163+(AG164-AG161)</f>
        <v>168.6348276006936</v>
      </c>
      <c r="AH162" s="15">
        <f t="shared" ref="AH162" si="398">AH163+(AH164-AH161)</f>
        <v>124.04254405552365</v>
      </c>
      <c r="AJ162" s="15" cm="1">
        <f t="array" aca="1" ref="AJ162" ca="1">SUMPRODUCT(($E162:$AH162)*(AJ$3&amp;AJ$4&amp;AJ$5&amp;AJ$6=$E$3:$AH$3&amp;$E$4:$AH$4&amp;$E$5:$AH$5&amp;$E$6:$AH$6))</f>
        <v>442.95001626479382</v>
      </c>
      <c r="AK162" s="15" cm="1">
        <f t="array" aca="1" ref="AK162" ca="1">SUMPRODUCT(($E162:$AH162)*(AK$3=$E$3:$AH$3)*(AK$4=$E$4:$AH$4)*(AK$5=$E$5:$AH$5)*(AK$6=$E$6:$AH$6))</f>
        <v>486.92464188898373</v>
      </c>
      <c r="AL162" s="15" cm="1">
        <f t="array" aca="1" ref="AL162" ca="1">SUMPRODUCT(($E162:$AH162)*(AL$3=$E$3:$AH$3)*(AL$4=$E$4:$AH$4)*(AL$5=$E$5:$AH$5)*(AL$6=$E$6:$AH$6))</f>
        <v>437.34476940762954</v>
      </c>
      <c r="AM162" s="16" cm="1">
        <f t="array" aca="1" ref="AM162" ca="1">SUMPRODUCT(($E162:$AH162)*(AM$3=$E$3:$AH$3)*(AM$4=$E$4:$AH$4)*(AM$5=$E$5:$AH$5)*(AM$6=$E$6:$AH$6))</f>
        <v>600.84904404789791</v>
      </c>
      <c r="AN162" s="15" cm="1">
        <f t="array" aca="1" ref="AN162" ca="1">SUMPRODUCT(($E162:$AH162)*(AN$3=$E$3:$AH$3)*(AN$4=$E$4:$AH$4)*(AN$5=$E$5:$AH$5)*(AN$6=$E$6:$AH$6))</f>
        <v>403.80259148067137</v>
      </c>
      <c r="AO162" s="15" cm="1">
        <f t="array" aca="1" ref="AO162" ca="1">SUMPRODUCT(($E162:$AH162)*(AO$3=$E$3:$AH$3)*(AO$4=$E$4:$AH$4)*(AO$5=$E$5:$AH$5)*(AO$6=$E$6:$AH$6))</f>
        <v>420.64609039167146</v>
      </c>
      <c r="AP162" s="15" cm="1">
        <f t="array" aca="1" ref="AP162" ca="1">SUMPRODUCT(($E162:$AH162)*(AP$3=$E$3:$AH$3)*(AP$4=$E$4:$AH$4)*(AP$5=$E$5:$AH$5)*(AP$6=$E$6:$AH$6))</f>
        <v>506.99557758015317</v>
      </c>
      <c r="AQ162" s="15" cm="1">
        <f t="array" aca="1" ref="AQ162" ca="1">SUMPRODUCT(($E162:$AH162)*(AQ$3=$E$3:$AH$3)*(AQ$4=$E$4:$AH$4)*(AQ$5=$E$5:$AH$5)*(AQ$6=$E$6:$AH$6))</f>
        <v>643.99150484312167</v>
      </c>
      <c r="AR162" s="15" cm="1">
        <f t="array" aca="1" ref="AR162" ca="1">SUMPRODUCT(($E162:$AH162)*(AR$3=$E$3:$AH$3)*(AR$4=$E$4:$AH$4)*(AR$5=$E$5:$AH$5)*(AR$6=$E$6:$AH$6))</f>
        <v>416.79109168609091</v>
      </c>
      <c r="AS162" s="15" cm="1">
        <f t="array" aca="1" ref="AS162" ca="1">SUMPRODUCT(($E162:$AH162)*(AS$3=$E$3:$AH$3)*(AS$4=$E$4:$AH$4)*(AS$5=$E$5:$AH$5)*(AS$6=$E$6:$AH$6))</f>
        <v>440.33910346561868</v>
      </c>
      <c r="AU162" s="15" cm="1">
        <f t="array" aca="1" ref="AU162" ca="1">SUMPRODUCT(($E162:$AH162)*(AU$5=$E$5:$AH$5))</f>
        <v>929.87465815377755</v>
      </c>
      <c r="AV162" s="15" cm="1">
        <f t="array" aca="1" ref="AV162" ca="1">SUMPRODUCT(($E162:$AH162)*(AV$5=$E$5:$AH$5))</f>
        <v>1862.6424953278704</v>
      </c>
      <c r="AW162" s="15" cm="1">
        <f t="array" aca="1" ref="AW162" ca="1">SUMPRODUCT(($E162:$AH162)*(AW$5=$E$5:$AH$5))</f>
        <v>2008.1172775749844</v>
      </c>
    </row>
    <row r="163" spans="2:49" x14ac:dyDescent="0.25">
      <c r="C163" s="109" t="s">
        <v>280</v>
      </c>
      <c r="D163" s="23"/>
      <c r="E163" s="74">
        <f>Revenue!E146</f>
        <v>148.09361037737426</v>
      </c>
      <c r="F163" s="74">
        <f>Revenue!F146</f>
        <v>123.92129473409102</v>
      </c>
      <c r="G163" s="74">
        <f>Revenue!G146</f>
        <v>121.43511115332853</v>
      </c>
      <c r="H163" s="74">
        <f>Revenue!H146</f>
        <v>118.5511650987753</v>
      </c>
      <c r="I163" s="74">
        <f>Revenue!I146</f>
        <v>140.61727798050197</v>
      </c>
      <c r="J163" s="74">
        <f>Revenue!J146</f>
        <v>190.25619880970646</v>
      </c>
      <c r="K163" s="74">
        <f>Revenue!K146</f>
        <v>141.14509584290613</v>
      </c>
      <c r="L163" s="74">
        <f>Revenue!L146</f>
        <v>138.27453243271236</v>
      </c>
      <c r="M163" s="74">
        <f>Revenue!M146</f>
        <v>120.42514113201105</v>
      </c>
      <c r="N163" s="74">
        <f>Revenue!N146</f>
        <v>182.48454125810872</v>
      </c>
      <c r="O163" s="74">
        <f>Revenue!O146</f>
        <v>186.07012426421761</v>
      </c>
      <c r="P163" s="75">
        <f>Revenue!P146</f>
        <v>194.79437852557157</v>
      </c>
      <c r="Q163" s="74">
        <f>Revenue!Q146</f>
        <v>170.54101188776451</v>
      </c>
      <c r="R163" s="74">
        <f>Revenue!R146</f>
        <v>139.14919157586587</v>
      </c>
      <c r="S163" s="74">
        <f>Revenue!S146</f>
        <v>132.70520785441977</v>
      </c>
      <c r="T163" s="74">
        <f>Revenue!T146</f>
        <v>135.1560125025577</v>
      </c>
      <c r="U163" s="74">
        <f>Revenue!U146</f>
        <v>137.92529784066346</v>
      </c>
      <c r="V163" s="74">
        <f>Revenue!V146</f>
        <v>181.39670086151227</v>
      </c>
      <c r="W163" s="74">
        <f>Revenue!W146</f>
        <v>159.14805936492257</v>
      </c>
      <c r="X163" s="74">
        <f>Revenue!X146</f>
        <v>136.89814322995744</v>
      </c>
      <c r="Y163" s="74">
        <f>Revenue!Y146</f>
        <v>135.10196983167339</v>
      </c>
      <c r="Z163" s="74">
        <f>Revenue!Z146</f>
        <v>193.45944026268626</v>
      </c>
      <c r="AA163" s="74">
        <f>Revenue!AA146</f>
        <v>181.54682466834652</v>
      </c>
      <c r="AB163" s="74">
        <f>Revenue!AB146</f>
        <v>197.66877289813578</v>
      </c>
      <c r="AC163" s="74">
        <f>Revenue!AC146</f>
        <v>178.40782799499948</v>
      </c>
      <c r="AD163" s="74">
        <f>Revenue!AD146</f>
        <v>145.60088416648512</v>
      </c>
      <c r="AE163" s="74">
        <f>Revenue!AE146</f>
        <v>138.86460127040982</v>
      </c>
      <c r="AF163" s="74">
        <f>Revenue!AF146</f>
        <v>141.45130847695179</v>
      </c>
      <c r="AG163" s="74">
        <f>Revenue!AG146</f>
        <v>144.35669791715372</v>
      </c>
      <c r="AH163" s="74">
        <f>Revenue!AH146</f>
        <v>189.82938639906706</v>
      </c>
      <c r="AJ163" s="29" cm="1">
        <f t="array" aca="1" ref="AJ163" ca="1">SUMPRODUCT(($E163:$AH163)*(AJ$3&amp;AJ$4&amp;AJ$5&amp;AJ$6=$E$3:$AH$3&amp;$E$4:$AH$4&amp;$E$5:$AH$5&amp;$E$6:$AH$6))</f>
        <v>393.45001626479382</v>
      </c>
      <c r="AK163" s="29" cm="1">
        <f t="array" aca="1" ref="AK163" ca="1">SUMPRODUCT(($E163:$AH163)*(AK$3=$E$3:$AH$3)*(AK$4=$E$4:$AH$4)*(AK$5=$E$5:$AH$5)*(AK$6=$E$6:$AH$6))</f>
        <v>449.42464188898373</v>
      </c>
      <c r="AL163" s="29" cm="1">
        <f t="array" aca="1" ref="AL163" ca="1">SUMPRODUCT(($E163:$AH163)*(AL$3=$E$3:$AH$3)*(AL$4=$E$4:$AH$4)*(AL$5=$E$5:$AH$5)*(AL$6=$E$6:$AH$6))</f>
        <v>399.84476940762954</v>
      </c>
      <c r="AM163" s="240" cm="1">
        <f t="array" aca="1" ref="AM163" ca="1">SUMPRODUCT(($E163:$AH163)*(AM$3=$E$3:$AH$3)*(AM$4=$E$4:$AH$4)*(AM$5=$E$5:$AH$5)*(AM$6=$E$6:$AH$6))</f>
        <v>563.34904404789791</v>
      </c>
      <c r="AN163" s="29" cm="1">
        <f t="array" aca="1" ref="AN163" ca="1">SUMPRODUCT(($E163:$AH163)*(AN$3=$E$3:$AH$3)*(AN$4=$E$4:$AH$4)*(AN$5=$E$5:$AH$5)*(AN$6=$E$6:$AH$6))</f>
        <v>442.39541131805015</v>
      </c>
      <c r="AO163" s="29" cm="1">
        <f t="array" aca="1" ref="AO163" ca="1">SUMPRODUCT(($E163:$AH163)*(AO$3=$E$3:$AH$3)*(AO$4=$E$4:$AH$4)*(AO$5=$E$5:$AH$5)*(AO$6=$E$6:$AH$6))</f>
        <v>454.47801120473343</v>
      </c>
      <c r="AP163" s="29" cm="1">
        <f t="array" aca="1" ref="AP163" ca="1">SUMPRODUCT(($E163:$AH163)*(AP$3=$E$3:$AH$3)*(AP$4=$E$4:$AH$4)*(AP$5=$E$5:$AH$5)*(AP$6=$E$6:$AH$6))</f>
        <v>431.1481724265534</v>
      </c>
      <c r="AQ163" s="29" cm="1">
        <f t="array" aca="1" ref="AQ163" ca="1">SUMPRODUCT(($E163:$AH163)*(AQ$3=$E$3:$AH$3)*(AQ$4=$E$4:$AH$4)*(AQ$5=$E$5:$AH$5)*(AQ$6=$E$6:$AH$6))</f>
        <v>572.67503782916856</v>
      </c>
      <c r="AR163" s="29" cm="1">
        <f t="array" aca="1" ref="AR163" ca="1">SUMPRODUCT(($E163:$AH163)*(AR$3=$E$3:$AH$3)*(AR$4=$E$4:$AH$4)*(AR$5=$E$5:$AH$5)*(AR$6=$E$6:$AH$6))</f>
        <v>462.87331343189442</v>
      </c>
      <c r="AS163" s="29" cm="1">
        <f t="array" aca="1" ref="AS163" ca="1">SUMPRODUCT(($E163:$AH163)*(AS$3=$E$3:$AH$3)*(AS$4=$E$4:$AH$4)*(AS$5=$E$5:$AH$5)*(AS$6=$E$6:$AH$6))</f>
        <v>475.63739279317258</v>
      </c>
      <c r="AU163" s="29" cm="1">
        <f t="array" aca="1" ref="AU163" ca="1">SUMPRODUCT(($E163:$AH163)*(AU$5=$E$5:$AH$5))</f>
        <v>842.87465815377755</v>
      </c>
      <c r="AV163" s="29" cm="1">
        <f t="array" aca="1" ref="AV163" ca="1">SUMPRODUCT(($E163:$AH163)*(AV$5=$E$5:$AH$5))</f>
        <v>1860.0672359783111</v>
      </c>
      <c r="AW163" s="29" cm="1">
        <f t="array" aca="1" ref="AW163" ca="1">SUMPRODUCT(($E163:$AH163)*(AW$5=$E$5:$AH$5))</f>
        <v>1942.333916480789</v>
      </c>
    </row>
    <row r="164" spans="2:49" x14ac:dyDescent="0.25">
      <c r="B164" t="s">
        <v>231</v>
      </c>
      <c r="C164" s="2" t="s">
        <v>195</v>
      </c>
      <c r="D164" s="37">
        <v>1325.5</v>
      </c>
      <c r="E164" s="31">
        <v>1350</v>
      </c>
      <c r="F164" s="31">
        <f>E164+12.5</f>
        <v>1362.5</v>
      </c>
      <c r="G164" s="31">
        <f t="shared" ref="G164:P164" si="399">F164+12.5</f>
        <v>1375</v>
      </c>
      <c r="H164" s="31">
        <f t="shared" si="399"/>
        <v>1387.5</v>
      </c>
      <c r="I164" s="31">
        <f t="shared" si="399"/>
        <v>1400</v>
      </c>
      <c r="J164" s="37">
        <f t="shared" si="399"/>
        <v>1412.5</v>
      </c>
      <c r="K164" s="31">
        <f t="shared" si="399"/>
        <v>1425</v>
      </c>
      <c r="L164" s="31">
        <f t="shared" si="399"/>
        <v>1437.5</v>
      </c>
      <c r="M164" s="31">
        <f t="shared" si="399"/>
        <v>1450</v>
      </c>
      <c r="N164" s="31">
        <f t="shared" si="399"/>
        <v>1462.5</v>
      </c>
      <c r="O164" s="31">
        <f t="shared" si="399"/>
        <v>1475</v>
      </c>
      <c r="P164" s="32">
        <f t="shared" si="399"/>
        <v>1487.5</v>
      </c>
      <c r="Q164" s="15">
        <f>Q167*(Q166*12)</f>
        <v>1421.2416800383851</v>
      </c>
      <c r="R164" s="15">
        <f t="shared" ref="R164:AH164" si="400">R167*(R166*12)</f>
        <v>1465.6000464916347</v>
      </c>
      <c r="S164" s="15">
        <f t="shared" si="400"/>
        <v>1448.9071801626212</v>
      </c>
      <c r="T164" s="15">
        <f t="shared" si="400"/>
        <v>1454.6143158511913</v>
      </c>
      <c r="U164" s="15">
        <f t="shared" si="400"/>
        <v>1477.7390948030277</v>
      </c>
      <c r="V164" s="15">
        <f t="shared" si="400"/>
        <v>1415.0752593495592</v>
      </c>
      <c r="W164" s="15">
        <f t="shared" si="400"/>
        <v>1507.4621518722622</v>
      </c>
      <c r="X164" s="15">
        <f t="shared" si="400"/>
        <v>1499.2489964085325</v>
      </c>
      <c r="Y164" s="15">
        <f t="shared" si="400"/>
        <v>1490.922664503159</v>
      </c>
      <c r="Z164" s="15">
        <f t="shared" si="400"/>
        <v>1569.8656037307196</v>
      </c>
      <c r="AA164" s="15">
        <f t="shared" si="400"/>
        <v>1502.9619103275481</v>
      </c>
      <c r="AB164" s="15">
        <f t="shared" si="400"/>
        <v>1562.2391315171121</v>
      </c>
      <c r="AC164" s="15">
        <f t="shared" si="400"/>
        <v>1486.8015522183264</v>
      </c>
      <c r="AD164" s="15">
        <f t="shared" si="400"/>
        <v>1533.5530173546092</v>
      </c>
      <c r="AE164" s="15">
        <f t="shared" si="400"/>
        <v>1516.1569097713086</v>
      </c>
      <c r="AF164" s="15">
        <f t="shared" si="400"/>
        <v>1522.3673331037583</v>
      </c>
      <c r="AG164" s="15">
        <f t="shared" si="400"/>
        <v>1546.6454627872981</v>
      </c>
      <c r="AH164" s="15">
        <f t="shared" si="400"/>
        <v>1480.8586204437547</v>
      </c>
      <c r="AJ164" s="15" cm="1">
        <f t="array" aca="1" ref="AJ164" ca="1">INDEX($E164:$AH164,1,MATCH(AJ$3&amp;AJ$4&amp;AJ$5&amp;AJ$6,$E$3:$AH$3&amp;$E$4:$AH$4&amp;$E$5:$AH$5&amp;$E$6:$AH$6,1))</f>
        <v>1375</v>
      </c>
      <c r="AK164" s="15" cm="1">
        <f t="array" aca="1" ref="AK164" ca="1">INDEX($E164:$AH164,1,MATCH(AK$3&amp;AK$4&amp;AK$5&amp;AK$6,$E$3:$AH$3&amp;$E$4:$AH$4&amp;$E$5:$AH$5&amp;$E$6:$AH$6,1))</f>
        <v>1412.5</v>
      </c>
      <c r="AL164" s="15" cm="1">
        <f t="array" aca="1" ref="AL164" ca="1">INDEX($E164:$AH164,1,MATCH(AL$3&amp;AL$4&amp;AL$5&amp;AL$6,$E$3:$AH$3&amp;$E$4:$AH$4&amp;$E$5:$AH$5&amp;$E$6:$AH$6,1))</f>
        <v>1450</v>
      </c>
      <c r="AM164" s="16" cm="1">
        <f t="array" aca="1" ref="AM164" ca="1">INDEX($E164:$AH164,1,MATCH(AM$3&amp;AM$4&amp;AM$5&amp;AM$6,$E$3:$AH$3&amp;$E$4:$AH$4&amp;$E$5:$AH$5&amp;$E$6:$AH$6,1))</f>
        <v>1487.5</v>
      </c>
      <c r="AN164" s="15" cm="1">
        <f t="array" aca="1" ref="AN164" ca="1">INDEX($E164:$AH164,1,MATCH(AN$3&amp;AN$4&amp;AN$5&amp;AN$6,$E$3:$AH$3&amp;$E$4:$AH$4&amp;$E$5:$AH$5&amp;$E$6:$AH$6,1))</f>
        <v>1448.9071801626212</v>
      </c>
      <c r="AO164" s="15" cm="1">
        <f t="array" aca="1" ref="AO164" ca="1">INDEX($E164:$AH164,1,MATCH(AO$3&amp;AO$4&amp;AO$5&amp;AO$6,$E$3:$AH$3&amp;$E$4:$AH$4&amp;$E$5:$AH$5&amp;$E$6:$AH$6,1))</f>
        <v>1415.0752593495592</v>
      </c>
      <c r="AP164" s="15" cm="1">
        <f t="array" aca="1" ref="AP164" ca="1">INDEX($E164:$AH164,1,MATCH(AP$3&amp;AP$4&amp;AP$5&amp;AP$6,$E$3:$AH$3&amp;$E$4:$AH$4&amp;$E$5:$AH$5&amp;$E$6:$AH$6,1))</f>
        <v>1490.922664503159</v>
      </c>
      <c r="AQ164" s="15" cm="1">
        <f t="array" aca="1" ref="AQ164" ca="1">INDEX($E164:$AH164,1,MATCH(AQ$3&amp;AQ$4&amp;AQ$5&amp;AQ$6,$E$3:$AH$3&amp;$E$4:$AH$4&amp;$E$5:$AH$5&amp;$E$6:$AH$6,1))</f>
        <v>1562.2391315171121</v>
      </c>
      <c r="AR164" s="15" cm="1">
        <f t="array" aca="1" ref="AR164" ca="1">INDEX($E164:$AH164,1,MATCH(AR$3&amp;AR$4&amp;AR$5&amp;AR$6,$E$3:$AH$3&amp;$E$4:$AH$4&amp;$E$5:$AH$5&amp;$E$6:$AH$6,1))</f>
        <v>1516.1569097713086</v>
      </c>
      <c r="AS164" s="15" cm="1">
        <f t="array" aca="1" ref="AS164" ca="1">INDEX($E164:$AH164,1,MATCH(AS$3&amp;AS$4&amp;AS$5&amp;AS$6,$E$3:$AH$3&amp;$E$4:$AH$4&amp;$E$5:$AH$5&amp;$E$6:$AH$6,1))</f>
        <v>1480.8586204437547</v>
      </c>
      <c r="AU164" s="13">
        <f ca="1">INDEX($E164:$AH164,1,MATCH(AU$5,$E$5:$AH$5,1))</f>
        <v>1412.5</v>
      </c>
      <c r="AV164" s="13">
        <f t="shared" ref="AV164:AW164" ca="1" si="401">INDEX($E164:$AH164,1,MATCH(AV$5,$E$5:$AH$5,1))</f>
        <v>1415.0752593495592</v>
      </c>
      <c r="AW164" s="13">
        <f t="shared" ca="1" si="401"/>
        <v>1480.8586204437547</v>
      </c>
    </row>
    <row r="165" spans="2:49" x14ac:dyDescent="0.25">
      <c r="C165" s="2"/>
      <c r="D165" s="2"/>
      <c r="E165" s="2"/>
      <c r="F165" s="15"/>
      <c r="G165" s="15"/>
      <c r="H165" s="15"/>
      <c r="I165" s="15"/>
      <c r="J165" s="15"/>
      <c r="K165" s="13"/>
      <c r="L165" s="15"/>
      <c r="M165" s="15"/>
      <c r="N165" s="15"/>
      <c r="O165" s="15"/>
      <c r="P165" s="16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M165" s="8"/>
    </row>
    <row r="166" spans="2:49" x14ac:dyDescent="0.25">
      <c r="C166" s="2" t="s">
        <v>7</v>
      </c>
      <c r="D166" s="2"/>
      <c r="E166" s="56">
        <f>Revenue!E21</f>
        <v>1076.0245631271903</v>
      </c>
      <c r="F166" s="33">
        <f>Revenue!F21</f>
        <v>859.26920010937727</v>
      </c>
      <c r="G166" s="33">
        <f>Revenue!G21</f>
        <v>836.52248099866563</v>
      </c>
      <c r="H166" s="33">
        <f>Revenue!H21</f>
        <v>856.34353116215016</v>
      </c>
      <c r="I166" s="33">
        <f>Revenue!I21</f>
        <v>867.96401434551092</v>
      </c>
      <c r="J166" s="56">
        <f>Revenue!J21</f>
        <v>1202.7235625694784</v>
      </c>
      <c r="K166" s="33">
        <f>Revenue!K21</f>
        <v>999.30327627363522</v>
      </c>
      <c r="L166" s="33">
        <f>Revenue!L21</f>
        <v>871.88490961518551</v>
      </c>
      <c r="M166" s="33">
        <f>Revenue!M21</f>
        <v>872.77456928733591</v>
      </c>
      <c r="N166" s="33">
        <f>Revenue!N21</f>
        <v>1197.1562696903486</v>
      </c>
      <c r="O166" s="33">
        <f>Revenue!O21</f>
        <v>1183.4780841029253</v>
      </c>
      <c r="P166" s="34">
        <f>Revenue!P21</f>
        <v>1250.1871922417429</v>
      </c>
      <c r="Q166" s="33">
        <f>Revenue!Q21</f>
        <v>1132.808116934413</v>
      </c>
      <c r="R166" s="33">
        <f>Revenue!R21</f>
        <v>924.28989330578554</v>
      </c>
      <c r="S166" s="33">
        <f>Revenue!S21</f>
        <v>881.48613024466636</v>
      </c>
      <c r="T166" s="33">
        <f>Revenue!T21</f>
        <v>897.76544844326088</v>
      </c>
      <c r="U166" s="33">
        <f>Revenue!U21</f>
        <v>916.16025491466962</v>
      </c>
      <c r="V166" s="33">
        <f>Revenue!V21</f>
        <v>1204.916359100057</v>
      </c>
      <c r="W166" s="33">
        <f>Revenue!W21</f>
        <v>1057.131134894355</v>
      </c>
      <c r="X166" s="33">
        <f>Revenue!X21</f>
        <v>909.33744398212934</v>
      </c>
      <c r="Y166" s="33">
        <f>Revenue!Y21</f>
        <v>897.40647334653238</v>
      </c>
      <c r="Z166" s="33">
        <f>Revenue!Z21</f>
        <v>1285.0423590273199</v>
      </c>
      <c r="AA166" s="33">
        <f>Revenue!AA21</f>
        <v>1205.9135471960133</v>
      </c>
      <c r="AB166" s="33">
        <f>Revenue!AB21</f>
        <v>1313.002590548946</v>
      </c>
      <c r="AC166" s="33">
        <f>Revenue!AC21</f>
        <v>1185.0629560611505</v>
      </c>
      <c r="AD166" s="33">
        <f>Revenue!AD21</f>
        <v>967.14486205329683</v>
      </c>
      <c r="AE166" s="33">
        <f>Revenue!AE21</f>
        <v>922.39951981466538</v>
      </c>
      <c r="AF166" s="33">
        <f>Revenue!AF21</f>
        <v>939.58156234665057</v>
      </c>
      <c r="AG166" s="33">
        <f>Revenue!AG21</f>
        <v>958.88043189295263</v>
      </c>
      <c r="AH166" s="33">
        <f>Revenue!AH21</f>
        <v>1260.9299508968747</v>
      </c>
      <c r="AJ166" s="15" cm="1">
        <f t="array" aca="1" ref="AJ166" ca="1">SUMPRODUCT(($E166:$AH166)*(AJ$3&amp;AJ$4&amp;AJ$5&amp;AJ$6=$E$3:$AH$3&amp;$E$4:$AH$4&amp;$E$5:$AH$5&amp;$E$6:$AH$6))</f>
        <v>2771.8162442352332</v>
      </c>
      <c r="AK166" s="15" cm="1">
        <f t="array" aca="1" ref="AK166" ca="1">SUMPRODUCT(($E166:$AH166)*(AK$3=$E$3:$AH$3)*(AK$4=$E$4:$AH$4)*(AK$5=$E$5:$AH$5)*(AK$6=$E$6:$AH$6))</f>
        <v>2927.0311080771394</v>
      </c>
      <c r="AL166" s="15" cm="1">
        <f t="array" aca="1" ref="AL166" ca="1">SUMPRODUCT(($E166:$AH166)*(AL$3=$E$3:$AH$3)*(AL$4=$E$4:$AH$4)*(AL$5=$E$5:$AH$5)*(AL$6=$E$6:$AH$6))</f>
        <v>2743.9627551761569</v>
      </c>
      <c r="AM166" s="16" cm="1">
        <f t="array" aca="1" ref="AM166" ca="1">SUMPRODUCT(($E166:$AH166)*(AM$3=$E$3:$AH$3)*(AM$4=$E$4:$AH$4)*(AM$5=$E$5:$AH$5)*(AM$6=$E$6:$AH$6))</f>
        <v>3630.8215460350166</v>
      </c>
      <c r="AN166" s="15" cm="1">
        <f t="array" aca="1" ref="AN166" ca="1">SUMPRODUCT(($E166:$AH166)*(AN$3=$E$3:$AH$3)*(AN$4=$E$4:$AH$4)*(AN$5=$E$5:$AH$5)*(AN$6=$E$6:$AH$6))</f>
        <v>2938.5841404848652</v>
      </c>
      <c r="AO166" s="15" cm="1">
        <f t="array" aca="1" ref="AO166" ca="1">SUMPRODUCT(($E166:$AH166)*(AO$3=$E$3:$AH$3)*(AO$4=$E$4:$AH$4)*(AO$5=$E$5:$AH$5)*(AO$6=$E$6:$AH$6))</f>
        <v>3018.8420624579876</v>
      </c>
      <c r="AP166" s="15" cm="1">
        <f t="array" aca="1" ref="AP166" ca="1">SUMPRODUCT(($E166:$AH166)*(AP$3=$E$3:$AH$3)*(AP$4=$E$4:$AH$4)*(AP$5=$E$5:$AH$5)*(AP$6=$E$6:$AH$6))</f>
        <v>2863.8750522230166</v>
      </c>
      <c r="AQ166" s="15" cm="1">
        <f t="array" aca="1" ref="AQ166" ca="1">SUMPRODUCT(($E166:$AH166)*(AQ$3=$E$3:$AH$3)*(AQ$4=$E$4:$AH$4)*(AQ$5=$E$5:$AH$5)*(AQ$6=$E$6:$AH$6))</f>
        <v>3803.958496772279</v>
      </c>
      <c r="AR166" s="15" cm="1">
        <f t="array" aca="1" ref="AR166" ca="1">SUMPRODUCT(($E166:$AH166)*(AR$3=$E$3:$AH$3)*(AR$4=$E$4:$AH$4)*(AR$5=$E$5:$AH$5)*(AR$6=$E$6:$AH$6))</f>
        <v>3074.6073379291129</v>
      </c>
      <c r="AS166" s="15" cm="1">
        <f t="array" aca="1" ref="AS166" ca="1">SUMPRODUCT(($E166:$AH166)*(AS$3=$E$3:$AH$3)*(AS$4=$E$4:$AH$4)*(AS$5=$E$5:$AH$5)*(AS$6=$E$6:$AH$6))</f>
        <v>3159.3919451364782</v>
      </c>
      <c r="AU166" s="15" cm="1">
        <f t="array" aca="1" ref="AU166" ca="1">SUMPRODUCT(($E166:$AH166)*(AU$5=$E$5:$AH$5))</f>
        <v>5698.847352312373</v>
      </c>
      <c r="AV166" s="15" cm="1">
        <f t="array" aca="1" ref="AV166" ca="1">SUMPRODUCT(($E166:$AH166)*(AV$5=$E$5:$AH$5))</f>
        <v>12332.210504154027</v>
      </c>
      <c r="AW166" s="15" cm="1">
        <f t="array" aca="1" ref="AW166" ca="1">SUMPRODUCT(($E166:$AH166)*(AW$5=$E$5:$AH$5))</f>
        <v>12901.832832060889</v>
      </c>
    </row>
    <row r="167" spans="2:49" x14ac:dyDescent="0.25">
      <c r="C167" s="88" t="s">
        <v>278</v>
      </c>
      <c r="D167" s="2"/>
      <c r="E167" s="163">
        <f>E164/(E166*12)</f>
        <v>0.10455151662434871</v>
      </c>
      <c r="F167" s="20">
        <f t="shared" ref="F167:P167" si="402">F164/(F166*12)</f>
        <v>0.13213747990992095</v>
      </c>
      <c r="G167" s="20">
        <f t="shared" si="402"/>
        <v>0.13697579674910867</v>
      </c>
      <c r="H167" s="20">
        <f t="shared" si="402"/>
        <v>0.13502174745581888</v>
      </c>
      <c r="I167" s="20">
        <f t="shared" si="402"/>
        <v>0.13441417471050257</v>
      </c>
      <c r="J167" s="20">
        <f t="shared" si="402"/>
        <v>9.7868152746474202E-2</v>
      </c>
      <c r="K167" s="164">
        <f t="shared" si="402"/>
        <v>0.11883279362679</v>
      </c>
      <c r="L167" s="20">
        <f t="shared" si="402"/>
        <v>0.13739389837534616</v>
      </c>
      <c r="M167" s="20">
        <f t="shared" si="402"/>
        <v>0.13844735809843747</v>
      </c>
      <c r="N167" s="20">
        <f t="shared" si="402"/>
        <v>0.10180375201269561</v>
      </c>
      <c r="O167" s="20">
        <f t="shared" si="402"/>
        <v>0.10386053473887294</v>
      </c>
      <c r="P167" s="26">
        <f t="shared" si="402"/>
        <v>9.9151818305753439E-2</v>
      </c>
      <c r="Q167" s="57">
        <f>E167</f>
        <v>0.10455151662434871</v>
      </c>
      <c r="R167" s="57">
        <f t="shared" ref="R167:AH167" si="403">F167</f>
        <v>0.13213747990992095</v>
      </c>
      <c r="S167" s="57">
        <f t="shared" si="403"/>
        <v>0.13697579674910867</v>
      </c>
      <c r="T167" s="57">
        <f t="shared" si="403"/>
        <v>0.13502174745581888</v>
      </c>
      <c r="U167" s="57">
        <f t="shared" si="403"/>
        <v>0.13441417471050257</v>
      </c>
      <c r="V167" s="57">
        <f t="shared" si="403"/>
        <v>9.7868152746474202E-2</v>
      </c>
      <c r="W167" s="57">
        <f t="shared" si="403"/>
        <v>0.11883279362679</v>
      </c>
      <c r="X167" s="57">
        <f t="shared" si="403"/>
        <v>0.13739389837534616</v>
      </c>
      <c r="Y167" s="57">
        <f t="shared" si="403"/>
        <v>0.13844735809843747</v>
      </c>
      <c r="Z167" s="57">
        <f t="shared" si="403"/>
        <v>0.10180375201269561</v>
      </c>
      <c r="AA167" s="57">
        <f t="shared" si="403"/>
        <v>0.10386053473887294</v>
      </c>
      <c r="AB167" s="57">
        <f t="shared" si="403"/>
        <v>9.9151818305753439E-2</v>
      </c>
      <c r="AC167" s="57">
        <f t="shared" si="403"/>
        <v>0.10455151662434871</v>
      </c>
      <c r="AD167" s="57">
        <f t="shared" si="403"/>
        <v>0.13213747990992095</v>
      </c>
      <c r="AE167" s="57">
        <f t="shared" si="403"/>
        <v>0.13697579674910867</v>
      </c>
      <c r="AF167" s="57">
        <f t="shared" si="403"/>
        <v>0.13502174745581888</v>
      </c>
      <c r="AG167" s="57">
        <f t="shared" si="403"/>
        <v>0.13441417471050257</v>
      </c>
      <c r="AH167" s="57">
        <f t="shared" si="403"/>
        <v>9.7868152746474202E-2</v>
      </c>
      <c r="AM167" s="8"/>
    </row>
    <row r="168" spans="2:49" x14ac:dyDescent="0.25">
      <c r="P168" s="8"/>
      <c r="AM168" s="8"/>
    </row>
    <row r="169" spans="2:49" x14ac:dyDescent="0.25">
      <c r="C169" s="30" t="s">
        <v>163</v>
      </c>
      <c r="D169" s="30"/>
      <c r="E169" s="45" t="str">
        <f t="shared" ref="E169:AH169" si="404">E$9</f>
        <v>Jul-20A</v>
      </c>
      <c r="F169" s="45" t="str">
        <f t="shared" si="404"/>
        <v>Aug-20A</v>
      </c>
      <c r="G169" s="45" t="str">
        <f t="shared" si="404"/>
        <v>Sep-20A</v>
      </c>
      <c r="H169" s="45" t="str">
        <f t="shared" si="404"/>
        <v>Oct-20A</v>
      </c>
      <c r="I169" s="45" t="str">
        <f t="shared" si="404"/>
        <v>Nov-20A</v>
      </c>
      <c r="J169" s="45" t="str">
        <f t="shared" si="404"/>
        <v>Dec-20A</v>
      </c>
      <c r="K169" s="45" t="str">
        <f t="shared" si="404"/>
        <v>Jan-21A</v>
      </c>
      <c r="L169" s="45" t="str">
        <f t="shared" si="404"/>
        <v>Feb-21A</v>
      </c>
      <c r="M169" s="45" t="str">
        <f t="shared" si="404"/>
        <v>Mar-21A</v>
      </c>
      <c r="N169" s="45" t="str">
        <f t="shared" si="404"/>
        <v>Apr-21A</v>
      </c>
      <c r="O169" s="45" t="str">
        <f t="shared" si="404"/>
        <v>May-21A</v>
      </c>
      <c r="P169" s="46" t="str">
        <f t="shared" si="404"/>
        <v>Jun-21A</v>
      </c>
      <c r="Q169" s="45" t="str">
        <f t="shared" si="404"/>
        <v>Jul-21F</v>
      </c>
      <c r="R169" s="45" t="str">
        <f t="shared" si="404"/>
        <v>Aug-21F</v>
      </c>
      <c r="S169" s="45" t="str">
        <f t="shared" si="404"/>
        <v>Sep-21F</v>
      </c>
      <c r="T169" s="45" t="str">
        <f t="shared" si="404"/>
        <v>Oct-21F</v>
      </c>
      <c r="U169" s="45" t="str">
        <f t="shared" si="404"/>
        <v>Nov-21F</v>
      </c>
      <c r="V169" s="45" t="str">
        <f t="shared" si="404"/>
        <v>Dec-21F</v>
      </c>
      <c r="W169" s="45" t="str">
        <f t="shared" si="404"/>
        <v>Jan-22F</v>
      </c>
      <c r="X169" s="45" t="str">
        <f t="shared" si="404"/>
        <v>Feb-22F</v>
      </c>
      <c r="Y169" s="45" t="str">
        <f t="shared" si="404"/>
        <v>Mar-22F</v>
      </c>
      <c r="Z169" s="45" t="str">
        <f t="shared" si="404"/>
        <v>Apr-22F</v>
      </c>
      <c r="AA169" s="45" t="str">
        <f t="shared" si="404"/>
        <v>May-22F</v>
      </c>
      <c r="AB169" s="45" t="str">
        <f t="shared" si="404"/>
        <v>Jun-22F</v>
      </c>
      <c r="AC169" s="45" t="str">
        <f t="shared" si="404"/>
        <v>Jul-22F</v>
      </c>
      <c r="AD169" s="45" t="str">
        <f t="shared" si="404"/>
        <v>Aug-22F</v>
      </c>
      <c r="AE169" s="45" t="str">
        <f t="shared" si="404"/>
        <v>Sep-22F</v>
      </c>
      <c r="AF169" s="45" t="str">
        <f t="shared" si="404"/>
        <v>Oct-22F</v>
      </c>
      <c r="AG169" s="45" t="str">
        <f t="shared" si="404"/>
        <v>Nov-22F</v>
      </c>
      <c r="AH169" s="45" t="str">
        <f t="shared" si="404"/>
        <v>Dec-22F</v>
      </c>
      <c r="AJ169" s="45" t="str">
        <f ca="1">AJ$10</f>
        <v>Q3'20A</v>
      </c>
      <c r="AK169" s="45" t="str">
        <f t="shared" ref="AK169:AW169" ca="1" si="405">AK$10</f>
        <v>Q4'20A</v>
      </c>
      <c r="AL169" s="45" t="str">
        <f t="shared" ca="1" si="405"/>
        <v>Q1'21A</v>
      </c>
      <c r="AM169" s="46" t="str">
        <f t="shared" ca="1" si="405"/>
        <v>Q2'21A</v>
      </c>
      <c r="AN169" s="45" t="str">
        <f t="shared" ca="1" si="405"/>
        <v>Q3'21F</v>
      </c>
      <c r="AO169" s="45" t="str">
        <f t="shared" ca="1" si="405"/>
        <v>Q4'21F</v>
      </c>
      <c r="AP169" s="45" t="str">
        <f t="shared" ca="1" si="405"/>
        <v>Q1'22F</v>
      </c>
      <c r="AQ169" s="45" t="str">
        <f t="shared" ca="1" si="405"/>
        <v>Q2'22F</v>
      </c>
      <c r="AR169" s="45" t="str">
        <f t="shared" ca="1" si="405"/>
        <v>Q3'22F</v>
      </c>
      <c r="AS169" s="45" t="str">
        <f t="shared" ca="1" si="405"/>
        <v>Q4'22F</v>
      </c>
      <c r="AU169" s="45" t="str">
        <f t="shared" ca="1" si="405"/>
        <v>FY20</v>
      </c>
      <c r="AV169" s="45" t="str">
        <f t="shared" ca="1" si="405"/>
        <v>FY21</v>
      </c>
      <c r="AW169" s="45" t="str">
        <f t="shared" ca="1" si="405"/>
        <v>FY22</v>
      </c>
    </row>
    <row r="170" spans="2:49" x14ac:dyDescent="0.25">
      <c r="C170" s="1" t="s">
        <v>194</v>
      </c>
      <c r="D170" s="1"/>
      <c r="E170" s="61">
        <f>D173</f>
        <v>4977.0862961113271</v>
      </c>
      <c r="F170" s="61">
        <f t="shared" ref="F170:AH170" si="406">E173</f>
        <v>4977.0862961113271</v>
      </c>
      <c r="G170" s="61">
        <f t="shared" si="406"/>
        <v>4977.0862961113271</v>
      </c>
      <c r="H170" s="61">
        <f t="shared" si="406"/>
        <v>4977.0862961113271</v>
      </c>
      <c r="I170" s="61">
        <f t="shared" si="406"/>
        <v>4977.0862961113271</v>
      </c>
      <c r="J170" s="61">
        <f t="shared" si="406"/>
        <v>5977.0862961113271</v>
      </c>
      <c r="K170" s="61">
        <f t="shared" si="406"/>
        <v>4727.0862961113271</v>
      </c>
      <c r="L170" s="61">
        <f t="shared" si="406"/>
        <v>4727.0862961113271</v>
      </c>
      <c r="M170" s="61">
        <f t="shared" si="406"/>
        <v>4727.0862961113271</v>
      </c>
      <c r="N170" s="61">
        <f t="shared" si="406"/>
        <v>4727.0862961113271</v>
      </c>
      <c r="O170" s="61">
        <f t="shared" si="406"/>
        <v>4727.0862961113271</v>
      </c>
      <c r="P170" s="17">
        <f t="shared" si="406"/>
        <v>4727.0862961113271</v>
      </c>
      <c r="Q170" s="15">
        <f t="shared" si="406"/>
        <v>4727.0862961113271</v>
      </c>
      <c r="R170" s="15">
        <f t="shared" si="406"/>
        <v>4727.0862961113271</v>
      </c>
      <c r="S170" s="15">
        <f t="shared" si="406"/>
        <v>4727.0862961113271</v>
      </c>
      <c r="T170" s="15">
        <f t="shared" si="406"/>
        <v>4727.0862961113271</v>
      </c>
      <c r="U170" s="15">
        <f t="shared" si="406"/>
        <v>4727.0862961113271</v>
      </c>
      <c r="V170" s="15">
        <f t="shared" si="406"/>
        <v>4727.0862961113271</v>
      </c>
      <c r="W170" s="104">
        <f t="shared" si="406"/>
        <v>4727.0862961113271</v>
      </c>
      <c r="X170" s="15">
        <f t="shared" si="406"/>
        <v>4727.0862961113271</v>
      </c>
      <c r="Y170" s="15">
        <f t="shared" si="406"/>
        <v>4727.0862961113271</v>
      </c>
      <c r="Z170" s="15">
        <f t="shared" si="406"/>
        <v>4727.0862961113271</v>
      </c>
      <c r="AA170" s="15">
        <f t="shared" si="406"/>
        <v>4727.0862961113271</v>
      </c>
      <c r="AB170" s="15">
        <f t="shared" si="406"/>
        <v>4727.0862961113271</v>
      </c>
      <c r="AC170" s="15">
        <f t="shared" si="406"/>
        <v>4727.0862961113271</v>
      </c>
      <c r="AD170" s="15">
        <f t="shared" si="406"/>
        <v>4727.0862961113271</v>
      </c>
      <c r="AE170" s="15">
        <f t="shared" si="406"/>
        <v>4727.0862961113271</v>
      </c>
      <c r="AF170" s="15">
        <f t="shared" si="406"/>
        <v>4727.0862961113271</v>
      </c>
      <c r="AG170" s="15">
        <f t="shared" si="406"/>
        <v>4727.0862961113271</v>
      </c>
      <c r="AH170" s="15">
        <f t="shared" si="406"/>
        <v>4727.0862961113271</v>
      </c>
      <c r="AJ170" s="15">
        <f ca="1">AJ173+AJ172-AJ171</f>
        <v>4977.0862961113271</v>
      </c>
      <c r="AK170" s="15">
        <f t="shared" ref="AK170" ca="1" si="407">AK173+AK172-AK171</f>
        <v>4977.0862961113271</v>
      </c>
      <c r="AL170" s="15">
        <f t="shared" ref="AL170" ca="1" si="408">AL173+AL172-AL171</f>
        <v>4727.0862961113271</v>
      </c>
      <c r="AM170" s="16">
        <f t="shared" ref="AM170" ca="1" si="409">AM173+AM172-AM171</f>
        <v>4727.0862961113271</v>
      </c>
      <c r="AN170" s="15">
        <f t="shared" ref="AN170" ca="1" si="410">AN173+AN172-AN171</f>
        <v>4727.0862961113271</v>
      </c>
      <c r="AO170" s="15">
        <f t="shared" ref="AO170" ca="1" si="411">AO173+AO172-AO171</f>
        <v>4727.0862961113271</v>
      </c>
      <c r="AP170" s="15">
        <f t="shared" ref="AP170" ca="1" si="412">AP173+AP172-AP171</f>
        <v>4727.0862961113271</v>
      </c>
      <c r="AQ170" s="15">
        <f t="shared" ref="AQ170" ca="1" si="413">AQ173+AQ172-AQ171</f>
        <v>4727.0862961113271</v>
      </c>
      <c r="AR170" s="15">
        <f t="shared" ref="AR170" ca="1" si="414">AR173+AR172-AR171</f>
        <v>4727.0862961113271</v>
      </c>
      <c r="AS170" s="15">
        <f t="shared" ref="AS170" ca="1" si="415">AS173+AS172-AS171</f>
        <v>4727.0862961113271</v>
      </c>
      <c r="AT170" s="15">
        <f t="shared" ref="AT170" si="416">AT173+AT172-AT171</f>
        <v>0</v>
      </c>
      <c r="AU170" s="15">
        <f t="shared" ref="AU170" ca="1" si="417">AU173+AU172-AU171</f>
        <v>4977.0862961113271</v>
      </c>
      <c r="AV170" s="15">
        <f t="shared" ref="AV170" ca="1" si="418">AV173+AV172-AV171</f>
        <v>4727.0862961113271</v>
      </c>
      <c r="AW170" s="15">
        <f t="shared" ref="AW170" ca="1" si="419">AW173+AW172-AW171</f>
        <v>4727.0862961113271</v>
      </c>
    </row>
    <row r="171" spans="2:49" x14ac:dyDescent="0.25">
      <c r="C171" s="108" t="s">
        <v>212</v>
      </c>
      <c r="D171" s="1"/>
      <c r="E171" s="37">
        <v>0</v>
      </c>
      <c r="F171" s="37">
        <v>0</v>
      </c>
      <c r="G171" s="37">
        <v>0</v>
      </c>
      <c r="H171" s="37">
        <v>0</v>
      </c>
      <c r="I171" s="37">
        <v>1000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  <c r="P171" s="32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J171" s="15" cm="1">
        <f t="array" aca="1" ref="AJ171" ca="1">SUMPRODUCT(($E171:$AH171)*(AJ$3&amp;AJ$4&amp;AJ$5&amp;AJ$6=$E$3:$AH$3&amp;$E$4:$AH$4&amp;$E$5:$AH$5&amp;$E$6:$AH$6))</f>
        <v>0</v>
      </c>
      <c r="AK171" s="15" cm="1">
        <f t="array" aca="1" ref="AK171" ca="1">SUMPRODUCT(($E171:$AH171)*(AK$3=$E$3:$AH$3)*(AK$4=$E$4:$AH$4)*(AK$5=$E$5:$AH$5)*(AK$6=$E$6:$AH$6))</f>
        <v>1000</v>
      </c>
      <c r="AL171" s="15" cm="1">
        <f t="array" aca="1" ref="AL171" ca="1">SUMPRODUCT(($E171:$AH171)*(AL$3=$E$3:$AH$3)*(AL$4=$E$4:$AH$4)*(AL$5=$E$5:$AH$5)*(AL$6=$E$6:$AH$6))</f>
        <v>0</v>
      </c>
      <c r="AM171" s="16" cm="1">
        <f t="array" aca="1" ref="AM171" ca="1">SUMPRODUCT(($E171:$AH171)*(AM$3=$E$3:$AH$3)*(AM$4=$E$4:$AH$4)*(AM$5=$E$5:$AH$5)*(AM$6=$E$6:$AH$6))</f>
        <v>0</v>
      </c>
      <c r="AN171" s="15" cm="1">
        <f t="array" aca="1" ref="AN171" ca="1">SUMPRODUCT(($E171:$AH171)*(AN$3=$E$3:$AH$3)*(AN$4=$E$4:$AH$4)*(AN$5=$E$5:$AH$5)*(AN$6=$E$6:$AH$6))</f>
        <v>0</v>
      </c>
      <c r="AO171" s="15" cm="1">
        <f t="array" aca="1" ref="AO171" ca="1">SUMPRODUCT(($E171:$AH171)*(AO$3=$E$3:$AH$3)*(AO$4=$E$4:$AH$4)*(AO$5=$E$5:$AH$5)*(AO$6=$E$6:$AH$6))</f>
        <v>0</v>
      </c>
      <c r="AP171" s="15" cm="1">
        <f t="array" aca="1" ref="AP171" ca="1">SUMPRODUCT(($E171:$AH171)*(AP$3=$E$3:$AH$3)*(AP$4=$E$4:$AH$4)*(AP$5=$E$5:$AH$5)*(AP$6=$E$6:$AH$6))</f>
        <v>0</v>
      </c>
      <c r="AQ171" s="15" cm="1">
        <f t="array" aca="1" ref="AQ171" ca="1">SUMPRODUCT(($E171:$AH171)*(AQ$3=$E$3:$AH$3)*(AQ$4=$E$4:$AH$4)*(AQ$5=$E$5:$AH$5)*(AQ$6=$E$6:$AH$6))</f>
        <v>0</v>
      </c>
      <c r="AR171" s="15" cm="1">
        <f t="array" aca="1" ref="AR171" ca="1">SUMPRODUCT(($E171:$AH171)*(AR$3=$E$3:$AH$3)*(AR$4=$E$4:$AH$4)*(AR$5=$E$5:$AH$5)*(AR$6=$E$6:$AH$6))</f>
        <v>0</v>
      </c>
      <c r="AS171" s="15" cm="1">
        <f t="array" aca="1" ref="AS171" ca="1">SUMPRODUCT(($E171:$AH171)*(AS$3=$E$3:$AH$3)*(AS$4=$E$4:$AH$4)*(AS$5=$E$5:$AH$5)*(AS$6=$E$6:$AH$6))</f>
        <v>0</v>
      </c>
      <c r="AU171" s="15" cm="1">
        <f t="array" aca="1" ref="AU171" ca="1">SUMPRODUCT(($E171:$AH171)*(AU$5=$E$5:$AH$5))</f>
        <v>1000</v>
      </c>
      <c r="AV171" s="15" cm="1">
        <f t="array" aca="1" ref="AV171" ca="1">SUMPRODUCT(($E171:$AH171)*(AV$5=$E$5:$AH$5))</f>
        <v>0</v>
      </c>
      <c r="AW171" s="15" cm="1">
        <f t="array" aca="1" ref="AW171" ca="1">SUMPRODUCT(($E171:$AH171)*(AW$5=$E$5:$AH$5))</f>
        <v>0</v>
      </c>
    </row>
    <row r="172" spans="2:49" x14ac:dyDescent="0.25">
      <c r="C172" s="109" t="s">
        <v>213</v>
      </c>
      <c r="D172" s="23"/>
      <c r="E172" s="38">
        <v>0</v>
      </c>
      <c r="F172" s="38">
        <v>0</v>
      </c>
      <c r="G172" s="38">
        <v>0</v>
      </c>
      <c r="H172" s="38">
        <v>0</v>
      </c>
      <c r="I172" s="38">
        <v>0</v>
      </c>
      <c r="J172" s="38">
        <v>1250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9">
        <v>0</v>
      </c>
      <c r="Q172" s="165">
        <v>0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8">
        <v>0</v>
      </c>
      <c r="AF172" s="38">
        <v>0</v>
      </c>
      <c r="AG172" s="38">
        <v>0</v>
      </c>
      <c r="AH172" s="38">
        <v>0</v>
      </c>
      <c r="AJ172" s="29" cm="1">
        <f t="array" aca="1" ref="AJ172" ca="1">SUMPRODUCT(($E172:$AH172)*(AJ$3&amp;AJ$4&amp;AJ$5&amp;AJ$6=$E$3:$AH$3&amp;$E$4:$AH$4&amp;$E$5:$AH$5&amp;$E$6:$AH$6))</f>
        <v>0</v>
      </c>
      <c r="AK172" s="29" cm="1">
        <f t="array" aca="1" ref="AK172" ca="1">SUMPRODUCT(($E172:$AH172)*(AK$3=$E$3:$AH$3)*(AK$4=$E$4:$AH$4)*(AK$5=$E$5:$AH$5)*(AK$6=$E$6:$AH$6))</f>
        <v>1250</v>
      </c>
      <c r="AL172" s="29" cm="1">
        <f t="array" aca="1" ref="AL172" ca="1">SUMPRODUCT(($E172:$AH172)*(AL$3=$E$3:$AH$3)*(AL$4=$E$4:$AH$4)*(AL$5=$E$5:$AH$5)*(AL$6=$E$6:$AH$6))</f>
        <v>0</v>
      </c>
      <c r="AM172" s="240" cm="1">
        <f t="array" aca="1" ref="AM172" ca="1">SUMPRODUCT(($E172:$AH172)*(AM$3=$E$3:$AH$3)*(AM$4=$E$4:$AH$4)*(AM$5=$E$5:$AH$5)*(AM$6=$E$6:$AH$6))</f>
        <v>0</v>
      </c>
      <c r="AN172" s="29" cm="1">
        <f t="array" aca="1" ref="AN172" ca="1">SUMPRODUCT(($E172:$AH172)*(AN$3=$E$3:$AH$3)*(AN$4=$E$4:$AH$4)*(AN$5=$E$5:$AH$5)*(AN$6=$E$6:$AH$6))</f>
        <v>0</v>
      </c>
      <c r="AO172" s="29" cm="1">
        <f t="array" aca="1" ref="AO172" ca="1">SUMPRODUCT(($E172:$AH172)*(AO$3=$E$3:$AH$3)*(AO$4=$E$4:$AH$4)*(AO$5=$E$5:$AH$5)*(AO$6=$E$6:$AH$6))</f>
        <v>0</v>
      </c>
      <c r="AP172" s="29" cm="1">
        <f t="array" aca="1" ref="AP172" ca="1">SUMPRODUCT(($E172:$AH172)*(AP$3=$E$3:$AH$3)*(AP$4=$E$4:$AH$4)*(AP$5=$E$5:$AH$5)*(AP$6=$E$6:$AH$6))</f>
        <v>0</v>
      </c>
      <c r="AQ172" s="29" cm="1">
        <f t="array" aca="1" ref="AQ172" ca="1">SUMPRODUCT(($E172:$AH172)*(AQ$3=$E$3:$AH$3)*(AQ$4=$E$4:$AH$4)*(AQ$5=$E$5:$AH$5)*(AQ$6=$E$6:$AH$6))</f>
        <v>0</v>
      </c>
      <c r="AR172" s="29" cm="1">
        <f t="array" aca="1" ref="AR172" ca="1">SUMPRODUCT(($E172:$AH172)*(AR$3=$E$3:$AH$3)*(AR$4=$E$4:$AH$4)*(AR$5=$E$5:$AH$5)*(AR$6=$E$6:$AH$6))</f>
        <v>0</v>
      </c>
      <c r="AS172" s="29" cm="1">
        <f t="array" aca="1" ref="AS172" ca="1">SUMPRODUCT(($E172:$AH172)*(AS$3=$E$3:$AH$3)*(AS$4=$E$4:$AH$4)*(AS$5=$E$5:$AH$5)*(AS$6=$E$6:$AH$6))</f>
        <v>0</v>
      </c>
      <c r="AU172" s="29" cm="1">
        <f t="array" aca="1" ref="AU172" ca="1">SUMPRODUCT(($E172:$AH172)*(AU$5=$E$5:$AH$5))</f>
        <v>1250</v>
      </c>
      <c r="AV172" s="29" cm="1">
        <f t="array" aca="1" ref="AV172" ca="1">SUMPRODUCT(($E172:$AH172)*(AV$5=$E$5:$AH$5))</f>
        <v>0</v>
      </c>
      <c r="AW172" s="29" cm="1">
        <f t="array" aca="1" ref="AW172" ca="1">SUMPRODUCT(($E172:$AH172)*(AW$5=$E$5:$AH$5))</f>
        <v>0</v>
      </c>
    </row>
    <row r="173" spans="2:49" x14ac:dyDescent="0.25">
      <c r="B173" t="s">
        <v>231</v>
      </c>
      <c r="C173" s="2" t="s">
        <v>195</v>
      </c>
      <c r="D173" s="37">
        <v>4977.0862961113271</v>
      </c>
      <c r="E173" s="31">
        <v>4977.0862961113271</v>
      </c>
      <c r="F173" s="31">
        <v>4977.0862961113271</v>
      </c>
      <c r="G173" s="31">
        <v>4977.0862961113271</v>
      </c>
      <c r="H173" s="31">
        <v>4977.0862961113271</v>
      </c>
      <c r="I173" s="31">
        <v>5977.0862961113271</v>
      </c>
      <c r="J173" s="37">
        <v>4727.0862961113271</v>
      </c>
      <c r="K173" s="31">
        <v>4727.0862961113271</v>
      </c>
      <c r="L173" s="31">
        <v>4727.0862961113271</v>
      </c>
      <c r="M173" s="31">
        <v>4727.0862961113271</v>
      </c>
      <c r="N173" s="31">
        <v>4727.0862961113271</v>
      </c>
      <c r="O173" s="31">
        <v>4727.0862961113271</v>
      </c>
      <c r="P173" s="32">
        <v>4727.0862961113271</v>
      </c>
      <c r="Q173" s="15">
        <f t="shared" ref="Q173:AH173" si="420">Q170+Q171-Q172</f>
        <v>4727.0862961113271</v>
      </c>
      <c r="R173" s="15">
        <f t="shared" si="420"/>
        <v>4727.0862961113271</v>
      </c>
      <c r="S173" s="15">
        <f t="shared" si="420"/>
        <v>4727.0862961113271</v>
      </c>
      <c r="T173" s="15">
        <f t="shared" si="420"/>
        <v>4727.0862961113271</v>
      </c>
      <c r="U173" s="15">
        <f t="shared" si="420"/>
        <v>4727.0862961113271</v>
      </c>
      <c r="V173" s="15">
        <f t="shared" si="420"/>
        <v>4727.0862961113271</v>
      </c>
      <c r="W173" s="15">
        <f t="shared" si="420"/>
        <v>4727.0862961113271</v>
      </c>
      <c r="X173" s="15">
        <f t="shared" si="420"/>
        <v>4727.0862961113271</v>
      </c>
      <c r="Y173" s="15">
        <f t="shared" si="420"/>
        <v>4727.0862961113271</v>
      </c>
      <c r="Z173" s="15">
        <f t="shared" si="420"/>
        <v>4727.0862961113271</v>
      </c>
      <c r="AA173" s="15">
        <f t="shared" si="420"/>
        <v>4727.0862961113271</v>
      </c>
      <c r="AB173" s="15">
        <f t="shared" si="420"/>
        <v>4727.0862961113271</v>
      </c>
      <c r="AC173" s="15">
        <f t="shared" si="420"/>
        <v>4727.0862961113271</v>
      </c>
      <c r="AD173" s="15">
        <f t="shared" si="420"/>
        <v>4727.0862961113271</v>
      </c>
      <c r="AE173" s="15">
        <f t="shared" si="420"/>
        <v>4727.0862961113271</v>
      </c>
      <c r="AF173" s="15">
        <f t="shared" si="420"/>
        <v>4727.0862961113271</v>
      </c>
      <c r="AG173" s="15">
        <f t="shared" si="420"/>
        <v>4727.0862961113271</v>
      </c>
      <c r="AH173" s="15">
        <f t="shared" si="420"/>
        <v>4727.0862961113271</v>
      </c>
      <c r="AJ173" s="15" cm="1">
        <f t="array" aca="1" ref="AJ173" ca="1">INDEX($E173:$AH173,1,MATCH(AJ$3&amp;AJ$4&amp;AJ$5&amp;AJ$6,$E$3:$AH$3&amp;$E$4:$AH$4&amp;$E$5:$AH$5&amp;$E$6:$AH$6,1))</f>
        <v>4977.0862961113271</v>
      </c>
      <c r="AK173" s="15" cm="1">
        <f t="array" aca="1" ref="AK173" ca="1">INDEX($E173:$AH173,1,MATCH(AK$3&amp;AK$4&amp;AK$5&amp;AK$6,$E$3:$AH$3&amp;$E$4:$AH$4&amp;$E$5:$AH$5&amp;$E$6:$AH$6,1))</f>
        <v>4727.0862961113271</v>
      </c>
      <c r="AL173" s="15" cm="1">
        <f t="array" aca="1" ref="AL173" ca="1">INDEX($E173:$AH173,1,MATCH(AL$3&amp;AL$4&amp;AL$5&amp;AL$6,$E$3:$AH$3&amp;$E$4:$AH$4&amp;$E$5:$AH$5&amp;$E$6:$AH$6,1))</f>
        <v>4727.0862961113271</v>
      </c>
      <c r="AM173" s="16" cm="1">
        <f t="array" aca="1" ref="AM173" ca="1">INDEX($E173:$AH173,1,MATCH(AM$3&amp;AM$4&amp;AM$5&amp;AM$6,$E$3:$AH$3&amp;$E$4:$AH$4&amp;$E$5:$AH$5&amp;$E$6:$AH$6,1))</f>
        <v>4727.0862961113271</v>
      </c>
      <c r="AN173" s="15" cm="1">
        <f t="array" aca="1" ref="AN173" ca="1">INDEX($E173:$AH173,1,MATCH(AN$3&amp;AN$4&amp;AN$5&amp;AN$6,$E$3:$AH$3&amp;$E$4:$AH$4&amp;$E$5:$AH$5&amp;$E$6:$AH$6,1))</f>
        <v>4727.0862961113271</v>
      </c>
      <c r="AO173" s="15" cm="1">
        <f t="array" aca="1" ref="AO173" ca="1">INDEX($E173:$AH173,1,MATCH(AO$3&amp;AO$4&amp;AO$5&amp;AO$6,$E$3:$AH$3&amp;$E$4:$AH$4&amp;$E$5:$AH$5&amp;$E$6:$AH$6,1))</f>
        <v>4727.0862961113271</v>
      </c>
      <c r="AP173" s="15" cm="1">
        <f t="array" aca="1" ref="AP173" ca="1">INDEX($E173:$AH173,1,MATCH(AP$3&amp;AP$4&amp;AP$5&amp;AP$6,$E$3:$AH$3&amp;$E$4:$AH$4&amp;$E$5:$AH$5&amp;$E$6:$AH$6,1))</f>
        <v>4727.0862961113271</v>
      </c>
      <c r="AQ173" s="15" cm="1">
        <f t="array" aca="1" ref="AQ173" ca="1">INDEX($E173:$AH173,1,MATCH(AQ$3&amp;AQ$4&amp;AQ$5&amp;AQ$6,$E$3:$AH$3&amp;$E$4:$AH$4&amp;$E$5:$AH$5&amp;$E$6:$AH$6,1))</f>
        <v>4727.0862961113271</v>
      </c>
      <c r="AR173" s="15" cm="1">
        <f t="array" aca="1" ref="AR173" ca="1">INDEX($E173:$AH173,1,MATCH(AR$3&amp;AR$4&amp;AR$5&amp;AR$6,$E$3:$AH$3&amp;$E$4:$AH$4&amp;$E$5:$AH$5&amp;$E$6:$AH$6,1))</f>
        <v>4727.0862961113271</v>
      </c>
      <c r="AS173" s="15" cm="1">
        <f t="array" aca="1" ref="AS173" ca="1">INDEX($E173:$AH173,1,MATCH(AS$3&amp;AS$4&amp;AS$5&amp;AS$6,$E$3:$AH$3&amp;$E$4:$AH$4&amp;$E$5:$AH$5&amp;$E$6:$AH$6,1))</f>
        <v>4727.0862961113271</v>
      </c>
      <c r="AU173" s="13">
        <f ca="1">INDEX($E173:$AH173,1,MATCH(AU$5,$E$5:$AH$5,1))</f>
        <v>4727.0862961113271</v>
      </c>
      <c r="AV173" s="13">
        <f t="shared" ref="AV173:AW173" ca="1" si="421">INDEX($E173:$AH173,1,MATCH(AV$5,$E$5:$AH$5,1))</f>
        <v>4727.0862961113271</v>
      </c>
      <c r="AW173" s="13">
        <f t="shared" ca="1" si="421"/>
        <v>4727.0862961113271</v>
      </c>
    </row>
    <row r="174" spans="2:49" x14ac:dyDescent="0.25">
      <c r="C174" s="2"/>
      <c r="D174" s="2"/>
      <c r="E174" s="2"/>
      <c r="F174" s="15"/>
      <c r="G174" s="15"/>
      <c r="H174" s="15"/>
      <c r="I174" s="15"/>
      <c r="J174" s="15"/>
      <c r="K174" s="13"/>
      <c r="L174" s="15"/>
      <c r="M174" s="15"/>
      <c r="N174" s="15"/>
      <c r="O174" s="15"/>
      <c r="P174" s="16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M174" s="8"/>
    </row>
    <row r="175" spans="2:49" x14ac:dyDescent="0.25">
      <c r="C175" s="2" t="s">
        <v>450</v>
      </c>
      <c r="D175" s="245"/>
      <c r="E175" s="245">
        <f>Summary_Income_Stmt!E60</f>
        <v>93.674433463274823</v>
      </c>
      <c r="F175" s="33">
        <f>Summary_Income_Stmt!F60</f>
        <v>-47.651164828941283</v>
      </c>
      <c r="G175" s="33">
        <f>Summary_Income_Stmt!G60</f>
        <v>30.228784870569857</v>
      </c>
      <c r="H175" s="33">
        <f>Summary_Income_Stmt!H60</f>
        <v>92.201128566645394</v>
      </c>
      <c r="I175" s="33">
        <f>Summary_Income_Stmt!I60</f>
        <v>131.50891256390335</v>
      </c>
      <c r="J175" s="56">
        <f>Summary_Income_Stmt!J60</f>
        <v>358.75630859393794</v>
      </c>
      <c r="K175" s="33">
        <f>Summary_Income_Stmt!K60</f>
        <v>125.98108653097736</v>
      </c>
      <c r="L175" s="33">
        <f>Summary_Income_Stmt!L60</f>
        <v>82.207326518566703</v>
      </c>
      <c r="M175" s="33">
        <f>Summary_Income_Stmt!M60</f>
        <v>-286.61672153175306</v>
      </c>
      <c r="N175" s="33">
        <f>Summary_Income_Stmt!N60</f>
        <v>326.70809803055857</v>
      </c>
      <c r="O175" s="33">
        <f>Summary_Income_Stmt!O60</f>
        <v>232.1671419990561</v>
      </c>
      <c r="P175" s="34">
        <f>Summary_Income_Stmt!P60</f>
        <v>209.25410708482505</v>
      </c>
      <c r="Q175" s="33">
        <f>Summary_Income_Stmt!Q60</f>
        <v>159.56412113087643</v>
      </c>
      <c r="R175" s="33">
        <f>Summary_Income_Stmt!R60</f>
        <v>17.124202467542805</v>
      </c>
      <c r="S175" s="33">
        <f>Summary_Income_Stmt!S60</f>
        <v>37.748652293895731</v>
      </c>
      <c r="T175" s="33">
        <f>Summary_Income_Stmt!T60</f>
        <v>76.221956492754117</v>
      </c>
      <c r="U175" s="33">
        <f>Summary_Income_Stmt!U60</f>
        <v>125.35863819346437</v>
      </c>
      <c r="V175" s="33">
        <f>Summary_Income_Stmt!V60</f>
        <v>303.18132068353901</v>
      </c>
      <c r="W175" s="33">
        <f>Summary_Income_Stmt!W60</f>
        <v>115.5843330027781</v>
      </c>
      <c r="X175" s="33">
        <f>Summary_Income_Stmt!X60</f>
        <v>53.095060933976953</v>
      </c>
      <c r="Y175" s="33">
        <f>Summary_Income_Stmt!Y60</f>
        <v>-316.69319914012891</v>
      </c>
      <c r="Z175" s="33">
        <f>Summary_Income_Stmt!Z60</f>
        <v>314.66900198853017</v>
      </c>
      <c r="AA175" s="33">
        <f>Summary_Income_Stmt!AA60</f>
        <v>204.19866214689401</v>
      </c>
      <c r="AB175" s="33">
        <f>Summary_Income_Stmt!AB60</f>
        <v>245.52959314202522</v>
      </c>
      <c r="AC175" s="33">
        <f>Summary_Income_Stmt!AC60</f>
        <v>151.59383116055633</v>
      </c>
      <c r="AD175" s="33">
        <f>Summary_Income_Stmt!AD60</f>
        <v>10.709755313739411</v>
      </c>
      <c r="AE175" s="33">
        <f>Summary_Income_Stmt!AE60</f>
        <v>49.311990516986299</v>
      </c>
      <c r="AF175" s="33">
        <f>Summary_Income_Stmt!AF60</f>
        <v>85.917480171713379</v>
      </c>
      <c r="AG175" s="33">
        <f>Summary_Income_Stmt!AG60</f>
        <v>137.12700868239577</v>
      </c>
      <c r="AH175" s="33">
        <f>Summary_Income_Stmt!AH60</f>
        <v>324.54431719389407</v>
      </c>
      <c r="AJ175" s="15" cm="1">
        <f t="array" aca="1" ref="AJ175" ca="1">SUMPRODUCT(($E175:$AH175)*(AJ$3&amp;AJ$4&amp;AJ$5&amp;AJ$6=$E$3:$AH$3&amp;$E$4:$AH$4&amp;$E$5:$AH$5&amp;$E$6:$AH$6))</f>
        <v>76.252053504903401</v>
      </c>
      <c r="AK175" s="15" cm="1">
        <f t="array" aca="1" ref="AK175" ca="1">SUMPRODUCT(($E175:$AH175)*(AK$3=$E$3:$AH$3)*(AK$4=$E$4:$AH$4)*(AK$5=$E$5:$AH$5)*(AK$6=$E$6:$AH$6))</f>
        <v>582.46634972448669</v>
      </c>
      <c r="AL175" s="15" cm="1">
        <f t="array" aca="1" ref="AL175" ca="1">SUMPRODUCT(($E175:$AH175)*(AL$3=$E$3:$AH$3)*(AL$4=$E$4:$AH$4)*(AL$5=$E$5:$AH$5)*(AL$6=$E$6:$AH$6))</f>
        <v>-78.42830848220899</v>
      </c>
      <c r="AM175" s="16" cm="1">
        <f t="array" aca="1" ref="AM175" ca="1">SUMPRODUCT(($E175:$AH175)*(AM$3=$E$3:$AH$3)*(AM$4=$E$4:$AH$4)*(AM$5=$E$5:$AH$5)*(AM$6=$E$6:$AH$6))</f>
        <v>768.12934711443972</v>
      </c>
      <c r="AN175" s="15" cm="1">
        <f t="array" aca="1" ref="AN175" ca="1">SUMPRODUCT(($E175:$AH175)*(AN$3=$E$3:$AH$3)*(AN$4=$E$4:$AH$4)*(AN$5=$E$5:$AH$5)*(AN$6=$E$6:$AH$6))</f>
        <v>214.43697589231496</v>
      </c>
      <c r="AO175" s="15" cm="1">
        <f t="array" aca="1" ref="AO175" ca="1">SUMPRODUCT(($E175:$AH175)*(AO$3=$E$3:$AH$3)*(AO$4=$E$4:$AH$4)*(AO$5=$E$5:$AH$5)*(AO$6=$E$6:$AH$6))</f>
        <v>504.7619153697575</v>
      </c>
      <c r="AP175" s="15" cm="1">
        <f t="array" aca="1" ref="AP175" ca="1">SUMPRODUCT(($E175:$AH175)*(AP$3=$E$3:$AH$3)*(AP$4=$E$4:$AH$4)*(AP$5=$E$5:$AH$5)*(AP$6=$E$6:$AH$6))</f>
        <v>-148.01380520337386</v>
      </c>
      <c r="AQ175" s="15" cm="1">
        <f t="array" aca="1" ref="AQ175" ca="1">SUMPRODUCT(($E175:$AH175)*(AQ$3=$E$3:$AH$3)*(AQ$4=$E$4:$AH$4)*(AQ$5=$E$5:$AH$5)*(AQ$6=$E$6:$AH$6))</f>
        <v>764.3972572774494</v>
      </c>
      <c r="AR175" s="15" cm="1">
        <f t="array" aca="1" ref="AR175" ca="1">SUMPRODUCT(($E175:$AH175)*(AR$3=$E$3:$AH$3)*(AR$4=$E$4:$AH$4)*(AR$5=$E$5:$AH$5)*(AR$6=$E$6:$AH$6))</f>
        <v>211.61557699128204</v>
      </c>
      <c r="AS175" s="15" cm="1">
        <f t="array" aca="1" ref="AS175" ca="1">SUMPRODUCT(($E175:$AH175)*(AS$3=$E$3:$AH$3)*(AS$4=$E$4:$AH$4)*(AS$5=$E$5:$AH$5)*(AS$6=$E$6:$AH$6))</f>
        <v>547.58880604800322</v>
      </c>
      <c r="AU175" s="15" cm="1">
        <f t="array" aca="1" ref="AU175" ca="1">SUMPRODUCT(($E175:$AH175)*(AU$5=$E$5:$AH$5))</f>
        <v>658.71840322939011</v>
      </c>
      <c r="AV175" s="15" cm="1">
        <f t="array" aca="1" ref="AV175" ca="1">SUMPRODUCT(($E175:$AH175)*(AV$5=$E$5:$AH$5))</f>
        <v>1408.8999298943031</v>
      </c>
      <c r="AW175" s="15" cm="1">
        <f t="array" aca="1" ref="AW175" ca="1">SUMPRODUCT(($E175:$AH175)*(AW$5=$E$5:$AH$5))</f>
        <v>1375.5878351133608</v>
      </c>
    </row>
    <row r="176" spans="2:49" x14ac:dyDescent="0.25">
      <c r="C176" s="2" t="s">
        <v>453</v>
      </c>
      <c r="D176" s="2"/>
      <c r="E176" s="354"/>
      <c r="F176" s="355"/>
      <c r="G176" s="355"/>
      <c r="H176" s="355"/>
      <c r="I176" s="355"/>
      <c r="J176" s="355"/>
      <c r="K176" s="356"/>
      <c r="L176" s="355"/>
      <c r="M176" s="355"/>
      <c r="N176" s="355"/>
      <c r="O176" s="355"/>
      <c r="P176" s="16">
        <f>SUM(E175:P175)</f>
        <v>1348.419441861621</v>
      </c>
      <c r="Q176" s="15">
        <f t="shared" ref="Q176:AH176" si="422">SUM(F175:Q175)</f>
        <v>1414.3091295292224</v>
      </c>
      <c r="R176" s="15">
        <f t="shared" si="422"/>
        <v>1479.0844968257065</v>
      </c>
      <c r="S176" s="15">
        <f t="shared" si="422"/>
        <v>1486.6043642490324</v>
      </c>
      <c r="T176" s="15">
        <f t="shared" si="422"/>
        <v>1470.6251921751409</v>
      </c>
      <c r="U176" s="15">
        <f t="shared" si="422"/>
        <v>1464.474917804702</v>
      </c>
      <c r="V176" s="15">
        <f t="shared" si="422"/>
        <v>1408.8999298943031</v>
      </c>
      <c r="W176" s="15">
        <f t="shared" si="422"/>
        <v>1398.5031763661038</v>
      </c>
      <c r="X176" s="15">
        <f t="shared" si="422"/>
        <v>1369.3909107815141</v>
      </c>
      <c r="Y176" s="15">
        <f t="shared" si="422"/>
        <v>1339.3144331731385</v>
      </c>
      <c r="Z176" s="15">
        <f t="shared" si="422"/>
        <v>1327.2753371311101</v>
      </c>
      <c r="AA176" s="15">
        <f t="shared" si="422"/>
        <v>1299.306857278948</v>
      </c>
      <c r="AB176" s="15">
        <f t="shared" si="422"/>
        <v>1335.5823433361481</v>
      </c>
      <c r="AC176" s="15">
        <f t="shared" si="422"/>
        <v>1327.6120533658279</v>
      </c>
      <c r="AD176" s="15">
        <f t="shared" si="422"/>
        <v>1321.1976062120245</v>
      </c>
      <c r="AE176" s="15">
        <f t="shared" si="422"/>
        <v>1332.7609444351151</v>
      </c>
      <c r="AF176" s="15">
        <f t="shared" si="422"/>
        <v>1342.4564681140744</v>
      </c>
      <c r="AG176" s="15">
        <f t="shared" si="422"/>
        <v>1354.2248386030058</v>
      </c>
      <c r="AH176" s="15">
        <f t="shared" si="422"/>
        <v>1375.5878351133608</v>
      </c>
      <c r="AJ176" s="352"/>
      <c r="AK176" s="352"/>
      <c r="AL176" s="352"/>
      <c r="AM176" s="357"/>
      <c r="AN176" s="352"/>
      <c r="AO176" s="352"/>
      <c r="AP176" s="352"/>
      <c r="AQ176" s="352"/>
      <c r="AR176" s="352"/>
      <c r="AS176" s="352"/>
      <c r="AU176" s="352"/>
      <c r="AV176" s="352"/>
      <c r="AW176" s="352"/>
    </row>
    <row r="177" spans="1:49" x14ac:dyDescent="0.25">
      <c r="C177" s="2" t="s">
        <v>454</v>
      </c>
      <c r="D177" s="2"/>
      <c r="E177" s="354"/>
      <c r="F177" s="355"/>
      <c r="G177" s="355"/>
      <c r="H177" s="355"/>
      <c r="I177" s="355"/>
      <c r="J177" s="355"/>
      <c r="K177" s="356"/>
      <c r="L177" s="355"/>
      <c r="M177" s="355"/>
      <c r="N177" s="355"/>
      <c r="O177" s="355"/>
      <c r="P177" s="246">
        <f>P173/P176</f>
        <v>3.5056497624990755</v>
      </c>
      <c r="Q177" s="247">
        <f t="shared" ref="Q177:AH177" si="423">Q173/Q176</f>
        <v>3.3423289134001566</v>
      </c>
      <c r="R177" s="247">
        <f t="shared" si="423"/>
        <v>3.1959541907553111</v>
      </c>
      <c r="S177" s="247">
        <f t="shared" si="423"/>
        <v>3.1797877160808987</v>
      </c>
      <c r="T177" s="247">
        <f t="shared" si="423"/>
        <v>3.2143379028613599</v>
      </c>
      <c r="U177" s="247">
        <f t="shared" si="423"/>
        <v>3.2278369800948119</v>
      </c>
      <c r="V177" s="247">
        <f t="shared" si="423"/>
        <v>3.355161140838411</v>
      </c>
      <c r="W177" s="247">
        <f t="shared" si="423"/>
        <v>3.3801040827052495</v>
      </c>
      <c r="X177" s="247">
        <f t="shared" si="423"/>
        <v>3.4519626637609049</v>
      </c>
      <c r="Y177" s="247">
        <f t="shared" si="423"/>
        <v>3.5294820835401524</v>
      </c>
      <c r="Z177" s="247">
        <f t="shared" si="423"/>
        <v>3.5614963706994422</v>
      </c>
      <c r="AA177" s="247">
        <f t="shared" si="423"/>
        <v>3.6381600463580637</v>
      </c>
      <c r="AB177" s="247">
        <f t="shared" si="423"/>
        <v>3.5393447058483485</v>
      </c>
      <c r="AC177" s="247">
        <f t="shared" si="423"/>
        <v>3.5605930844985805</v>
      </c>
      <c r="AD177" s="247">
        <f t="shared" si="423"/>
        <v>3.5778798522533264</v>
      </c>
      <c r="AE177" s="247">
        <f t="shared" si="423"/>
        <v>3.5468373498256147</v>
      </c>
      <c r="AF177" s="247">
        <f t="shared" si="423"/>
        <v>3.5212212897689628</v>
      </c>
      <c r="AG177" s="247">
        <f t="shared" si="423"/>
        <v>3.490621469465665</v>
      </c>
      <c r="AH177" s="247">
        <f t="shared" si="423"/>
        <v>3.4364118200578391</v>
      </c>
      <c r="AJ177" s="353"/>
      <c r="AK177" s="353"/>
      <c r="AL177" s="353"/>
      <c r="AM177" s="358"/>
      <c r="AN177" s="353"/>
      <c r="AO177" s="353"/>
      <c r="AP177" s="353"/>
      <c r="AQ177" s="353"/>
      <c r="AR177" s="353"/>
      <c r="AS177" s="353"/>
      <c r="AU177" s="353"/>
      <c r="AV177" s="247">
        <f t="shared" ref="AV177:AW177" ca="1" si="424">AV173/AV175</f>
        <v>3.355161140838411</v>
      </c>
      <c r="AW177" s="247">
        <f t="shared" ca="1" si="424"/>
        <v>3.4364118200578391</v>
      </c>
    </row>
    <row r="178" spans="1:49" x14ac:dyDescent="0.25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8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M178" s="8"/>
    </row>
    <row r="179" spans="1:49" x14ac:dyDescent="0.25">
      <c r="C179" s="30" t="s">
        <v>164</v>
      </c>
      <c r="D179" s="30"/>
      <c r="E179" s="45" t="str">
        <f t="shared" ref="E179:AH179" si="425">E$9</f>
        <v>Jul-20A</v>
      </c>
      <c r="F179" s="45" t="str">
        <f t="shared" si="425"/>
        <v>Aug-20A</v>
      </c>
      <c r="G179" s="45" t="str">
        <f t="shared" si="425"/>
        <v>Sep-20A</v>
      </c>
      <c r="H179" s="45" t="str">
        <f t="shared" si="425"/>
        <v>Oct-20A</v>
      </c>
      <c r="I179" s="45" t="str">
        <f t="shared" si="425"/>
        <v>Nov-20A</v>
      </c>
      <c r="J179" s="45" t="str">
        <f t="shared" si="425"/>
        <v>Dec-20A</v>
      </c>
      <c r="K179" s="45" t="str">
        <f t="shared" si="425"/>
        <v>Jan-21A</v>
      </c>
      <c r="L179" s="45" t="str">
        <f t="shared" si="425"/>
        <v>Feb-21A</v>
      </c>
      <c r="M179" s="45" t="str">
        <f t="shared" si="425"/>
        <v>Mar-21A</v>
      </c>
      <c r="N179" s="45" t="str">
        <f t="shared" si="425"/>
        <v>Apr-21A</v>
      </c>
      <c r="O179" s="45" t="str">
        <f t="shared" si="425"/>
        <v>May-21A</v>
      </c>
      <c r="P179" s="46" t="str">
        <f t="shared" si="425"/>
        <v>Jun-21A</v>
      </c>
      <c r="Q179" s="45" t="str">
        <f t="shared" si="425"/>
        <v>Jul-21F</v>
      </c>
      <c r="R179" s="45" t="str">
        <f t="shared" si="425"/>
        <v>Aug-21F</v>
      </c>
      <c r="S179" s="45" t="str">
        <f t="shared" si="425"/>
        <v>Sep-21F</v>
      </c>
      <c r="T179" s="45" t="str">
        <f t="shared" si="425"/>
        <v>Oct-21F</v>
      </c>
      <c r="U179" s="45" t="str">
        <f t="shared" si="425"/>
        <v>Nov-21F</v>
      </c>
      <c r="V179" s="45" t="str">
        <f t="shared" si="425"/>
        <v>Dec-21F</v>
      </c>
      <c r="W179" s="45" t="str">
        <f t="shared" si="425"/>
        <v>Jan-22F</v>
      </c>
      <c r="X179" s="45" t="str">
        <f t="shared" si="425"/>
        <v>Feb-22F</v>
      </c>
      <c r="Y179" s="45" t="str">
        <f t="shared" si="425"/>
        <v>Mar-22F</v>
      </c>
      <c r="Z179" s="45" t="str">
        <f t="shared" si="425"/>
        <v>Apr-22F</v>
      </c>
      <c r="AA179" s="45" t="str">
        <f t="shared" si="425"/>
        <v>May-22F</v>
      </c>
      <c r="AB179" s="45" t="str">
        <f t="shared" si="425"/>
        <v>Jun-22F</v>
      </c>
      <c r="AC179" s="45" t="str">
        <f t="shared" si="425"/>
        <v>Jul-22F</v>
      </c>
      <c r="AD179" s="45" t="str">
        <f t="shared" si="425"/>
        <v>Aug-22F</v>
      </c>
      <c r="AE179" s="45" t="str">
        <f t="shared" si="425"/>
        <v>Sep-22F</v>
      </c>
      <c r="AF179" s="45" t="str">
        <f t="shared" si="425"/>
        <v>Oct-22F</v>
      </c>
      <c r="AG179" s="45" t="str">
        <f t="shared" si="425"/>
        <v>Nov-22F</v>
      </c>
      <c r="AH179" s="45" t="str">
        <f t="shared" si="425"/>
        <v>Dec-22F</v>
      </c>
      <c r="AJ179" s="45" t="str">
        <f ca="1">AJ$10</f>
        <v>Q3'20A</v>
      </c>
      <c r="AK179" s="45" t="str">
        <f t="shared" ref="AK179:AW179" ca="1" si="426">AK$10</f>
        <v>Q4'20A</v>
      </c>
      <c r="AL179" s="45" t="str">
        <f t="shared" ca="1" si="426"/>
        <v>Q1'21A</v>
      </c>
      <c r="AM179" s="46" t="str">
        <f t="shared" ca="1" si="426"/>
        <v>Q2'21A</v>
      </c>
      <c r="AN179" s="45" t="str">
        <f t="shared" ca="1" si="426"/>
        <v>Q3'21F</v>
      </c>
      <c r="AO179" s="45" t="str">
        <f t="shared" ca="1" si="426"/>
        <v>Q4'21F</v>
      </c>
      <c r="AP179" s="45" t="str">
        <f t="shared" ca="1" si="426"/>
        <v>Q1'22F</v>
      </c>
      <c r="AQ179" s="45" t="str">
        <f t="shared" ca="1" si="426"/>
        <v>Q2'22F</v>
      </c>
      <c r="AR179" s="45" t="str">
        <f t="shared" ca="1" si="426"/>
        <v>Q3'22F</v>
      </c>
      <c r="AS179" s="45" t="str">
        <f t="shared" ca="1" si="426"/>
        <v>Q4'22F</v>
      </c>
      <c r="AU179" s="45" t="str">
        <f t="shared" ca="1" si="426"/>
        <v>FY20</v>
      </c>
      <c r="AV179" s="45" t="str">
        <f t="shared" ca="1" si="426"/>
        <v>FY21</v>
      </c>
      <c r="AW179" s="45" t="str">
        <f t="shared" ca="1" si="426"/>
        <v>FY22</v>
      </c>
    </row>
    <row r="180" spans="1:49" x14ac:dyDescent="0.25">
      <c r="B180" t="s">
        <v>231</v>
      </c>
      <c r="C180" s="2" t="s">
        <v>195</v>
      </c>
      <c r="D180" s="37">
        <v>469.13861509013924</v>
      </c>
      <c r="E180" s="31">
        <v>472.49803976797421</v>
      </c>
      <c r="F180" s="31">
        <v>428.23078533982778</v>
      </c>
      <c r="G180" s="31">
        <v>386.32046631029652</v>
      </c>
      <c r="H180" s="31">
        <v>370.67968318295897</v>
      </c>
      <c r="I180" s="31">
        <v>372.0310479592531</v>
      </c>
      <c r="J180" s="37">
        <v>367.0310479592531</v>
      </c>
      <c r="K180" s="31">
        <f>J180+5</f>
        <v>372.0310479592531</v>
      </c>
      <c r="L180" s="31">
        <f>K180+55</f>
        <v>427.0310479592531</v>
      </c>
      <c r="M180" s="31">
        <v>513.97166640530725</v>
      </c>
      <c r="N180" s="31">
        <v>437.15497883393681</v>
      </c>
      <c r="O180" s="31">
        <v>461.75943938947859</v>
      </c>
      <c r="P180" s="32">
        <v>503.16528505291183</v>
      </c>
      <c r="Q180" s="15">
        <f>Q183*Q182</f>
        <v>468.99916452701882</v>
      </c>
      <c r="R180" s="15">
        <f t="shared" ref="R180:AH180" si="427">R183*R182</f>
        <v>434.51811979168093</v>
      </c>
      <c r="S180" s="15">
        <f t="shared" si="427"/>
        <v>400.66003231202831</v>
      </c>
      <c r="T180" s="15">
        <f t="shared" si="427"/>
        <v>394.01586071933633</v>
      </c>
      <c r="U180" s="15">
        <f t="shared" si="427"/>
        <v>385.20997413507041</v>
      </c>
      <c r="V180" s="15">
        <f t="shared" si="427"/>
        <v>452.30199590796593</v>
      </c>
      <c r="W180" s="15">
        <f t="shared" si="427"/>
        <v>452.87366347604058</v>
      </c>
      <c r="X180" s="15">
        <f t="shared" si="427"/>
        <v>409.12273219207469</v>
      </c>
      <c r="Y180" s="15">
        <f t="shared" si="427"/>
        <v>533.57594888204972</v>
      </c>
      <c r="Z180" s="15">
        <f t="shared" si="427"/>
        <v>483.97485047795158</v>
      </c>
      <c r="AA180" s="15">
        <f t="shared" si="427"/>
        <v>487.73803117476228</v>
      </c>
      <c r="AB180" s="15">
        <f t="shared" si="427"/>
        <v>521.22929387798456</v>
      </c>
      <c r="AC180" s="15">
        <f t="shared" si="427"/>
        <v>497.22706506180936</v>
      </c>
      <c r="AD180" s="15">
        <f t="shared" si="427"/>
        <v>449.47433693324365</v>
      </c>
      <c r="AE180" s="15">
        <f t="shared" si="427"/>
        <v>415.65827446283112</v>
      </c>
      <c r="AF180" s="15">
        <f t="shared" si="427"/>
        <v>410.4533866318074</v>
      </c>
      <c r="AG180" s="15">
        <f t="shared" si="427"/>
        <v>401.00200485854259</v>
      </c>
      <c r="AH180" s="15">
        <f t="shared" si="427"/>
        <v>469.95879157056822</v>
      </c>
      <c r="AJ180" s="15" cm="1">
        <f t="array" aca="1" ref="AJ180" ca="1">INDEX($E180:$AH180,1,MATCH(AJ$3&amp;AJ$4&amp;AJ$5&amp;AJ$6,$E$3:$AH$3&amp;$E$4:$AH$4&amp;$E$5:$AH$5&amp;$E$6:$AH$6,1))</f>
        <v>386.32046631029652</v>
      </c>
      <c r="AK180" s="15" cm="1">
        <f t="array" aca="1" ref="AK180" ca="1">INDEX($E180:$AH180,1,MATCH(AK$3&amp;AK$4&amp;AK$5&amp;AK$6,$E$3:$AH$3&amp;$E$4:$AH$4&amp;$E$5:$AH$5&amp;$E$6:$AH$6,1))</f>
        <v>367.0310479592531</v>
      </c>
      <c r="AL180" s="15" cm="1">
        <f t="array" aca="1" ref="AL180" ca="1">INDEX($E180:$AH180,1,MATCH(AL$3&amp;AL$4&amp;AL$5&amp;AL$6,$E$3:$AH$3&amp;$E$4:$AH$4&amp;$E$5:$AH$5&amp;$E$6:$AH$6,1))</f>
        <v>513.97166640530725</v>
      </c>
      <c r="AM180" s="351" cm="1">
        <f t="array" aca="1" ref="AM180" ca="1">INDEX($E180:$AH180,1,MATCH(AM$3&amp;AM$4&amp;AM$5&amp;AM$6,$E$3:$AH$3&amp;$E$4:$AH$4&amp;$E$5:$AH$5&amp;$E$6:$AH$6,1))</f>
        <v>503.16528505291183</v>
      </c>
      <c r="AN180" s="15" cm="1">
        <f t="array" aca="1" ref="AN180" ca="1">INDEX($E180:$AH180,1,MATCH(AN$3&amp;AN$4&amp;AN$5&amp;AN$6,$E$3:$AH$3&amp;$E$4:$AH$4&amp;$E$5:$AH$5&amp;$E$6:$AH$6,1))</f>
        <v>400.66003231202831</v>
      </c>
      <c r="AO180" s="15" cm="1">
        <f t="array" aca="1" ref="AO180" ca="1">INDEX($E180:$AH180,1,MATCH(AO$3&amp;AO$4&amp;AO$5&amp;AO$6,$E$3:$AH$3&amp;$E$4:$AH$4&amp;$E$5:$AH$5&amp;$E$6:$AH$6,1))</f>
        <v>452.30199590796593</v>
      </c>
      <c r="AP180" s="15" cm="1">
        <f t="array" aca="1" ref="AP180" ca="1">INDEX($E180:$AH180,1,MATCH(AP$3&amp;AP$4&amp;AP$5&amp;AP$6,$E$3:$AH$3&amp;$E$4:$AH$4&amp;$E$5:$AH$5&amp;$E$6:$AH$6,1))</f>
        <v>533.57594888204972</v>
      </c>
      <c r="AQ180" s="15" cm="1">
        <f t="array" aca="1" ref="AQ180" ca="1">INDEX($E180:$AH180,1,MATCH(AQ$3&amp;AQ$4&amp;AQ$5&amp;AQ$6,$E$3:$AH$3&amp;$E$4:$AH$4&amp;$E$5:$AH$5&amp;$E$6:$AH$6,1))</f>
        <v>521.22929387798456</v>
      </c>
      <c r="AR180" s="15" cm="1">
        <f t="array" aca="1" ref="AR180" ca="1">INDEX($E180:$AH180,1,MATCH(AR$3&amp;AR$4&amp;AR$5&amp;AR$6,$E$3:$AH$3&amp;$E$4:$AH$4&amp;$E$5:$AH$5&amp;$E$6:$AH$6,1))</f>
        <v>415.65827446283112</v>
      </c>
      <c r="AS180" s="15" cm="1">
        <f t="array" aca="1" ref="AS180" ca="1">INDEX($E180:$AH180,1,MATCH(AS$3&amp;AS$4&amp;AS$5&amp;AS$6,$E$3:$AH$3&amp;$E$4:$AH$4&amp;$E$5:$AH$5&amp;$E$6:$AH$6,1))</f>
        <v>469.95879157056822</v>
      </c>
      <c r="AU180" s="13">
        <f ca="1">INDEX($E180:$AH180,1,MATCH(AU$5,$E$5:$AH$5,1))</f>
        <v>367.0310479592531</v>
      </c>
      <c r="AV180" s="13">
        <f t="shared" ref="AV180:AW180" ca="1" si="428">INDEX($E180:$AH180,1,MATCH(AV$5,$E$5:$AH$5,1))</f>
        <v>452.30199590796593</v>
      </c>
      <c r="AW180" s="13">
        <f t="shared" ca="1" si="428"/>
        <v>469.95879157056822</v>
      </c>
    </row>
    <row r="181" spans="1:49" x14ac:dyDescent="0.25">
      <c r="C181" s="2"/>
      <c r="D181" s="2"/>
      <c r="E181" s="13"/>
      <c r="F181" s="15"/>
      <c r="G181" s="15"/>
      <c r="H181" s="15"/>
      <c r="I181" s="15"/>
      <c r="J181" s="15"/>
      <c r="K181" s="13"/>
      <c r="L181" s="15"/>
      <c r="M181" s="15"/>
      <c r="N181" s="15"/>
      <c r="O181" s="15"/>
      <c r="P181" s="16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M181" s="8"/>
    </row>
    <row r="182" spans="1:49" x14ac:dyDescent="0.25">
      <c r="C182" s="2" t="s">
        <v>80</v>
      </c>
      <c r="D182" s="2"/>
      <c r="E182" s="33">
        <f>Expense!E184</f>
        <v>1047.8716904779258</v>
      </c>
      <c r="F182" s="33">
        <f>Expense!F184</f>
        <v>942.73638070978427</v>
      </c>
      <c r="G182" s="33">
        <f>Expense!G184</f>
        <v>858.30190589388201</v>
      </c>
      <c r="H182" s="33">
        <f>Expense!H184</f>
        <v>829.09552385061329</v>
      </c>
      <c r="I182" s="33">
        <f>Expense!I184</f>
        <v>809.63986041202475</v>
      </c>
      <c r="J182" s="56">
        <f>Expense!J184</f>
        <v>967.87490943380135</v>
      </c>
      <c r="K182" s="33">
        <f>Expense!K184</f>
        <v>944.744724658829</v>
      </c>
      <c r="L182" s="33">
        <f>Expense!L184</f>
        <v>851.97944771133507</v>
      </c>
      <c r="M182" s="33">
        <f>Expense!M184</f>
        <v>1144.2055949357955</v>
      </c>
      <c r="N182" s="33">
        <f>Expense!N184</f>
        <v>984.11607252576721</v>
      </c>
      <c r="O182" s="33">
        <f>Expense!O184</f>
        <v>1045.0317514407679</v>
      </c>
      <c r="P182" s="34">
        <f>Expense!P184</f>
        <v>1129.8837239530728</v>
      </c>
      <c r="Q182" s="33">
        <f>Expense!Q184</f>
        <v>1051.7229813511447</v>
      </c>
      <c r="R182" s="33">
        <f>Expense!R184</f>
        <v>955.77301276577441</v>
      </c>
      <c r="S182" s="33">
        <f>Expense!S184</f>
        <v>896.61486388631931</v>
      </c>
      <c r="T182" s="33">
        <f>Expense!T184</f>
        <v>882.51535794977053</v>
      </c>
      <c r="U182" s="33">
        <f>Expense!U184</f>
        <v>862.0652123298471</v>
      </c>
      <c r="V182" s="33">
        <f>Expense!V184</f>
        <v>1010.3329913603802</v>
      </c>
      <c r="W182" s="33">
        <f>Expense!W184</f>
        <v>1010.7251877633053</v>
      </c>
      <c r="X182" s="33">
        <f>Expense!X184</f>
        <v>912.35750583147194</v>
      </c>
      <c r="Y182" s="33">
        <f>Expense!Y184</f>
        <v>1192.6411534126278</v>
      </c>
      <c r="Z182" s="33">
        <f>Expense!Z184</f>
        <v>1081.5593062792245</v>
      </c>
      <c r="AA182" s="33">
        <f>Expense!AA184</f>
        <v>1089.5593110584148</v>
      </c>
      <c r="AB182" s="33">
        <f>Expense!AB184</f>
        <v>1164.0281506534582</v>
      </c>
      <c r="AC182" s="33">
        <f>Expense!AC184</f>
        <v>1110.3823151188267</v>
      </c>
      <c r="AD182" s="33">
        <f>Expense!AD184</f>
        <v>1003.8442075047064</v>
      </c>
      <c r="AE182" s="33">
        <f>Expense!AE184</f>
        <v>928.55208965118288</v>
      </c>
      <c r="AF182" s="33">
        <f>Expense!AF184</f>
        <v>916.83900372860251</v>
      </c>
      <c r="AG182" s="33">
        <f>Expense!AG184</f>
        <v>895.65909180892641</v>
      </c>
      <c r="AH182" s="33">
        <f>Expense!AH184</f>
        <v>1049.650291764274</v>
      </c>
      <c r="AJ182" s="33">
        <f ca="1">Expense!AJ184</f>
        <v>2848.9099770815924</v>
      </c>
      <c r="AK182" s="33">
        <f ca="1">Expense!AK184</f>
        <v>2606.6102936964398</v>
      </c>
      <c r="AL182" s="33">
        <f ca="1">Expense!AL184</f>
        <v>2940.9297673059596</v>
      </c>
      <c r="AM182" s="34">
        <f ca="1">Expense!AM184</f>
        <v>3159.0315479196079</v>
      </c>
      <c r="AN182" s="33">
        <f ca="1">Expense!AN184</f>
        <v>2904.1108580032392</v>
      </c>
      <c r="AO182" s="33">
        <f ca="1">Expense!AO184</f>
        <v>2754.9135616399981</v>
      </c>
      <c r="AP182" s="33">
        <f ca="1">Expense!AP184</f>
        <v>3115.7238470074049</v>
      </c>
      <c r="AQ182" s="33">
        <f ca="1">Expense!AQ184</f>
        <v>3335.1467679910979</v>
      </c>
      <c r="AR182" s="33">
        <f ca="1">Expense!AR184</f>
        <v>3042.7786122747161</v>
      </c>
      <c r="AS182" s="33">
        <f ca="1">Expense!AS184</f>
        <v>2862.1483873018037</v>
      </c>
      <c r="AU182" s="33">
        <f ca="1">Expense!AU184</f>
        <v>5455.5202707780318</v>
      </c>
      <c r="AV182" s="33">
        <f ca="1">Expense!AV184</f>
        <v>11758.985734868804</v>
      </c>
      <c r="AW182" s="33">
        <f ca="1">Expense!AW184</f>
        <v>12355.797614575024</v>
      </c>
    </row>
    <row r="183" spans="1:49" x14ac:dyDescent="0.25">
      <c r="C183" s="2" t="s">
        <v>281</v>
      </c>
      <c r="D183" s="2"/>
      <c r="E183" s="164">
        <f>E180/E182</f>
        <v>0.4509121145857769</v>
      </c>
      <c r="F183" s="20">
        <f t="shared" ref="F183:P183" si="429">F180/F182</f>
        <v>0.45424234611314535</v>
      </c>
      <c r="G183" s="20">
        <f t="shared" si="429"/>
        <v>0.45009857680318383</v>
      </c>
      <c r="H183" s="20">
        <f t="shared" si="429"/>
        <v>0.44708923461725042</v>
      </c>
      <c r="I183" s="20">
        <f t="shared" si="429"/>
        <v>0.45950189232275068</v>
      </c>
      <c r="J183" s="20">
        <f t="shared" si="429"/>
        <v>0.37921330988315749</v>
      </c>
      <c r="K183" s="164">
        <f t="shared" si="429"/>
        <v>0.39379002417145315</v>
      </c>
      <c r="L183" s="20">
        <f t="shared" si="429"/>
        <v>0.50122224087257372</v>
      </c>
      <c r="M183" s="20">
        <f t="shared" si="429"/>
        <v>0.44919520467311436</v>
      </c>
      <c r="N183" s="20">
        <f t="shared" si="429"/>
        <v>0.44421079081857057</v>
      </c>
      <c r="O183" s="20">
        <f t="shared" si="429"/>
        <v>0.44186163602479878</v>
      </c>
      <c r="P183" s="26">
        <f t="shared" si="429"/>
        <v>0.44532483687127583</v>
      </c>
      <c r="Q183" s="57">
        <f>AVERAGE(K183:P183)</f>
        <v>0.44593412223863105</v>
      </c>
      <c r="R183" s="57">
        <f t="shared" ref="R183:AH183" si="430">AVERAGE(L183:Q183)</f>
        <v>0.45462480524982735</v>
      </c>
      <c r="S183" s="57">
        <f t="shared" si="430"/>
        <v>0.44685856597936957</v>
      </c>
      <c r="T183" s="57">
        <f t="shared" si="430"/>
        <v>0.44646912619707885</v>
      </c>
      <c r="U183" s="57">
        <f t="shared" si="430"/>
        <v>0.44684551542683026</v>
      </c>
      <c r="V183" s="57">
        <f t="shared" si="430"/>
        <v>0.44767616199383548</v>
      </c>
      <c r="W183" s="57">
        <f t="shared" si="430"/>
        <v>0.44806804951426216</v>
      </c>
      <c r="X183" s="57">
        <f t="shared" si="430"/>
        <v>0.4484237040602006</v>
      </c>
      <c r="Y183" s="57">
        <f t="shared" si="430"/>
        <v>0.4473901871952628</v>
      </c>
      <c r="Z183" s="57">
        <f t="shared" si="430"/>
        <v>0.44747879073124497</v>
      </c>
      <c r="AA183" s="57">
        <f t="shared" si="430"/>
        <v>0.44764706815360605</v>
      </c>
      <c r="AB183" s="57">
        <f t="shared" si="430"/>
        <v>0.44778066027473534</v>
      </c>
      <c r="AC183" s="57">
        <f t="shared" si="430"/>
        <v>0.4477980766548853</v>
      </c>
      <c r="AD183" s="57">
        <f t="shared" si="430"/>
        <v>0.44775308117832252</v>
      </c>
      <c r="AE183" s="57">
        <f t="shared" si="430"/>
        <v>0.4476413106980095</v>
      </c>
      <c r="AF183" s="57">
        <f t="shared" si="430"/>
        <v>0.44768316461513397</v>
      </c>
      <c r="AG183" s="57">
        <f t="shared" si="430"/>
        <v>0.44771722692911547</v>
      </c>
      <c r="AH183" s="57">
        <f t="shared" si="430"/>
        <v>0.44772892005836701</v>
      </c>
      <c r="AJ183" s="20">
        <f t="shared" ref="AJ183" ca="1" si="431">AJ180/AJ182</f>
        <v>0.13560290406439626</v>
      </c>
      <c r="AK183" s="20">
        <f t="shared" ref="AK183" ca="1" si="432">AK180/AK182</f>
        <v>0.14080779503052049</v>
      </c>
      <c r="AL183" s="20">
        <f t="shared" ref="AL183" ca="1" si="433">AL180/AL182</f>
        <v>0.17476502571366445</v>
      </c>
      <c r="AM183" s="26">
        <f t="shared" ref="AM183" ca="1" si="434">AM180/AM182</f>
        <v>0.15927833496448404</v>
      </c>
      <c r="AN183" s="20">
        <f t="shared" ref="AN183" ca="1" si="435">AN180/AN182</f>
        <v>0.13796306405035363</v>
      </c>
      <c r="AO183" s="20">
        <f t="shared" ref="AO183" ca="1" si="436">AO180/AO182</f>
        <v>0.16418010430741459</v>
      </c>
      <c r="AP183" s="20">
        <f t="shared" ref="AP183" ca="1" si="437">AP180/AP182</f>
        <v>0.17125264467662613</v>
      </c>
      <c r="AQ183" s="20">
        <f t="shared" ref="AQ183" ca="1" si="438">AQ180/AQ182</f>
        <v>0.15628376504460204</v>
      </c>
      <c r="AR183" s="20">
        <f t="shared" ref="AR183" ca="1" si="439">AR180/AR182</f>
        <v>0.1366048363775286</v>
      </c>
      <c r="AS183" s="20">
        <f t="shared" ref="AS183" ca="1" si="440">AS180/AS182</f>
        <v>0.16419791288795002</v>
      </c>
      <c r="AU183" s="20">
        <f t="shared" ref="AU183" ca="1" si="441">AU180/AU182</f>
        <v>6.7277001961704649E-2</v>
      </c>
      <c r="AV183" s="20">
        <f t="shared" ref="AV183" ca="1" si="442">AV180/AV182</f>
        <v>3.8464371511801335E-2</v>
      </c>
      <c r="AW183" s="20">
        <f t="shared" ref="AW183" ca="1" si="443">AW180/AW182</f>
        <v>3.8035487973370502E-2</v>
      </c>
    </row>
    <row r="184" spans="1:49" x14ac:dyDescent="0.25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8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M184" s="8"/>
    </row>
    <row r="185" spans="1:49" ht="15.75" thickBot="1" x14ac:dyDescent="0.3">
      <c r="B185" t="s">
        <v>231</v>
      </c>
      <c r="C185" s="53" t="s">
        <v>165</v>
      </c>
      <c r="D185" s="54">
        <f t="shared" ref="D185:AH185" si="444">D136+D144+D152+D158+D164+D173+D180</f>
        <v>11741.431498752188</v>
      </c>
      <c r="E185" s="54">
        <f t="shared" si="444"/>
        <v>11357.914889474481</v>
      </c>
      <c r="F185" s="54">
        <f t="shared" si="444"/>
        <v>10890.893571894878</v>
      </c>
      <c r="G185" s="54">
        <f t="shared" si="444"/>
        <v>10385.401268880638</v>
      </c>
      <c r="H185" s="54">
        <f t="shared" si="444"/>
        <v>10310.381134565254</v>
      </c>
      <c r="I185" s="54">
        <f t="shared" si="444"/>
        <v>11385.248299276695</v>
      </c>
      <c r="J185" s="54">
        <f t="shared" si="444"/>
        <v>10191.783260815517</v>
      </c>
      <c r="K185" s="54">
        <f t="shared" si="444"/>
        <v>10535.588566598426</v>
      </c>
      <c r="L185" s="54">
        <f t="shared" si="444"/>
        <v>9878.7188761144007</v>
      </c>
      <c r="M185" s="54">
        <f t="shared" si="444"/>
        <v>10522.035330418721</v>
      </c>
      <c r="N185" s="54">
        <f t="shared" si="444"/>
        <v>10407.974063004578</v>
      </c>
      <c r="O185" s="54">
        <f t="shared" si="444"/>
        <v>11052.596856444887</v>
      </c>
      <c r="P185" s="55">
        <f t="shared" si="444"/>
        <v>11286.065800633178</v>
      </c>
      <c r="Q185" s="54">
        <f t="shared" si="444"/>
        <v>11152.85441782851</v>
      </c>
      <c r="R185" s="54">
        <f t="shared" si="444"/>
        <v>10005.548097636369</v>
      </c>
      <c r="S185" s="54">
        <f t="shared" si="444"/>
        <v>9833.4701607223978</v>
      </c>
      <c r="T185" s="54">
        <f t="shared" si="444"/>
        <v>9681.5103040613885</v>
      </c>
      <c r="U185" s="54">
        <f t="shared" si="444"/>
        <v>9596.4779414920322</v>
      </c>
      <c r="V185" s="54">
        <f t="shared" si="444"/>
        <v>10421.684207579112</v>
      </c>
      <c r="W185" s="54">
        <f t="shared" si="444"/>
        <v>10068.08070456739</v>
      </c>
      <c r="X185" s="54">
        <f t="shared" si="444"/>
        <v>9932.3953565693664</v>
      </c>
      <c r="Y185" s="54">
        <f t="shared" si="444"/>
        <v>10448.532896138508</v>
      </c>
      <c r="Z185" s="54">
        <f t="shared" si="444"/>
        <v>10829.637074183924</v>
      </c>
      <c r="AA185" s="54">
        <f t="shared" si="444"/>
        <v>10616.967040126518</v>
      </c>
      <c r="AB185" s="54">
        <f t="shared" si="444"/>
        <v>11474.644746612828</v>
      </c>
      <c r="AC185" s="54">
        <f t="shared" si="444"/>
        <v>11346.188287317884</v>
      </c>
      <c r="AD185" s="54">
        <f t="shared" si="444"/>
        <v>10170.366132044819</v>
      </c>
      <c r="AE185" s="54">
        <f t="shared" si="444"/>
        <v>9998.0371443716958</v>
      </c>
      <c r="AF185" s="54">
        <f t="shared" si="444"/>
        <v>9850.4953379105045</v>
      </c>
      <c r="AG185" s="54">
        <f t="shared" si="444"/>
        <v>9761.5932293021724</v>
      </c>
      <c r="AH185" s="54">
        <f t="shared" si="444"/>
        <v>10619.338967769458</v>
      </c>
      <c r="AJ185" s="54">
        <f t="shared" ref="AJ185:AS185" ca="1" si="445">AJ136+AJ144+AJ152+AJ158+AJ164+AJ173+AJ180</f>
        <v>10385.401268880638</v>
      </c>
      <c r="AK185" s="54">
        <f t="shared" ca="1" si="445"/>
        <v>10191.783260815517</v>
      </c>
      <c r="AL185" s="54">
        <f t="shared" ca="1" si="445"/>
        <v>10522.035330418721</v>
      </c>
      <c r="AM185" s="55">
        <f t="shared" ca="1" si="445"/>
        <v>11286.065800633178</v>
      </c>
      <c r="AN185" s="54">
        <f t="shared" ca="1" si="445"/>
        <v>9833.4701607223978</v>
      </c>
      <c r="AO185" s="54">
        <f t="shared" ca="1" si="445"/>
        <v>10421.684207579112</v>
      </c>
      <c r="AP185" s="54">
        <f t="shared" ca="1" si="445"/>
        <v>10448.532896138508</v>
      </c>
      <c r="AQ185" s="54">
        <f t="shared" ca="1" si="445"/>
        <v>11474.644746612828</v>
      </c>
      <c r="AR185" s="54">
        <f t="shared" ca="1" si="445"/>
        <v>9998.0371443716958</v>
      </c>
      <c r="AS185" s="54">
        <f t="shared" ca="1" si="445"/>
        <v>10619.338967769458</v>
      </c>
      <c r="AU185" s="54">
        <f ca="1">AU136+AU144+AU152+AU158+AU164+AU173+AU180</f>
        <v>10191.783260815517</v>
      </c>
      <c r="AV185" s="54">
        <f ca="1">AV136+AV144+AV152+AV158+AV164+AV173+AV180</f>
        <v>10421.684207579112</v>
      </c>
      <c r="AW185" s="54">
        <f ca="1">AW136+AW144+AW152+AW158+AW164+AW173+AW180</f>
        <v>10619.338967769458</v>
      </c>
    </row>
    <row r="186" spans="1:49" ht="15.75" thickTop="1" x14ac:dyDescent="0.25"/>
    <row r="187" spans="1:49" ht="18.75" x14ac:dyDescent="0.3">
      <c r="A187" t="s">
        <v>231</v>
      </c>
      <c r="B187" t="s">
        <v>231</v>
      </c>
      <c r="C187" s="181" t="s">
        <v>155</v>
      </c>
      <c r="D187" s="35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</row>
    <row r="188" spans="1:49" x14ac:dyDescent="0.25">
      <c r="C188" s="11"/>
      <c r="D188" s="11"/>
    </row>
    <row r="189" spans="1:49" x14ac:dyDescent="0.25">
      <c r="C189" s="30" t="s">
        <v>214</v>
      </c>
      <c r="D189" s="30"/>
      <c r="E189" s="45" t="str">
        <f t="shared" ref="E189:AH189" si="446">E$9</f>
        <v>Jul-20A</v>
      </c>
      <c r="F189" s="45" t="str">
        <f t="shared" si="446"/>
        <v>Aug-20A</v>
      </c>
      <c r="G189" s="45" t="str">
        <f t="shared" si="446"/>
        <v>Sep-20A</v>
      </c>
      <c r="H189" s="45" t="str">
        <f t="shared" si="446"/>
        <v>Oct-20A</v>
      </c>
      <c r="I189" s="45" t="str">
        <f t="shared" si="446"/>
        <v>Nov-20A</v>
      </c>
      <c r="J189" s="45" t="str">
        <f t="shared" si="446"/>
        <v>Dec-20A</v>
      </c>
      <c r="K189" s="45" t="str">
        <f t="shared" si="446"/>
        <v>Jan-21A</v>
      </c>
      <c r="L189" s="45" t="str">
        <f t="shared" si="446"/>
        <v>Feb-21A</v>
      </c>
      <c r="M189" s="45" t="str">
        <f t="shared" si="446"/>
        <v>Mar-21A</v>
      </c>
      <c r="N189" s="45" t="str">
        <f t="shared" si="446"/>
        <v>Apr-21A</v>
      </c>
      <c r="O189" s="45" t="str">
        <f t="shared" si="446"/>
        <v>May-21A</v>
      </c>
      <c r="P189" s="46" t="str">
        <f t="shared" si="446"/>
        <v>Jun-21A</v>
      </c>
      <c r="Q189" s="45" t="str">
        <f t="shared" si="446"/>
        <v>Jul-21F</v>
      </c>
      <c r="R189" s="45" t="str">
        <f t="shared" si="446"/>
        <v>Aug-21F</v>
      </c>
      <c r="S189" s="45" t="str">
        <f t="shared" si="446"/>
        <v>Sep-21F</v>
      </c>
      <c r="T189" s="45" t="str">
        <f t="shared" si="446"/>
        <v>Oct-21F</v>
      </c>
      <c r="U189" s="45" t="str">
        <f t="shared" si="446"/>
        <v>Nov-21F</v>
      </c>
      <c r="V189" s="45" t="str">
        <f t="shared" si="446"/>
        <v>Dec-21F</v>
      </c>
      <c r="W189" s="45" t="str">
        <f t="shared" si="446"/>
        <v>Jan-22F</v>
      </c>
      <c r="X189" s="45" t="str">
        <f t="shared" si="446"/>
        <v>Feb-22F</v>
      </c>
      <c r="Y189" s="45" t="str">
        <f t="shared" si="446"/>
        <v>Mar-22F</v>
      </c>
      <c r="Z189" s="45" t="str">
        <f t="shared" si="446"/>
        <v>Apr-22F</v>
      </c>
      <c r="AA189" s="45" t="str">
        <f t="shared" si="446"/>
        <v>May-22F</v>
      </c>
      <c r="AB189" s="45" t="str">
        <f t="shared" si="446"/>
        <v>Jun-22F</v>
      </c>
      <c r="AC189" s="45" t="str">
        <f t="shared" si="446"/>
        <v>Jul-22F</v>
      </c>
      <c r="AD189" s="45" t="str">
        <f t="shared" si="446"/>
        <v>Aug-22F</v>
      </c>
      <c r="AE189" s="45" t="str">
        <f t="shared" si="446"/>
        <v>Sep-22F</v>
      </c>
      <c r="AF189" s="45" t="str">
        <f t="shared" si="446"/>
        <v>Oct-22F</v>
      </c>
      <c r="AG189" s="45" t="str">
        <f t="shared" si="446"/>
        <v>Nov-22F</v>
      </c>
      <c r="AH189" s="45" t="str">
        <f t="shared" si="446"/>
        <v>Dec-22F</v>
      </c>
      <c r="AJ189" s="45" t="str">
        <f ca="1">AJ$10</f>
        <v>Q3'20A</v>
      </c>
      <c r="AK189" s="45" t="str">
        <f t="shared" ref="AK189:AW189" ca="1" si="447">AK$10</f>
        <v>Q4'20A</v>
      </c>
      <c r="AL189" s="45" t="str">
        <f t="shared" ca="1" si="447"/>
        <v>Q1'21A</v>
      </c>
      <c r="AM189" s="46" t="str">
        <f t="shared" ca="1" si="447"/>
        <v>Q2'21A</v>
      </c>
      <c r="AN189" s="45" t="str">
        <f t="shared" ca="1" si="447"/>
        <v>Q3'21F</v>
      </c>
      <c r="AO189" s="45" t="str">
        <f t="shared" ca="1" si="447"/>
        <v>Q4'21F</v>
      </c>
      <c r="AP189" s="45" t="str">
        <f t="shared" ca="1" si="447"/>
        <v>Q1'22F</v>
      </c>
      <c r="AQ189" s="45" t="str">
        <f t="shared" ca="1" si="447"/>
        <v>Q2'22F</v>
      </c>
      <c r="AR189" s="45" t="str">
        <f t="shared" ca="1" si="447"/>
        <v>Q3'22F</v>
      </c>
      <c r="AS189" s="45" t="str">
        <f t="shared" ca="1" si="447"/>
        <v>Q4'22F</v>
      </c>
      <c r="AU189" s="45" t="str">
        <f t="shared" ca="1" si="447"/>
        <v>FY20</v>
      </c>
      <c r="AV189" s="45" t="str">
        <f t="shared" ca="1" si="447"/>
        <v>FY21</v>
      </c>
      <c r="AW189" s="45" t="str">
        <f t="shared" ca="1" si="447"/>
        <v>FY22</v>
      </c>
    </row>
    <row r="190" spans="1:49" x14ac:dyDescent="0.25">
      <c r="C190" s="1" t="s">
        <v>194</v>
      </c>
      <c r="D190" s="1"/>
      <c r="E190" s="61">
        <f>D192</f>
        <v>14063.035734973459</v>
      </c>
      <c r="F190" s="61">
        <f t="shared" ref="F190:AH190" si="448">E192</f>
        <v>14063.035734973459</v>
      </c>
      <c r="G190" s="61">
        <f t="shared" si="448"/>
        <v>14063.035734973459</v>
      </c>
      <c r="H190" s="61">
        <f t="shared" si="448"/>
        <v>14063.035734973459</v>
      </c>
      <c r="I190" s="61">
        <f t="shared" si="448"/>
        <v>14063.035734973459</v>
      </c>
      <c r="J190" s="61">
        <f t="shared" si="448"/>
        <v>14063.035734973459</v>
      </c>
      <c r="K190" s="61">
        <f t="shared" si="448"/>
        <v>14063.035734973459</v>
      </c>
      <c r="L190" s="61">
        <f t="shared" si="448"/>
        <v>14063.035734973459</v>
      </c>
      <c r="M190" s="61">
        <f t="shared" si="448"/>
        <v>14063.035734973459</v>
      </c>
      <c r="N190" s="61">
        <f t="shared" si="448"/>
        <v>14063.035734973459</v>
      </c>
      <c r="O190" s="61">
        <f t="shared" si="448"/>
        <v>14063.035734973459</v>
      </c>
      <c r="P190" s="17">
        <f t="shared" si="448"/>
        <v>14063.035734973459</v>
      </c>
      <c r="Q190" s="15">
        <f t="shared" si="448"/>
        <v>14063.035734973459</v>
      </c>
      <c r="R190" s="15">
        <f t="shared" si="448"/>
        <v>14063.035734973459</v>
      </c>
      <c r="S190" s="15">
        <f t="shared" si="448"/>
        <v>14063.035734973459</v>
      </c>
      <c r="T190" s="15">
        <f t="shared" si="448"/>
        <v>14063.035734973459</v>
      </c>
      <c r="U190" s="15">
        <f t="shared" si="448"/>
        <v>14063.035734973459</v>
      </c>
      <c r="V190" s="15">
        <f t="shared" si="448"/>
        <v>14063.035734973459</v>
      </c>
      <c r="W190" s="104">
        <f t="shared" si="448"/>
        <v>14063.035734973459</v>
      </c>
      <c r="X190" s="15">
        <f t="shared" si="448"/>
        <v>14063.035734973459</v>
      </c>
      <c r="Y190" s="15">
        <f t="shared" si="448"/>
        <v>14063.035734973459</v>
      </c>
      <c r="Z190" s="15">
        <f t="shared" si="448"/>
        <v>14063.035734973459</v>
      </c>
      <c r="AA190" s="15">
        <f t="shared" si="448"/>
        <v>14063.035734973459</v>
      </c>
      <c r="AB190" s="15">
        <f t="shared" si="448"/>
        <v>14063.035734973459</v>
      </c>
      <c r="AC190" s="15">
        <f t="shared" si="448"/>
        <v>14063.035734973459</v>
      </c>
      <c r="AD190" s="15">
        <f t="shared" si="448"/>
        <v>14063.035734973459</v>
      </c>
      <c r="AE190" s="15">
        <f t="shared" si="448"/>
        <v>14063.035734973459</v>
      </c>
      <c r="AF190" s="15">
        <f t="shared" si="448"/>
        <v>14063.035734973459</v>
      </c>
      <c r="AG190" s="15">
        <f t="shared" si="448"/>
        <v>14063.035734973459</v>
      </c>
      <c r="AH190" s="15">
        <f t="shared" si="448"/>
        <v>14063.035734973459</v>
      </c>
      <c r="AJ190" s="15">
        <f ca="1">AJ192-AJ191</f>
        <v>14063.035734973459</v>
      </c>
      <c r="AK190" s="15">
        <f t="shared" ref="AK190:AW190" ca="1" si="449">AK192-AK191</f>
        <v>14063.035734973459</v>
      </c>
      <c r="AL190" s="15">
        <f t="shared" ca="1" si="449"/>
        <v>14063.035734973459</v>
      </c>
      <c r="AM190" s="15">
        <f t="shared" ca="1" si="449"/>
        <v>14063.035734973459</v>
      </c>
      <c r="AN190" s="15">
        <f t="shared" ca="1" si="449"/>
        <v>14063.035734973459</v>
      </c>
      <c r="AO190" s="15">
        <f t="shared" ca="1" si="449"/>
        <v>14063.035734973459</v>
      </c>
      <c r="AP190" s="15">
        <f t="shared" ca="1" si="449"/>
        <v>14063.035734973459</v>
      </c>
      <c r="AQ190" s="15">
        <f t="shared" ca="1" si="449"/>
        <v>14063.035734973459</v>
      </c>
      <c r="AR190" s="15">
        <f t="shared" ca="1" si="449"/>
        <v>14063.035734973459</v>
      </c>
      <c r="AS190" s="15">
        <f t="shared" ca="1" si="449"/>
        <v>14063.035734973459</v>
      </c>
      <c r="AU190" s="15">
        <f t="shared" ca="1" si="449"/>
        <v>14063.035734973459</v>
      </c>
      <c r="AV190" s="15">
        <f t="shared" ca="1" si="449"/>
        <v>14063.035734973459</v>
      </c>
      <c r="AW190" s="15">
        <f t="shared" ca="1" si="449"/>
        <v>14063.035734973459</v>
      </c>
    </row>
    <row r="191" spans="1:49" x14ac:dyDescent="0.25">
      <c r="C191" s="109" t="s">
        <v>215</v>
      </c>
      <c r="D191" s="23"/>
      <c r="E191" s="38">
        <v>0</v>
      </c>
      <c r="F191" s="38">
        <v>0</v>
      </c>
      <c r="G191" s="38">
        <v>0</v>
      </c>
      <c r="H191" s="38">
        <v>0</v>
      </c>
      <c r="I191" s="38">
        <v>0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9">
        <v>0</v>
      </c>
      <c r="Q191" s="29">
        <f>Revenue!Q245</f>
        <v>0</v>
      </c>
      <c r="R191" s="29">
        <f>Revenue!R245</f>
        <v>0</v>
      </c>
      <c r="S191" s="29">
        <f>Revenue!S245</f>
        <v>0</v>
      </c>
      <c r="T191" s="29">
        <f>Revenue!T245</f>
        <v>0</v>
      </c>
      <c r="U191" s="29">
        <f>Revenue!U245</f>
        <v>0</v>
      </c>
      <c r="V191" s="29">
        <f>Revenue!V245</f>
        <v>0</v>
      </c>
      <c r="W191" s="29">
        <f>Revenue!W245</f>
        <v>0</v>
      </c>
      <c r="X191" s="29">
        <f>Revenue!X245</f>
        <v>0</v>
      </c>
      <c r="Y191" s="29">
        <f>Revenue!Y245</f>
        <v>0</v>
      </c>
      <c r="Z191" s="29">
        <f>Revenue!Z245</f>
        <v>0</v>
      </c>
      <c r="AA191" s="29">
        <f>Revenue!AA245</f>
        <v>0</v>
      </c>
      <c r="AB191" s="29">
        <f>Revenue!AB245</f>
        <v>0</v>
      </c>
      <c r="AC191" s="29">
        <f>Revenue!AC245</f>
        <v>0</v>
      </c>
      <c r="AD191" s="29">
        <f>Revenue!AD245</f>
        <v>0</v>
      </c>
      <c r="AE191" s="29">
        <f>Revenue!AE245</f>
        <v>0</v>
      </c>
      <c r="AF191" s="29">
        <f>Revenue!AF245</f>
        <v>0</v>
      </c>
      <c r="AG191" s="29">
        <f>Revenue!AG245</f>
        <v>0</v>
      </c>
      <c r="AH191" s="29">
        <f>Revenue!AH245</f>
        <v>0</v>
      </c>
      <c r="AJ191" s="29" cm="1">
        <f t="array" aca="1" ref="AJ191" ca="1">SUMPRODUCT(($E191:$AH191)*(AJ$3&amp;AJ$4&amp;AJ$5&amp;AJ$6=$E$3:$AH$3&amp;$E$4:$AH$4&amp;$E$5:$AH$5&amp;$E$6:$AH$6))</f>
        <v>0</v>
      </c>
      <c r="AK191" s="29" cm="1">
        <f t="array" aca="1" ref="AK191" ca="1">SUMPRODUCT(($E191:$AH191)*(AK$3=$E$3:$AH$3)*(AK$4=$E$4:$AH$4)*(AK$5=$E$5:$AH$5)*(AK$6=$E$6:$AH$6))</f>
        <v>0</v>
      </c>
      <c r="AL191" s="29" cm="1">
        <f t="array" aca="1" ref="AL191" ca="1">SUMPRODUCT(($E191:$AH191)*(AL$3=$E$3:$AH$3)*(AL$4=$E$4:$AH$4)*(AL$5=$E$5:$AH$5)*(AL$6=$E$6:$AH$6))</f>
        <v>0</v>
      </c>
      <c r="AM191" s="29" cm="1">
        <f t="array" aca="1" ref="AM191" ca="1">SUMPRODUCT(($E191:$AH191)*(AM$3=$E$3:$AH$3)*(AM$4=$E$4:$AH$4)*(AM$5=$E$5:$AH$5)*(AM$6=$E$6:$AH$6))</f>
        <v>0</v>
      </c>
      <c r="AN191" s="29" cm="1">
        <f t="array" aca="1" ref="AN191" ca="1">SUMPRODUCT(($E191:$AH191)*(AN$3=$E$3:$AH$3)*(AN$4=$E$4:$AH$4)*(AN$5=$E$5:$AH$5)*(AN$6=$E$6:$AH$6))</f>
        <v>0</v>
      </c>
      <c r="AO191" s="29" cm="1">
        <f t="array" aca="1" ref="AO191" ca="1">SUMPRODUCT(($E191:$AH191)*(AO$3=$E$3:$AH$3)*(AO$4=$E$4:$AH$4)*(AO$5=$E$5:$AH$5)*(AO$6=$E$6:$AH$6))</f>
        <v>0</v>
      </c>
      <c r="AP191" s="29" cm="1">
        <f t="array" aca="1" ref="AP191" ca="1">SUMPRODUCT(($E191:$AH191)*(AP$3=$E$3:$AH$3)*(AP$4=$E$4:$AH$4)*(AP$5=$E$5:$AH$5)*(AP$6=$E$6:$AH$6))</f>
        <v>0</v>
      </c>
      <c r="AQ191" s="29" cm="1">
        <f t="array" aca="1" ref="AQ191" ca="1">SUMPRODUCT(($E191:$AH191)*(AQ$3=$E$3:$AH$3)*(AQ$4=$E$4:$AH$4)*(AQ$5=$E$5:$AH$5)*(AQ$6=$E$6:$AH$6))</f>
        <v>0</v>
      </c>
      <c r="AR191" s="29" cm="1">
        <f t="array" aca="1" ref="AR191" ca="1">SUMPRODUCT(($E191:$AH191)*(AR$3=$E$3:$AH$3)*(AR$4=$E$4:$AH$4)*(AR$5=$E$5:$AH$5)*(AR$6=$E$6:$AH$6))</f>
        <v>0</v>
      </c>
      <c r="AS191" s="29" cm="1">
        <f t="array" aca="1" ref="AS191" ca="1">SUMPRODUCT(($E191:$AH191)*(AS$3=$E$3:$AH$3)*(AS$4=$E$4:$AH$4)*(AS$5=$E$5:$AH$5)*(AS$6=$E$6:$AH$6))</f>
        <v>0</v>
      </c>
      <c r="AU191" s="29" cm="1">
        <f t="array" aca="1" ref="AU191" ca="1">SUMPRODUCT(($E191:$AH191)*(AU$5=$E$5:$AH$5))</f>
        <v>0</v>
      </c>
      <c r="AV191" s="29" cm="1">
        <f t="array" aca="1" ref="AV191" ca="1">SUMPRODUCT(($E191:$AH191)*(AV$5=$E$5:$AH$5))</f>
        <v>0</v>
      </c>
      <c r="AW191" s="29" cm="1">
        <f t="array" aca="1" ref="AW191" ca="1">SUMPRODUCT(($E191:$AH191)*(AW$5=$E$5:$AH$5))</f>
        <v>0</v>
      </c>
    </row>
    <row r="192" spans="1:49" x14ac:dyDescent="0.25">
      <c r="B192" t="s">
        <v>231</v>
      </c>
      <c r="C192" s="2" t="s">
        <v>195</v>
      </c>
      <c r="D192" s="37">
        <v>14063.035734973459</v>
      </c>
      <c r="E192" s="31">
        <v>14063.035734973459</v>
      </c>
      <c r="F192" s="31">
        <v>14063.035734973459</v>
      </c>
      <c r="G192" s="31">
        <v>14063.035734973459</v>
      </c>
      <c r="H192" s="31">
        <v>14063.035734973459</v>
      </c>
      <c r="I192" s="31">
        <v>14063.035734973459</v>
      </c>
      <c r="J192" s="37">
        <v>14063.035734973459</v>
      </c>
      <c r="K192" s="31">
        <v>14063.035734973459</v>
      </c>
      <c r="L192" s="31">
        <v>14063.035734973459</v>
      </c>
      <c r="M192" s="31">
        <v>14063.035734973459</v>
      </c>
      <c r="N192" s="31">
        <v>14063.035734973459</v>
      </c>
      <c r="O192" s="31">
        <v>14063.035734973459</v>
      </c>
      <c r="P192" s="32">
        <v>14063.035734973459</v>
      </c>
      <c r="Q192" s="15">
        <f t="shared" ref="Q192:AH192" si="450">SUM(Q190:Q191)</f>
        <v>14063.035734973459</v>
      </c>
      <c r="R192" s="15">
        <f t="shared" si="450"/>
        <v>14063.035734973459</v>
      </c>
      <c r="S192" s="15">
        <f t="shared" si="450"/>
        <v>14063.035734973459</v>
      </c>
      <c r="T192" s="15">
        <f t="shared" si="450"/>
        <v>14063.035734973459</v>
      </c>
      <c r="U192" s="15">
        <f t="shared" si="450"/>
        <v>14063.035734973459</v>
      </c>
      <c r="V192" s="15">
        <f t="shared" si="450"/>
        <v>14063.035734973459</v>
      </c>
      <c r="W192" s="15">
        <f t="shared" si="450"/>
        <v>14063.035734973459</v>
      </c>
      <c r="X192" s="15">
        <f t="shared" si="450"/>
        <v>14063.035734973459</v>
      </c>
      <c r="Y192" s="15">
        <f t="shared" si="450"/>
        <v>14063.035734973459</v>
      </c>
      <c r="Z192" s="15">
        <f t="shared" si="450"/>
        <v>14063.035734973459</v>
      </c>
      <c r="AA192" s="15">
        <f t="shared" si="450"/>
        <v>14063.035734973459</v>
      </c>
      <c r="AB192" s="15">
        <f t="shared" si="450"/>
        <v>14063.035734973459</v>
      </c>
      <c r="AC192" s="15">
        <f t="shared" si="450"/>
        <v>14063.035734973459</v>
      </c>
      <c r="AD192" s="15">
        <f t="shared" si="450"/>
        <v>14063.035734973459</v>
      </c>
      <c r="AE192" s="15">
        <f t="shared" si="450"/>
        <v>14063.035734973459</v>
      </c>
      <c r="AF192" s="15">
        <f t="shared" si="450"/>
        <v>14063.035734973459</v>
      </c>
      <c r="AG192" s="15">
        <f t="shared" si="450"/>
        <v>14063.035734973459</v>
      </c>
      <c r="AH192" s="15">
        <f t="shared" si="450"/>
        <v>14063.035734973459</v>
      </c>
      <c r="AJ192" s="15" cm="1">
        <f t="array" aca="1" ref="AJ192" ca="1">INDEX($E192:$AH192,1,MATCH(AJ$3&amp;AJ$4&amp;AJ$5&amp;AJ$6,$E$3:$AH$3&amp;$E$4:$AH$4&amp;$E$5:$AH$5&amp;$E$6:$AH$6,1))</f>
        <v>14063.035734973459</v>
      </c>
      <c r="AK192" s="15" cm="1">
        <f t="array" aca="1" ref="AK192" ca="1">INDEX($E192:$AH192,1,MATCH(AK$3&amp;AK$4&amp;AK$5&amp;AK$6,$E$3:$AH$3&amp;$E$4:$AH$4&amp;$E$5:$AH$5&amp;$E$6:$AH$6,1))</f>
        <v>14063.035734973459</v>
      </c>
      <c r="AL192" s="15" cm="1">
        <f t="array" aca="1" ref="AL192" ca="1">INDEX($E192:$AH192,1,MATCH(AL$3&amp;AL$4&amp;AL$5&amp;AL$6,$E$3:$AH$3&amp;$E$4:$AH$4&amp;$E$5:$AH$5&amp;$E$6:$AH$6,1))</f>
        <v>14063.035734973459</v>
      </c>
      <c r="AM192" s="15" cm="1">
        <f t="array" aca="1" ref="AM192" ca="1">INDEX($E192:$AH192,1,MATCH(AM$3&amp;AM$4&amp;AM$5&amp;AM$6,$E$3:$AH$3&amp;$E$4:$AH$4&amp;$E$5:$AH$5&amp;$E$6:$AH$6,1))</f>
        <v>14063.035734973459</v>
      </c>
      <c r="AN192" s="15" cm="1">
        <f t="array" aca="1" ref="AN192" ca="1">INDEX($E192:$AH192,1,MATCH(AN$3&amp;AN$4&amp;AN$5&amp;AN$6,$E$3:$AH$3&amp;$E$4:$AH$4&amp;$E$5:$AH$5&amp;$E$6:$AH$6,1))</f>
        <v>14063.035734973459</v>
      </c>
      <c r="AO192" s="15" cm="1">
        <f t="array" aca="1" ref="AO192" ca="1">INDEX($E192:$AH192,1,MATCH(AO$3&amp;AO$4&amp;AO$5&amp;AO$6,$E$3:$AH$3&amp;$E$4:$AH$4&amp;$E$5:$AH$5&amp;$E$6:$AH$6,1))</f>
        <v>14063.035734973459</v>
      </c>
      <c r="AP192" s="15" cm="1">
        <f t="array" aca="1" ref="AP192" ca="1">INDEX($E192:$AH192,1,MATCH(AP$3&amp;AP$4&amp;AP$5&amp;AP$6,$E$3:$AH$3&amp;$E$4:$AH$4&amp;$E$5:$AH$5&amp;$E$6:$AH$6,1))</f>
        <v>14063.035734973459</v>
      </c>
      <c r="AQ192" s="15" cm="1">
        <f t="array" aca="1" ref="AQ192" ca="1">INDEX($E192:$AH192,1,MATCH(AQ$3&amp;AQ$4&amp;AQ$5&amp;AQ$6,$E$3:$AH$3&amp;$E$4:$AH$4&amp;$E$5:$AH$5&amp;$E$6:$AH$6,1))</f>
        <v>14063.035734973459</v>
      </c>
      <c r="AR192" s="15" cm="1">
        <f t="array" aca="1" ref="AR192" ca="1">INDEX($E192:$AH192,1,MATCH(AR$3&amp;AR$4&amp;AR$5&amp;AR$6,$E$3:$AH$3&amp;$E$4:$AH$4&amp;$E$5:$AH$5&amp;$E$6:$AH$6,1))</f>
        <v>14063.035734973459</v>
      </c>
      <c r="AS192" s="15" cm="1">
        <f t="array" aca="1" ref="AS192" ca="1">INDEX($E192:$AH192,1,MATCH(AS$3&amp;AS$4&amp;AS$5&amp;AS$6,$E$3:$AH$3&amp;$E$4:$AH$4&amp;$E$5:$AH$5&amp;$E$6:$AH$6,1))</f>
        <v>14063.035734973459</v>
      </c>
      <c r="AU192" s="13">
        <f ca="1">INDEX($E192:$AH192,1,MATCH(AU$5,$E$5:$AH$5,1))</f>
        <v>14063.035734973459</v>
      </c>
      <c r="AV192" s="13">
        <f t="shared" ref="AV192:AW192" ca="1" si="451">INDEX($E192:$AH192,1,MATCH(AV$5,$E$5:$AH$5,1))</f>
        <v>14063.035734973459</v>
      </c>
      <c r="AW192" s="13">
        <f t="shared" ca="1" si="451"/>
        <v>14063.035734973459</v>
      </c>
    </row>
    <row r="193" spans="2:49" x14ac:dyDescent="0.25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8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2:49" x14ac:dyDescent="0.25">
      <c r="C194" s="30" t="s">
        <v>170</v>
      </c>
      <c r="D194" s="30"/>
      <c r="E194" s="45" t="str">
        <f t="shared" ref="E194:AH194" si="452">E$9</f>
        <v>Jul-20A</v>
      </c>
      <c r="F194" s="45" t="str">
        <f t="shared" si="452"/>
        <v>Aug-20A</v>
      </c>
      <c r="G194" s="45" t="str">
        <f t="shared" si="452"/>
        <v>Sep-20A</v>
      </c>
      <c r="H194" s="45" t="str">
        <f t="shared" si="452"/>
        <v>Oct-20A</v>
      </c>
      <c r="I194" s="45" t="str">
        <f t="shared" si="452"/>
        <v>Nov-20A</v>
      </c>
      <c r="J194" s="45" t="str">
        <f t="shared" si="452"/>
        <v>Dec-20A</v>
      </c>
      <c r="K194" s="45" t="str">
        <f t="shared" si="452"/>
        <v>Jan-21A</v>
      </c>
      <c r="L194" s="45" t="str">
        <f t="shared" si="452"/>
        <v>Feb-21A</v>
      </c>
      <c r="M194" s="45" t="str">
        <f t="shared" si="452"/>
        <v>Mar-21A</v>
      </c>
      <c r="N194" s="45" t="str">
        <f t="shared" si="452"/>
        <v>Apr-21A</v>
      </c>
      <c r="O194" s="45" t="str">
        <f t="shared" si="452"/>
        <v>May-21A</v>
      </c>
      <c r="P194" s="46" t="str">
        <f t="shared" si="452"/>
        <v>Jun-21A</v>
      </c>
      <c r="Q194" s="45" t="str">
        <f t="shared" si="452"/>
        <v>Jul-21F</v>
      </c>
      <c r="R194" s="45" t="str">
        <f t="shared" si="452"/>
        <v>Aug-21F</v>
      </c>
      <c r="S194" s="45" t="str">
        <f t="shared" si="452"/>
        <v>Sep-21F</v>
      </c>
      <c r="T194" s="45" t="str">
        <f t="shared" si="452"/>
        <v>Oct-21F</v>
      </c>
      <c r="U194" s="45" t="str">
        <f t="shared" si="452"/>
        <v>Nov-21F</v>
      </c>
      <c r="V194" s="45" t="str">
        <f t="shared" si="452"/>
        <v>Dec-21F</v>
      </c>
      <c r="W194" s="45" t="str">
        <f t="shared" si="452"/>
        <v>Jan-22F</v>
      </c>
      <c r="X194" s="45" t="str">
        <f t="shared" si="452"/>
        <v>Feb-22F</v>
      </c>
      <c r="Y194" s="45" t="str">
        <f t="shared" si="452"/>
        <v>Mar-22F</v>
      </c>
      <c r="Z194" s="45" t="str">
        <f t="shared" si="452"/>
        <v>Apr-22F</v>
      </c>
      <c r="AA194" s="45" t="str">
        <f t="shared" si="452"/>
        <v>May-22F</v>
      </c>
      <c r="AB194" s="45" t="str">
        <f t="shared" si="452"/>
        <v>Jun-22F</v>
      </c>
      <c r="AC194" s="45" t="str">
        <f t="shared" si="452"/>
        <v>Jul-22F</v>
      </c>
      <c r="AD194" s="45" t="str">
        <f t="shared" si="452"/>
        <v>Aug-22F</v>
      </c>
      <c r="AE194" s="45" t="str">
        <f t="shared" si="452"/>
        <v>Sep-22F</v>
      </c>
      <c r="AF194" s="45" t="str">
        <f t="shared" si="452"/>
        <v>Oct-22F</v>
      </c>
      <c r="AG194" s="45" t="str">
        <f t="shared" si="452"/>
        <v>Nov-22F</v>
      </c>
      <c r="AH194" s="45" t="str">
        <f t="shared" si="452"/>
        <v>Dec-22F</v>
      </c>
      <c r="AJ194" s="45" t="str">
        <f ca="1">AJ$10</f>
        <v>Q3'20A</v>
      </c>
      <c r="AK194" s="45" t="str">
        <f t="shared" ref="AK194:AW194" ca="1" si="453">AK$10</f>
        <v>Q4'20A</v>
      </c>
      <c r="AL194" s="45" t="str">
        <f t="shared" ca="1" si="453"/>
        <v>Q1'21A</v>
      </c>
      <c r="AM194" s="46" t="str">
        <f t="shared" ca="1" si="453"/>
        <v>Q2'21A</v>
      </c>
      <c r="AN194" s="45" t="str">
        <f t="shared" ca="1" si="453"/>
        <v>Q3'21F</v>
      </c>
      <c r="AO194" s="45" t="str">
        <f t="shared" ca="1" si="453"/>
        <v>Q4'21F</v>
      </c>
      <c r="AP194" s="45" t="str">
        <f t="shared" ca="1" si="453"/>
        <v>Q1'22F</v>
      </c>
      <c r="AQ194" s="45" t="str">
        <f t="shared" ca="1" si="453"/>
        <v>Q2'22F</v>
      </c>
      <c r="AR194" s="45" t="str">
        <f t="shared" ca="1" si="453"/>
        <v>Q3'22F</v>
      </c>
      <c r="AS194" s="45" t="str">
        <f t="shared" ca="1" si="453"/>
        <v>Q4'22F</v>
      </c>
      <c r="AU194" s="45" t="str">
        <f t="shared" ca="1" si="453"/>
        <v>FY20</v>
      </c>
      <c r="AV194" s="45" t="str">
        <f t="shared" ca="1" si="453"/>
        <v>FY21</v>
      </c>
      <c r="AW194" s="45" t="str">
        <f t="shared" ca="1" si="453"/>
        <v>FY22</v>
      </c>
    </row>
    <row r="195" spans="2:49" x14ac:dyDescent="0.25">
      <c r="C195" s="1" t="s">
        <v>194</v>
      </c>
      <c r="D195" s="1"/>
      <c r="E195" s="61">
        <f>D198</f>
        <v>10426.473939559504</v>
      </c>
      <c r="F195" s="61">
        <f t="shared" ref="F195:AH195" si="454">E198</f>
        <v>10426.473939559504</v>
      </c>
      <c r="G195" s="61">
        <f t="shared" si="454"/>
        <v>10426.473939559504</v>
      </c>
      <c r="H195" s="61">
        <f t="shared" si="454"/>
        <v>10426.473939559504</v>
      </c>
      <c r="I195" s="61">
        <f t="shared" si="454"/>
        <v>10426.473939559504</v>
      </c>
      <c r="J195" s="61">
        <f t="shared" si="454"/>
        <v>10426.473939559504</v>
      </c>
      <c r="K195" s="61">
        <f t="shared" si="454"/>
        <v>10426.473939559504</v>
      </c>
      <c r="L195" s="61">
        <f t="shared" si="454"/>
        <v>10426.473939559504</v>
      </c>
      <c r="M195" s="61">
        <f t="shared" si="454"/>
        <v>10426.473939559504</v>
      </c>
      <c r="N195" s="61">
        <f t="shared" si="454"/>
        <v>10426.473939559504</v>
      </c>
      <c r="O195" s="61">
        <f t="shared" si="454"/>
        <v>10426.473939559504</v>
      </c>
      <c r="P195" s="17">
        <f t="shared" si="454"/>
        <v>10426.473939559504</v>
      </c>
      <c r="Q195" s="15">
        <f t="shared" si="454"/>
        <v>10426.473939559504</v>
      </c>
      <c r="R195" s="15">
        <f t="shared" si="454"/>
        <v>10426.473939559504</v>
      </c>
      <c r="S195" s="15">
        <f t="shared" si="454"/>
        <v>10426.473939559504</v>
      </c>
      <c r="T195" s="15">
        <f t="shared" si="454"/>
        <v>10426.473939559504</v>
      </c>
      <c r="U195" s="15">
        <f t="shared" si="454"/>
        <v>10426.473939559504</v>
      </c>
      <c r="V195" s="15">
        <f t="shared" si="454"/>
        <v>10426.473939559504</v>
      </c>
      <c r="W195" s="104">
        <f t="shared" si="454"/>
        <v>10426.473939559504</v>
      </c>
      <c r="X195" s="15">
        <f t="shared" si="454"/>
        <v>10426.473939559504</v>
      </c>
      <c r="Y195" s="15">
        <f t="shared" si="454"/>
        <v>10426.473939559504</v>
      </c>
      <c r="Z195" s="15">
        <f t="shared" si="454"/>
        <v>10426.473939559504</v>
      </c>
      <c r="AA195" s="15">
        <f t="shared" si="454"/>
        <v>10426.473939559504</v>
      </c>
      <c r="AB195" s="15">
        <f t="shared" si="454"/>
        <v>10426.473939559504</v>
      </c>
      <c r="AC195" s="15">
        <f t="shared" si="454"/>
        <v>10426.473939559504</v>
      </c>
      <c r="AD195" s="15">
        <f t="shared" si="454"/>
        <v>10426.473939559504</v>
      </c>
      <c r="AE195" s="15">
        <f t="shared" si="454"/>
        <v>10426.473939559504</v>
      </c>
      <c r="AF195" s="15">
        <f t="shared" si="454"/>
        <v>10426.473939559504</v>
      </c>
      <c r="AG195" s="15">
        <f t="shared" si="454"/>
        <v>10426.473939559504</v>
      </c>
      <c r="AH195" s="15">
        <f t="shared" si="454"/>
        <v>10426.473939559504</v>
      </c>
      <c r="AJ195" s="15">
        <f ca="1">AJ198+AJ197-AJ196</f>
        <v>10426.473939559504</v>
      </c>
      <c r="AK195" s="15">
        <f t="shared" ref="AK195:AW195" ca="1" si="455">AK198+AK197-AK196</f>
        <v>10426.473939559504</v>
      </c>
      <c r="AL195" s="15">
        <f t="shared" ca="1" si="455"/>
        <v>10426.473939559504</v>
      </c>
      <c r="AM195" s="15">
        <f t="shared" ca="1" si="455"/>
        <v>10426.473939559504</v>
      </c>
      <c r="AN195" s="15">
        <f t="shared" ca="1" si="455"/>
        <v>10426.473939559504</v>
      </c>
      <c r="AO195" s="15">
        <f t="shared" ca="1" si="455"/>
        <v>10426.473939559504</v>
      </c>
      <c r="AP195" s="15">
        <f t="shared" ca="1" si="455"/>
        <v>10426.473939559504</v>
      </c>
      <c r="AQ195" s="15">
        <f t="shared" ca="1" si="455"/>
        <v>10426.473939559504</v>
      </c>
      <c r="AR195" s="15">
        <f t="shared" ca="1" si="455"/>
        <v>10426.473939559504</v>
      </c>
      <c r="AS195" s="15">
        <f t="shared" ca="1" si="455"/>
        <v>10426.473939559504</v>
      </c>
      <c r="AT195" s="15">
        <f t="shared" si="455"/>
        <v>0</v>
      </c>
      <c r="AU195" s="15">
        <f t="shared" ca="1" si="455"/>
        <v>10426.473939559504</v>
      </c>
      <c r="AV195" s="15">
        <f t="shared" ca="1" si="455"/>
        <v>10426.473939559504</v>
      </c>
      <c r="AW195" s="15">
        <f t="shared" ca="1" si="455"/>
        <v>10426.473939559504</v>
      </c>
    </row>
    <row r="196" spans="2:49" x14ac:dyDescent="0.25">
      <c r="C196" s="108" t="s">
        <v>216</v>
      </c>
      <c r="D196" s="1"/>
      <c r="E196" s="37">
        <v>0</v>
      </c>
      <c r="F196" s="37">
        <v>0</v>
      </c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0</v>
      </c>
      <c r="P196" s="32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J196" s="15" cm="1">
        <f t="array" aca="1" ref="AJ196" ca="1">SUMPRODUCT(($E196:$AH196)*(AJ$3&amp;AJ$4&amp;AJ$5&amp;AJ$6=$E$3:$AH$3&amp;$E$4:$AH$4&amp;$E$5:$AH$5&amp;$E$6:$AH$6))</f>
        <v>0</v>
      </c>
      <c r="AK196" s="15" cm="1">
        <f t="array" aca="1" ref="AK196" ca="1">SUMPRODUCT(($E196:$AH196)*(AK$3=$E$3:$AH$3)*(AK$4=$E$4:$AH$4)*(AK$5=$E$5:$AH$5)*(AK$6=$E$6:$AH$6))</f>
        <v>0</v>
      </c>
      <c r="AL196" s="15" cm="1">
        <f t="array" aca="1" ref="AL196" ca="1">SUMPRODUCT(($E196:$AH196)*(AL$3=$E$3:$AH$3)*(AL$4=$E$4:$AH$4)*(AL$5=$E$5:$AH$5)*(AL$6=$E$6:$AH$6))</f>
        <v>0</v>
      </c>
      <c r="AM196" s="15" cm="1">
        <f t="array" aca="1" ref="AM196" ca="1">SUMPRODUCT(($E196:$AH196)*(AM$3=$E$3:$AH$3)*(AM$4=$E$4:$AH$4)*(AM$5=$E$5:$AH$5)*(AM$6=$E$6:$AH$6))</f>
        <v>0</v>
      </c>
      <c r="AN196" s="15" cm="1">
        <f t="array" aca="1" ref="AN196" ca="1">SUMPRODUCT(($E196:$AH196)*(AN$3=$E$3:$AH$3)*(AN$4=$E$4:$AH$4)*(AN$5=$E$5:$AH$5)*(AN$6=$E$6:$AH$6))</f>
        <v>0</v>
      </c>
      <c r="AO196" s="15" cm="1">
        <f t="array" aca="1" ref="AO196" ca="1">SUMPRODUCT(($E196:$AH196)*(AO$3=$E$3:$AH$3)*(AO$4=$E$4:$AH$4)*(AO$5=$E$5:$AH$5)*(AO$6=$E$6:$AH$6))</f>
        <v>0</v>
      </c>
      <c r="AP196" s="15" cm="1">
        <f t="array" aca="1" ref="AP196" ca="1">SUMPRODUCT(($E196:$AH196)*(AP$3=$E$3:$AH$3)*(AP$4=$E$4:$AH$4)*(AP$5=$E$5:$AH$5)*(AP$6=$E$6:$AH$6))</f>
        <v>0</v>
      </c>
      <c r="AQ196" s="15" cm="1">
        <f t="array" aca="1" ref="AQ196" ca="1">SUMPRODUCT(($E196:$AH196)*(AQ$3=$E$3:$AH$3)*(AQ$4=$E$4:$AH$4)*(AQ$5=$E$5:$AH$5)*(AQ$6=$E$6:$AH$6))</f>
        <v>0</v>
      </c>
      <c r="AR196" s="15" cm="1">
        <f t="array" aca="1" ref="AR196" ca="1">SUMPRODUCT(($E196:$AH196)*(AR$3=$E$3:$AH$3)*(AR$4=$E$4:$AH$4)*(AR$5=$E$5:$AH$5)*(AR$6=$E$6:$AH$6))</f>
        <v>0</v>
      </c>
      <c r="AS196" s="15" cm="1">
        <f t="array" aca="1" ref="AS196" ca="1">SUMPRODUCT(($E196:$AH196)*(AS$3=$E$3:$AH$3)*(AS$4=$E$4:$AH$4)*(AS$5=$E$5:$AH$5)*(AS$6=$E$6:$AH$6))</f>
        <v>0</v>
      </c>
      <c r="AU196" s="15" cm="1">
        <f t="array" aca="1" ref="AU196" ca="1">SUMPRODUCT(($E196:$AH196)*(AU$5=$E$5:$AH$5))</f>
        <v>0</v>
      </c>
      <c r="AV196" s="15" cm="1">
        <f t="array" aca="1" ref="AV196" ca="1">SUMPRODUCT(($E196:$AH196)*(AV$5=$E$5:$AH$5))</f>
        <v>0</v>
      </c>
      <c r="AW196" s="15" cm="1">
        <f t="array" aca="1" ref="AW196" ca="1">SUMPRODUCT(($E196:$AH196)*(AW$5=$E$5:$AH$5))</f>
        <v>0</v>
      </c>
    </row>
    <row r="197" spans="2:49" x14ac:dyDescent="0.25">
      <c r="C197" s="109" t="s">
        <v>217</v>
      </c>
      <c r="D197" s="23"/>
      <c r="E197" s="38">
        <v>0</v>
      </c>
      <c r="F197" s="38">
        <v>0</v>
      </c>
      <c r="G197" s="38">
        <v>0</v>
      </c>
      <c r="H197" s="38">
        <v>0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0</v>
      </c>
      <c r="O197" s="38">
        <v>0</v>
      </c>
      <c r="P197" s="39">
        <v>0</v>
      </c>
      <c r="Q197" s="165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v>0</v>
      </c>
      <c r="AB197" s="38">
        <v>0</v>
      </c>
      <c r="AC197" s="38">
        <v>0</v>
      </c>
      <c r="AD197" s="38">
        <v>0</v>
      </c>
      <c r="AE197" s="38">
        <v>0</v>
      </c>
      <c r="AF197" s="38">
        <v>0</v>
      </c>
      <c r="AG197" s="38">
        <v>0</v>
      </c>
      <c r="AH197" s="38">
        <v>0</v>
      </c>
      <c r="AJ197" s="29" cm="1">
        <f t="array" aca="1" ref="AJ197" ca="1">SUMPRODUCT(($E197:$AH197)*(AJ$3&amp;AJ$4&amp;AJ$5&amp;AJ$6=$E$3:$AH$3&amp;$E$4:$AH$4&amp;$E$5:$AH$5&amp;$E$6:$AH$6))</f>
        <v>0</v>
      </c>
      <c r="AK197" s="29" cm="1">
        <f t="array" aca="1" ref="AK197" ca="1">SUMPRODUCT(($E197:$AH197)*(AK$3=$E$3:$AH$3)*(AK$4=$E$4:$AH$4)*(AK$5=$E$5:$AH$5)*(AK$6=$E$6:$AH$6))</f>
        <v>0</v>
      </c>
      <c r="AL197" s="29" cm="1">
        <f t="array" aca="1" ref="AL197" ca="1">SUMPRODUCT(($E197:$AH197)*(AL$3=$E$3:$AH$3)*(AL$4=$E$4:$AH$4)*(AL$5=$E$5:$AH$5)*(AL$6=$E$6:$AH$6))</f>
        <v>0</v>
      </c>
      <c r="AM197" s="29" cm="1">
        <f t="array" aca="1" ref="AM197" ca="1">SUMPRODUCT(($E197:$AH197)*(AM$3=$E$3:$AH$3)*(AM$4=$E$4:$AH$4)*(AM$5=$E$5:$AH$5)*(AM$6=$E$6:$AH$6))</f>
        <v>0</v>
      </c>
      <c r="AN197" s="29" cm="1">
        <f t="array" aca="1" ref="AN197" ca="1">SUMPRODUCT(($E197:$AH197)*(AN$3=$E$3:$AH$3)*(AN$4=$E$4:$AH$4)*(AN$5=$E$5:$AH$5)*(AN$6=$E$6:$AH$6))</f>
        <v>0</v>
      </c>
      <c r="AO197" s="29" cm="1">
        <f t="array" aca="1" ref="AO197" ca="1">SUMPRODUCT(($E197:$AH197)*(AO$3=$E$3:$AH$3)*(AO$4=$E$4:$AH$4)*(AO$5=$E$5:$AH$5)*(AO$6=$E$6:$AH$6))</f>
        <v>0</v>
      </c>
      <c r="AP197" s="29" cm="1">
        <f t="array" aca="1" ref="AP197" ca="1">SUMPRODUCT(($E197:$AH197)*(AP$3=$E$3:$AH$3)*(AP$4=$E$4:$AH$4)*(AP$5=$E$5:$AH$5)*(AP$6=$E$6:$AH$6))</f>
        <v>0</v>
      </c>
      <c r="AQ197" s="29" cm="1">
        <f t="array" aca="1" ref="AQ197" ca="1">SUMPRODUCT(($E197:$AH197)*(AQ$3=$E$3:$AH$3)*(AQ$4=$E$4:$AH$4)*(AQ$5=$E$5:$AH$5)*(AQ$6=$E$6:$AH$6))</f>
        <v>0</v>
      </c>
      <c r="AR197" s="29" cm="1">
        <f t="array" aca="1" ref="AR197" ca="1">SUMPRODUCT(($E197:$AH197)*(AR$3=$E$3:$AH$3)*(AR$4=$E$4:$AH$4)*(AR$5=$E$5:$AH$5)*(AR$6=$E$6:$AH$6))</f>
        <v>0</v>
      </c>
      <c r="AS197" s="29" cm="1">
        <f t="array" aca="1" ref="AS197" ca="1">SUMPRODUCT(($E197:$AH197)*(AS$3=$E$3:$AH$3)*(AS$4=$E$4:$AH$4)*(AS$5=$E$5:$AH$5)*(AS$6=$E$6:$AH$6))</f>
        <v>0</v>
      </c>
      <c r="AU197" s="29" cm="1">
        <f t="array" aca="1" ref="AU197" ca="1">SUMPRODUCT(($E197:$AH197)*(AU$5=$E$5:$AH$5))</f>
        <v>0</v>
      </c>
      <c r="AV197" s="29" cm="1">
        <f t="array" aca="1" ref="AV197" ca="1">SUMPRODUCT(($E197:$AH197)*(AV$5=$E$5:$AH$5))</f>
        <v>0</v>
      </c>
      <c r="AW197" s="29" cm="1">
        <f t="array" aca="1" ref="AW197" ca="1">SUMPRODUCT(($E197:$AH197)*(AW$5=$E$5:$AH$5))</f>
        <v>0</v>
      </c>
    </row>
    <row r="198" spans="2:49" x14ac:dyDescent="0.25">
      <c r="B198" t="s">
        <v>231</v>
      </c>
      <c r="C198" s="2" t="s">
        <v>195</v>
      </c>
      <c r="D198" s="37">
        <v>10426.473939559504</v>
      </c>
      <c r="E198" s="31">
        <v>10426.473939559504</v>
      </c>
      <c r="F198" s="31">
        <v>10426.473939559504</v>
      </c>
      <c r="G198" s="31">
        <v>10426.473939559504</v>
      </c>
      <c r="H198" s="31">
        <v>10426.473939559504</v>
      </c>
      <c r="I198" s="31">
        <v>10426.473939559504</v>
      </c>
      <c r="J198" s="37">
        <v>10426.473939559504</v>
      </c>
      <c r="K198" s="31">
        <v>10426.473939559504</v>
      </c>
      <c r="L198" s="31">
        <v>10426.473939559504</v>
      </c>
      <c r="M198" s="31">
        <v>10426.473939559504</v>
      </c>
      <c r="N198" s="31">
        <v>10426.473939559504</v>
      </c>
      <c r="O198" s="31">
        <v>10426.473939559504</v>
      </c>
      <c r="P198" s="32">
        <v>10426.473939559504</v>
      </c>
      <c r="Q198" s="15">
        <f t="shared" ref="Q198:AH198" si="456">SUM(Q195:Q197)</f>
        <v>10426.473939559504</v>
      </c>
      <c r="R198" s="15">
        <f t="shared" si="456"/>
        <v>10426.473939559504</v>
      </c>
      <c r="S198" s="15">
        <f t="shared" si="456"/>
        <v>10426.473939559504</v>
      </c>
      <c r="T198" s="15">
        <f t="shared" si="456"/>
        <v>10426.473939559504</v>
      </c>
      <c r="U198" s="15">
        <f t="shared" si="456"/>
        <v>10426.473939559504</v>
      </c>
      <c r="V198" s="15">
        <f t="shared" si="456"/>
        <v>10426.473939559504</v>
      </c>
      <c r="W198" s="15">
        <f t="shared" si="456"/>
        <v>10426.473939559504</v>
      </c>
      <c r="X198" s="15">
        <f t="shared" si="456"/>
        <v>10426.473939559504</v>
      </c>
      <c r="Y198" s="15">
        <f t="shared" si="456"/>
        <v>10426.473939559504</v>
      </c>
      <c r="Z198" s="15">
        <f t="shared" si="456"/>
        <v>10426.473939559504</v>
      </c>
      <c r="AA198" s="15">
        <f t="shared" si="456"/>
        <v>10426.473939559504</v>
      </c>
      <c r="AB198" s="15">
        <f t="shared" si="456"/>
        <v>10426.473939559504</v>
      </c>
      <c r="AC198" s="15">
        <f t="shared" si="456"/>
        <v>10426.473939559504</v>
      </c>
      <c r="AD198" s="15">
        <f t="shared" si="456"/>
        <v>10426.473939559504</v>
      </c>
      <c r="AE198" s="15">
        <f t="shared" si="456"/>
        <v>10426.473939559504</v>
      </c>
      <c r="AF198" s="15">
        <f t="shared" si="456"/>
        <v>10426.473939559504</v>
      </c>
      <c r="AG198" s="15">
        <f t="shared" si="456"/>
        <v>10426.473939559504</v>
      </c>
      <c r="AH198" s="15">
        <f t="shared" si="456"/>
        <v>10426.473939559504</v>
      </c>
      <c r="AJ198" s="15" cm="1">
        <f t="array" aca="1" ref="AJ198" ca="1">INDEX($E198:$AH198,1,MATCH(AJ$3&amp;AJ$4&amp;AJ$5&amp;AJ$6,$E$3:$AH$3&amp;$E$4:$AH$4&amp;$E$5:$AH$5&amp;$E$6:$AH$6,1))</f>
        <v>10426.473939559504</v>
      </c>
      <c r="AK198" s="15" cm="1">
        <f t="array" aca="1" ref="AK198" ca="1">INDEX($E198:$AH198,1,MATCH(AK$3&amp;AK$4&amp;AK$5&amp;AK$6,$E$3:$AH$3&amp;$E$4:$AH$4&amp;$E$5:$AH$5&amp;$E$6:$AH$6,1))</f>
        <v>10426.473939559504</v>
      </c>
      <c r="AL198" s="15" cm="1">
        <f t="array" aca="1" ref="AL198" ca="1">INDEX($E198:$AH198,1,MATCH(AL$3&amp;AL$4&amp;AL$5&amp;AL$6,$E$3:$AH$3&amp;$E$4:$AH$4&amp;$E$5:$AH$5&amp;$E$6:$AH$6,1))</f>
        <v>10426.473939559504</v>
      </c>
      <c r="AM198" s="15" cm="1">
        <f t="array" aca="1" ref="AM198" ca="1">INDEX($E198:$AH198,1,MATCH(AM$3&amp;AM$4&amp;AM$5&amp;AM$6,$E$3:$AH$3&amp;$E$4:$AH$4&amp;$E$5:$AH$5&amp;$E$6:$AH$6,1))</f>
        <v>10426.473939559504</v>
      </c>
      <c r="AN198" s="15" cm="1">
        <f t="array" aca="1" ref="AN198" ca="1">INDEX($E198:$AH198,1,MATCH(AN$3&amp;AN$4&amp;AN$5&amp;AN$6,$E$3:$AH$3&amp;$E$4:$AH$4&amp;$E$5:$AH$5&amp;$E$6:$AH$6,1))</f>
        <v>10426.473939559504</v>
      </c>
      <c r="AO198" s="15" cm="1">
        <f t="array" aca="1" ref="AO198" ca="1">INDEX($E198:$AH198,1,MATCH(AO$3&amp;AO$4&amp;AO$5&amp;AO$6,$E$3:$AH$3&amp;$E$4:$AH$4&amp;$E$5:$AH$5&amp;$E$6:$AH$6,1))</f>
        <v>10426.473939559504</v>
      </c>
      <c r="AP198" s="15" cm="1">
        <f t="array" aca="1" ref="AP198" ca="1">INDEX($E198:$AH198,1,MATCH(AP$3&amp;AP$4&amp;AP$5&amp;AP$6,$E$3:$AH$3&amp;$E$4:$AH$4&amp;$E$5:$AH$5&amp;$E$6:$AH$6,1))</f>
        <v>10426.473939559504</v>
      </c>
      <c r="AQ198" s="15" cm="1">
        <f t="array" aca="1" ref="AQ198" ca="1">INDEX($E198:$AH198,1,MATCH(AQ$3&amp;AQ$4&amp;AQ$5&amp;AQ$6,$E$3:$AH$3&amp;$E$4:$AH$4&amp;$E$5:$AH$5&amp;$E$6:$AH$6,1))</f>
        <v>10426.473939559504</v>
      </c>
      <c r="AR198" s="15" cm="1">
        <f t="array" aca="1" ref="AR198" ca="1">INDEX($E198:$AH198,1,MATCH(AR$3&amp;AR$4&amp;AR$5&amp;AR$6,$E$3:$AH$3&amp;$E$4:$AH$4&amp;$E$5:$AH$5&amp;$E$6:$AH$6,1))</f>
        <v>10426.473939559504</v>
      </c>
      <c r="AS198" s="15" cm="1">
        <f t="array" aca="1" ref="AS198" ca="1">INDEX($E198:$AH198,1,MATCH(AS$3&amp;AS$4&amp;AS$5&amp;AS$6,$E$3:$AH$3&amp;$E$4:$AH$4&amp;$E$5:$AH$5&amp;$E$6:$AH$6,1))</f>
        <v>10426.473939559504</v>
      </c>
      <c r="AU198" s="13">
        <f ca="1">INDEX($E198:$AH198,1,MATCH(AU$5,$E$5:$AH$5,1))</f>
        <v>10426.473939559504</v>
      </c>
      <c r="AV198" s="13">
        <f t="shared" ref="AV198:AW198" ca="1" si="457">INDEX($E198:$AH198,1,MATCH(AV$5,$E$5:$AH$5,1))</f>
        <v>10426.473939559504</v>
      </c>
      <c r="AW198" s="13">
        <f t="shared" ca="1" si="457"/>
        <v>10426.473939559504</v>
      </c>
    </row>
    <row r="199" spans="2:49" x14ac:dyDescent="0.25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8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2:49" x14ac:dyDescent="0.25">
      <c r="C200" s="30" t="s">
        <v>171</v>
      </c>
      <c r="D200" s="30"/>
      <c r="E200" s="45" t="str">
        <f t="shared" ref="E200:AH200" si="458">E$9</f>
        <v>Jul-20A</v>
      </c>
      <c r="F200" s="45" t="str">
        <f t="shared" si="458"/>
        <v>Aug-20A</v>
      </c>
      <c r="G200" s="45" t="str">
        <f t="shared" si="458"/>
        <v>Sep-20A</v>
      </c>
      <c r="H200" s="45" t="str">
        <f t="shared" si="458"/>
        <v>Oct-20A</v>
      </c>
      <c r="I200" s="45" t="str">
        <f t="shared" si="458"/>
        <v>Nov-20A</v>
      </c>
      <c r="J200" s="45" t="str">
        <f t="shared" si="458"/>
        <v>Dec-20A</v>
      </c>
      <c r="K200" s="45" t="str">
        <f t="shared" si="458"/>
        <v>Jan-21A</v>
      </c>
      <c r="L200" s="45" t="str">
        <f t="shared" si="458"/>
        <v>Feb-21A</v>
      </c>
      <c r="M200" s="45" t="str">
        <f t="shared" si="458"/>
        <v>Mar-21A</v>
      </c>
      <c r="N200" s="45" t="str">
        <f t="shared" si="458"/>
        <v>Apr-21A</v>
      </c>
      <c r="O200" s="45" t="str">
        <f t="shared" si="458"/>
        <v>May-21A</v>
      </c>
      <c r="P200" s="46" t="str">
        <f t="shared" si="458"/>
        <v>Jun-21A</v>
      </c>
      <c r="Q200" s="45" t="str">
        <f t="shared" si="458"/>
        <v>Jul-21F</v>
      </c>
      <c r="R200" s="45" t="str">
        <f t="shared" si="458"/>
        <v>Aug-21F</v>
      </c>
      <c r="S200" s="45" t="str">
        <f t="shared" si="458"/>
        <v>Sep-21F</v>
      </c>
      <c r="T200" s="45" t="str">
        <f t="shared" si="458"/>
        <v>Oct-21F</v>
      </c>
      <c r="U200" s="45" t="str">
        <f t="shared" si="458"/>
        <v>Nov-21F</v>
      </c>
      <c r="V200" s="45" t="str">
        <f t="shared" si="458"/>
        <v>Dec-21F</v>
      </c>
      <c r="W200" s="45" t="str">
        <f t="shared" si="458"/>
        <v>Jan-22F</v>
      </c>
      <c r="X200" s="45" t="str">
        <f t="shared" si="458"/>
        <v>Feb-22F</v>
      </c>
      <c r="Y200" s="45" t="str">
        <f t="shared" si="458"/>
        <v>Mar-22F</v>
      </c>
      <c r="Z200" s="45" t="str">
        <f t="shared" si="458"/>
        <v>Apr-22F</v>
      </c>
      <c r="AA200" s="45" t="str">
        <f t="shared" si="458"/>
        <v>May-22F</v>
      </c>
      <c r="AB200" s="45" t="str">
        <f t="shared" si="458"/>
        <v>Jun-22F</v>
      </c>
      <c r="AC200" s="45" t="str">
        <f t="shared" si="458"/>
        <v>Jul-22F</v>
      </c>
      <c r="AD200" s="45" t="str">
        <f t="shared" si="458"/>
        <v>Aug-22F</v>
      </c>
      <c r="AE200" s="45" t="str">
        <f t="shared" si="458"/>
        <v>Sep-22F</v>
      </c>
      <c r="AF200" s="45" t="str">
        <f t="shared" si="458"/>
        <v>Oct-22F</v>
      </c>
      <c r="AG200" s="45" t="str">
        <f t="shared" si="458"/>
        <v>Nov-22F</v>
      </c>
      <c r="AH200" s="45" t="str">
        <f t="shared" si="458"/>
        <v>Dec-22F</v>
      </c>
      <c r="AJ200" s="45" t="str">
        <f ca="1">AJ$10</f>
        <v>Q3'20A</v>
      </c>
      <c r="AK200" s="45" t="str">
        <f t="shared" ref="AK200:AW200" ca="1" si="459">AK$10</f>
        <v>Q4'20A</v>
      </c>
      <c r="AL200" s="45" t="str">
        <f t="shared" ca="1" si="459"/>
        <v>Q1'21A</v>
      </c>
      <c r="AM200" s="46" t="str">
        <f t="shared" ca="1" si="459"/>
        <v>Q2'21A</v>
      </c>
      <c r="AN200" s="45" t="str">
        <f t="shared" ca="1" si="459"/>
        <v>Q3'21F</v>
      </c>
      <c r="AO200" s="45" t="str">
        <f t="shared" ca="1" si="459"/>
        <v>Q4'21F</v>
      </c>
      <c r="AP200" s="45" t="str">
        <f t="shared" ca="1" si="459"/>
        <v>Q1'22F</v>
      </c>
      <c r="AQ200" s="45" t="str">
        <f t="shared" ca="1" si="459"/>
        <v>Q2'22F</v>
      </c>
      <c r="AR200" s="45" t="str">
        <f t="shared" ca="1" si="459"/>
        <v>Q3'22F</v>
      </c>
      <c r="AS200" s="45" t="str">
        <f t="shared" ca="1" si="459"/>
        <v>Q4'22F</v>
      </c>
      <c r="AU200" s="45" t="str">
        <f t="shared" ca="1" si="459"/>
        <v>FY20</v>
      </c>
      <c r="AV200" s="45" t="str">
        <f t="shared" ca="1" si="459"/>
        <v>FY21</v>
      </c>
      <c r="AW200" s="45" t="str">
        <f t="shared" ca="1" si="459"/>
        <v>FY22</v>
      </c>
    </row>
    <row r="201" spans="2:49" x14ac:dyDescent="0.25">
      <c r="C201" s="1" t="s">
        <v>194</v>
      </c>
      <c r="D201" s="1"/>
      <c r="E201" s="61">
        <f>D204</f>
        <v>2580.7539779036742</v>
      </c>
      <c r="F201" s="61">
        <f t="shared" ref="F201:AH201" si="460">E204</f>
        <v>2609.8792150083332</v>
      </c>
      <c r="G201" s="61">
        <f t="shared" si="460"/>
        <v>2527.2550207624672</v>
      </c>
      <c r="H201" s="61">
        <f t="shared" si="460"/>
        <v>2505.5443182095219</v>
      </c>
      <c r="I201" s="61">
        <f t="shared" si="460"/>
        <v>2532.5311398306935</v>
      </c>
      <c r="J201" s="61">
        <f t="shared" si="460"/>
        <v>2590.4845972923122</v>
      </c>
      <c r="K201" s="61">
        <f t="shared" si="460"/>
        <v>2825.9293491697872</v>
      </c>
      <c r="L201" s="61">
        <f t="shared" si="460"/>
        <v>2880.5843420238448</v>
      </c>
      <c r="M201" s="61">
        <f t="shared" si="460"/>
        <v>2900.9282418390962</v>
      </c>
      <c r="N201" s="61">
        <f t="shared" si="460"/>
        <v>2629.771318828502</v>
      </c>
      <c r="O201" s="61">
        <f t="shared" si="460"/>
        <v>2843.3493550175444</v>
      </c>
      <c r="P201" s="17">
        <f t="shared" si="460"/>
        <v>2981.8883325971965</v>
      </c>
      <c r="Q201" s="15">
        <f t="shared" si="460"/>
        <v>3102.4823829045263</v>
      </c>
      <c r="R201" s="15">
        <f t="shared" si="460"/>
        <v>3183.6830709911328</v>
      </c>
      <c r="S201" s="15">
        <f t="shared" si="460"/>
        <v>3152.509405459356</v>
      </c>
      <c r="T201" s="15">
        <f t="shared" si="460"/>
        <v>3137.3993140529778</v>
      </c>
      <c r="U201" s="15">
        <f t="shared" si="460"/>
        <v>3152.7398857434323</v>
      </c>
      <c r="V201" s="15">
        <f t="shared" si="460"/>
        <v>3206.7969640596416</v>
      </c>
      <c r="W201" s="104">
        <f t="shared" si="460"/>
        <v>3401.3023390178719</v>
      </c>
      <c r="X201" s="15">
        <f t="shared" si="460"/>
        <v>3447.5150568952167</v>
      </c>
      <c r="Y201" s="15">
        <f t="shared" si="460"/>
        <v>3444.5850231542613</v>
      </c>
      <c r="Z201" s="15">
        <f t="shared" si="460"/>
        <v>3149.8303367118342</v>
      </c>
      <c r="AA201" s="15">
        <f t="shared" si="460"/>
        <v>3354.0715072619309</v>
      </c>
      <c r="AB201" s="15">
        <f t="shared" si="460"/>
        <v>3470.5040904186944</v>
      </c>
      <c r="AC201" s="15">
        <f t="shared" si="460"/>
        <v>3619.7055998488913</v>
      </c>
      <c r="AD201" s="15">
        <f t="shared" si="460"/>
        <v>3695.01591502975</v>
      </c>
      <c r="AE201" s="15">
        <f t="shared" si="460"/>
        <v>3659.3346556013908</v>
      </c>
      <c r="AF201" s="15">
        <f t="shared" si="460"/>
        <v>3653.9572679577955</v>
      </c>
      <c r="AG201" s="15">
        <f t="shared" si="460"/>
        <v>3677.5855248290941</v>
      </c>
      <c r="AH201" s="15">
        <f t="shared" si="460"/>
        <v>3741.5818301066597</v>
      </c>
      <c r="AJ201" s="15">
        <f ca="1">AJ204+AJ203-AJ202</f>
        <v>2580.7539779036742</v>
      </c>
      <c r="AK201" s="15">
        <f t="shared" ref="AK201:AW201" ca="1" si="461">AK204+AK203-AK202</f>
        <v>2505.5443182095219</v>
      </c>
      <c r="AL201" s="15">
        <f t="shared" ca="1" si="461"/>
        <v>2825.9293491697867</v>
      </c>
      <c r="AM201" s="15">
        <f t="shared" ca="1" si="461"/>
        <v>2629.7713188285015</v>
      </c>
      <c r="AN201" s="15">
        <f t="shared" ca="1" si="461"/>
        <v>3102.4823829045263</v>
      </c>
      <c r="AO201" s="15">
        <f t="shared" ca="1" si="461"/>
        <v>3137.3993140529774</v>
      </c>
      <c r="AP201" s="15">
        <f t="shared" ca="1" si="461"/>
        <v>3401.3023390178719</v>
      </c>
      <c r="AQ201" s="15">
        <f t="shared" ca="1" si="461"/>
        <v>3149.8303367118338</v>
      </c>
      <c r="AR201" s="15">
        <f t="shared" ca="1" si="461"/>
        <v>3619.7055998488913</v>
      </c>
      <c r="AS201" s="15">
        <f t="shared" ca="1" si="461"/>
        <v>3653.9572679577955</v>
      </c>
      <c r="AU201" s="15">
        <f t="shared" ca="1" si="461"/>
        <v>2580.7539779036742</v>
      </c>
      <c r="AV201" s="15">
        <f t="shared" ca="1" si="461"/>
        <v>2825.9293491697863</v>
      </c>
      <c r="AW201" s="15">
        <f t="shared" ca="1" si="461"/>
        <v>3401.3023390178714</v>
      </c>
    </row>
    <row r="202" spans="2:49" x14ac:dyDescent="0.25">
      <c r="C202" s="108" t="s">
        <v>218</v>
      </c>
      <c r="D202" s="1"/>
      <c r="E202" s="56">
        <f>Summary_Income_Stmt!E56</f>
        <v>29.125237104659139</v>
      </c>
      <c r="F202" s="56">
        <f>Summary_Income_Stmt!F56</f>
        <v>-82.624194245865795</v>
      </c>
      <c r="G202" s="56">
        <f>Summary_Income_Stmt!G56</f>
        <v>-21.710702552945516</v>
      </c>
      <c r="H202" s="56">
        <f>Summary_Income_Stmt!H56</f>
        <v>26.986821621171551</v>
      </c>
      <c r="I202" s="56">
        <f>Summary_Income_Stmt!I56</f>
        <v>57.953457461618527</v>
      </c>
      <c r="J202" s="56">
        <f>Summary_Income_Stmt!J56</f>
        <v>235.4447518774752</v>
      </c>
      <c r="K202" s="56">
        <f>Summary_Income_Stmt!K56</f>
        <v>54.654992854057717</v>
      </c>
      <c r="L202" s="56">
        <f>Summary_Income_Stmt!L56</f>
        <v>20.343899815251607</v>
      </c>
      <c r="M202" s="56">
        <f>Summary_Income_Stmt!M56</f>
        <v>-271.15692301059426</v>
      </c>
      <c r="N202" s="56">
        <f>Summary_Income_Stmt!N56</f>
        <v>213.57803618904262</v>
      </c>
      <c r="O202" s="56">
        <f>Summary_Income_Stmt!O56</f>
        <v>138.5389775796522</v>
      </c>
      <c r="P202" s="34">
        <f>Summary_Income_Stmt!P56</f>
        <v>120.59405030732998</v>
      </c>
      <c r="Q202" s="33">
        <f>Summary_Income_Stmt!Q56</f>
        <v>81.200688086606505</v>
      </c>
      <c r="R202" s="33">
        <f>Summary_Income_Stmt!R56</f>
        <v>-31.173665531776798</v>
      </c>
      <c r="S202" s="33">
        <f>Summary_Income_Stmt!S56</f>
        <v>-15.110091406378155</v>
      </c>
      <c r="T202" s="33">
        <f>Summary_Income_Stmt!T56</f>
        <v>15.340571690454514</v>
      </c>
      <c r="U202" s="33">
        <f>Summary_Income_Stmt!U56</f>
        <v>54.057078316209406</v>
      </c>
      <c r="V202" s="33">
        <f>Summary_Income_Stmt!V56</f>
        <v>194.50537495823039</v>
      </c>
      <c r="W202" s="33">
        <f>Summary_Income_Stmt!W56</f>
        <v>46.212717877344666</v>
      </c>
      <c r="X202" s="33">
        <f>Summary_Income_Stmt!X56</f>
        <v>-2.930033740955265</v>
      </c>
      <c r="Y202" s="33">
        <f>Summary_Income_Stmt!Y56</f>
        <v>-294.75468644242693</v>
      </c>
      <c r="Z202" s="33">
        <f>Summary_Income_Stmt!Z56</f>
        <v>204.2411705500968</v>
      </c>
      <c r="AA202" s="33">
        <f>Summary_Income_Stmt!AA56</f>
        <v>116.43258315676363</v>
      </c>
      <c r="AB202" s="33">
        <f>Summary_Income_Stmt!AB56</f>
        <v>149.20150943019695</v>
      </c>
      <c r="AC202" s="33">
        <f>Summary_Income_Stmt!AC56</f>
        <v>75.310315180858495</v>
      </c>
      <c r="AD202" s="33">
        <f>Summary_Income_Stmt!AD56</f>
        <v>-35.681259428359056</v>
      </c>
      <c r="AE202" s="33">
        <f>Summary_Income_Stmt!AE56</f>
        <v>-5.3773876435951724</v>
      </c>
      <c r="AF202" s="33">
        <f>Summary_Income_Stmt!AF56</f>
        <v>23.628256871298657</v>
      </c>
      <c r="AG202" s="33">
        <f>Summary_Income_Stmt!AG56</f>
        <v>63.996305277565639</v>
      </c>
      <c r="AH202" s="33">
        <f>Summary_Income_Stmt!AH56</f>
        <v>212.06107516189809</v>
      </c>
      <c r="AJ202" s="15" cm="1">
        <f t="array" aca="1" ref="AJ202" ca="1">SUMPRODUCT(($E202:$AH202)*(AJ$3&amp;AJ$4&amp;AJ$5&amp;AJ$6=$E$3:$AH$3&amp;$E$4:$AH$4&amp;$E$5:$AH$5&amp;$E$6:$AH$6))</f>
        <v>-75.20965969415218</v>
      </c>
      <c r="AK202" s="15" cm="1">
        <f t="array" aca="1" ref="AK202" ca="1">SUMPRODUCT(($E202:$AH202)*(AK$3=$E$3:$AH$3)*(AK$4=$E$4:$AH$4)*(AK$5=$E$5:$AH$5)*(AK$6=$E$6:$AH$6))</f>
        <v>320.38503096026528</v>
      </c>
      <c r="AL202" s="15" cm="1">
        <f t="array" aca="1" ref="AL202" ca="1">SUMPRODUCT(($E202:$AH202)*(AL$3=$E$3:$AH$3)*(AL$4=$E$4:$AH$4)*(AL$5=$E$5:$AH$5)*(AL$6=$E$6:$AH$6))</f>
        <v>-196.15803034128493</v>
      </c>
      <c r="AM202" s="15" cm="1">
        <f t="array" aca="1" ref="AM202" ca="1">SUMPRODUCT(($E202:$AH202)*(AM$3=$E$3:$AH$3)*(AM$4=$E$4:$AH$4)*(AM$5=$E$5:$AH$5)*(AM$6=$E$6:$AH$6))</f>
        <v>472.71106407602485</v>
      </c>
      <c r="AN202" s="15" cm="1">
        <f t="array" aca="1" ref="AN202" ca="1">SUMPRODUCT(($E202:$AH202)*(AN$3=$E$3:$AH$3)*(AN$4=$E$4:$AH$4)*(AN$5=$E$5:$AH$5)*(AN$6=$E$6:$AH$6))</f>
        <v>34.916931148451553</v>
      </c>
      <c r="AO202" s="15" cm="1">
        <f t="array" aca="1" ref="AO202" ca="1">SUMPRODUCT(($E202:$AH202)*(AO$3=$E$3:$AH$3)*(AO$4=$E$4:$AH$4)*(AO$5=$E$5:$AH$5)*(AO$6=$E$6:$AH$6))</f>
        <v>263.90302496489431</v>
      </c>
      <c r="AP202" s="15" cm="1">
        <f t="array" aca="1" ref="AP202" ca="1">SUMPRODUCT(($E202:$AH202)*(AP$3=$E$3:$AH$3)*(AP$4=$E$4:$AH$4)*(AP$5=$E$5:$AH$5)*(AP$6=$E$6:$AH$6))</f>
        <v>-251.47200230603752</v>
      </c>
      <c r="AQ202" s="15" cm="1">
        <f t="array" aca="1" ref="AQ202" ca="1">SUMPRODUCT(($E202:$AH202)*(AQ$3=$E$3:$AH$3)*(AQ$4=$E$4:$AH$4)*(AQ$5=$E$5:$AH$5)*(AQ$6=$E$6:$AH$6))</f>
        <v>469.8752631370574</v>
      </c>
      <c r="AR202" s="15" cm="1">
        <f t="array" aca="1" ref="AR202" ca="1">SUMPRODUCT(($E202:$AH202)*(AR$3=$E$3:$AH$3)*(AR$4=$E$4:$AH$4)*(AR$5=$E$5:$AH$5)*(AR$6=$E$6:$AH$6))</f>
        <v>34.251668108904269</v>
      </c>
      <c r="AS202" s="15" cm="1">
        <f t="array" aca="1" ref="AS202" ca="1">SUMPRODUCT(($E202:$AH202)*(AS$3=$E$3:$AH$3)*(AS$4=$E$4:$AH$4)*(AS$5=$E$5:$AH$5)*(AS$6=$E$6:$AH$6))</f>
        <v>299.68563731076239</v>
      </c>
      <c r="AU202" s="15" cm="1">
        <f t="array" aca="1" ref="AU202" ca="1">SUMPRODUCT(($E202:$AH202)*(AU$5=$E$5:$AH$5))</f>
        <v>245.1753712661131</v>
      </c>
      <c r="AV202" s="15" cm="1">
        <f t="array" aca="1" ref="AV202" ca="1">SUMPRODUCT(($E202:$AH202)*(AV$5=$E$5:$AH$5))</f>
        <v>575.37298984808581</v>
      </c>
      <c r="AW202" s="15" cm="1">
        <f t="array" aca="1" ref="AW202" ca="1">SUMPRODUCT(($E202:$AH202)*(AW$5=$E$5:$AH$5))</f>
        <v>552.34056625068649</v>
      </c>
    </row>
    <row r="203" spans="2:49" x14ac:dyDescent="0.25">
      <c r="C203" s="109" t="s">
        <v>219</v>
      </c>
      <c r="D203" s="23"/>
      <c r="E203" s="38">
        <v>0</v>
      </c>
      <c r="F203" s="38">
        <v>0</v>
      </c>
      <c r="G203" s="38">
        <v>0</v>
      </c>
      <c r="H203" s="38">
        <v>0</v>
      </c>
      <c r="I203" s="38"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9">
        <v>0</v>
      </c>
      <c r="Q203" s="165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v>0</v>
      </c>
      <c r="AB203" s="38">
        <v>0</v>
      </c>
      <c r="AC203" s="38">
        <v>0</v>
      </c>
      <c r="AD203" s="38">
        <v>0</v>
      </c>
      <c r="AE203" s="38">
        <v>0</v>
      </c>
      <c r="AF203" s="38">
        <v>0</v>
      </c>
      <c r="AG203" s="38">
        <v>0</v>
      </c>
      <c r="AH203" s="38">
        <v>0</v>
      </c>
      <c r="AJ203" s="29" cm="1">
        <f t="array" aca="1" ref="AJ203" ca="1">SUMPRODUCT(($E203:$AH203)*(AJ$3&amp;AJ$4&amp;AJ$5&amp;AJ$6=$E$3:$AH$3&amp;$E$4:$AH$4&amp;$E$5:$AH$5&amp;$E$6:$AH$6))</f>
        <v>0</v>
      </c>
      <c r="AK203" s="29" cm="1">
        <f t="array" aca="1" ref="AK203" ca="1">SUMPRODUCT(($E203:$AH203)*(AK$3=$E$3:$AH$3)*(AK$4=$E$4:$AH$4)*(AK$5=$E$5:$AH$5)*(AK$6=$E$6:$AH$6))</f>
        <v>0</v>
      </c>
      <c r="AL203" s="29" cm="1">
        <f t="array" aca="1" ref="AL203" ca="1">SUMPRODUCT(($E203:$AH203)*(AL$3=$E$3:$AH$3)*(AL$4=$E$4:$AH$4)*(AL$5=$E$5:$AH$5)*(AL$6=$E$6:$AH$6))</f>
        <v>0</v>
      </c>
      <c r="AM203" s="29" cm="1">
        <f t="array" aca="1" ref="AM203" ca="1">SUMPRODUCT(($E203:$AH203)*(AM$3=$E$3:$AH$3)*(AM$4=$E$4:$AH$4)*(AM$5=$E$5:$AH$5)*(AM$6=$E$6:$AH$6))</f>
        <v>0</v>
      </c>
      <c r="AN203" s="29" cm="1">
        <f t="array" aca="1" ref="AN203" ca="1">SUMPRODUCT(($E203:$AH203)*(AN$3=$E$3:$AH$3)*(AN$4=$E$4:$AH$4)*(AN$5=$E$5:$AH$5)*(AN$6=$E$6:$AH$6))</f>
        <v>0</v>
      </c>
      <c r="AO203" s="29" cm="1">
        <f t="array" aca="1" ref="AO203" ca="1">SUMPRODUCT(($E203:$AH203)*(AO$3=$E$3:$AH$3)*(AO$4=$E$4:$AH$4)*(AO$5=$E$5:$AH$5)*(AO$6=$E$6:$AH$6))</f>
        <v>0</v>
      </c>
      <c r="AP203" s="29" cm="1">
        <f t="array" aca="1" ref="AP203" ca="1">SUMPRODUCT(($E203:$AH203)*(AP$3=$E$3:$AH$3)*(AP$4=$E$4:$AH$4)*(AP$5=$E$5:$AH$5)*(AP$6=$E$6:$AH$6))</f>
        <v>0</v>
      </c>
      <c r="AQ203" s="29" cm="1">
        <f t="array" aca="1" ref="AQ203" ca="1">SUMPRODUCT(($E203:$AH203)*(AQ$3=$E$3:$AH$3)*(AQ$4=$E$4:$AH$4)*(AQ$5=$E$5:$AH$5)*(AQ$6=$E$6:$AH$6))</f>
        <v>0</v>
      </c>
      <c r="AR203" s="29" cm="1">
        <f t="array" aca="1" ref="AR203" ca="1">SUMPRODUCT(($E203:$AH203)*(AR$3=$E$3:$AH$3)*(AR$4=$E$4:$AH$4)*(AR$5=$E$5:$AH$5)*(AR$6=$E$6:$AH$6))</f>
        <v>0</v>
      </c>
      <c r="AS203" s="29" cm="1">
        <f t="array" aca="1" ref="AS203" ca="1">SUMPRODUCT(($E203:$AH203)*(AS$3=$E$3:$AH$3)*(AS$4=$E$4:$AH$4)*(AS$5=$E$5:$AH$5)*(AS$6=$E$6:$AH$6))</f>
        <v>0</v>
      </c>
      <c r="AU203" s="29" cm="1">
        <f t="array" aca="1" ref="AU203" ca="1">SUMPRODUCT(($E203:$AH203)*(AU$5=$E$5:$AH$5))</f>
        <v>0</v>
      </c>
      <c r="AV203" s="29" cm="1">
        <f t="array" aca="1" ref="AV203" ca="1">SUMPRODUCT(($E203:$AH203)*(AV$5=$E$5:$AH$5))</f>
        <v>0</v>
      </c>
      <c r="AW203" s="29" cm="1">
        <f t="array" aca="1" ref="AW203" ca="1">SUMPRODUCT(($E203:$AH203)*(AW$5=$E$5:$AH$5))</f>
        <v>0</v>
      </c>
    </row>
    <row r="204" spans="2:49" x14ac:dyDescent="0.25">
      <c r="B204" t="s">
        <v>231</v>
      </c>
      <c r="C204" s="2" t="s">
        <v>195</v>
      </c>
      <c r="D204" s="37">
        <v>2580.7539779036742</v>
      </c>
      <c r="E204" s="31">
        <f>E201+E202-E203</f>
        <v>2609.8792150083332</v>
      </c>
      <c r="F204" s="31">
        <f t="shared" ref="F204:AH204" si="462">F201+F202-F203</f>
        <v>2527.2550207624672</v>
      </c>
      <c r="G204" s="31">
        <f t="shared" si="462"/>
        <v>2505.5443182095219</v>
      </c>
      <c r="H204" s="31">
        <f t="shared" si="462"/>
        <v>2532.5311398306935</v>
      </c>
      <c r="I204" s="31">
        <f t="shared" si="462"/>
        <v>2590.4845972923122</v>
      </c>
      <c r="J204" s="37">
        <f t="shared" si="462"/>
        <v>2825.9293491697872</v>
      </c>
      <c r="K204" s="31">
        <f t="shared" si="462"/>
        <v>2880.5843420238448</v>
      </c>
      <c r="L204" s="31">
        <f t="shared" si="462"/>
        <v>2900.9282418390962</v>
      </c>
      <c r="M204" s="31">
        <f t="shared" si="462"/>
        <v>2629.771318828502</v>
      </c>
      <c r="N204" s="31">
        <f t="shared" si="462"/>
        <v>2843.3493550175444</v>
      </c>
      <c r="O204" s="31">
        <f t="shared" si="462"/>
        <v>2981.8883325971965</v>
      </c>
      <c r="P204" s="32">
        <f t="shared" si="462"/>
        <v>3102.4823829045263</v>
      </c>
      <c r="Q204" s="15">
        <f t="shared" si="462"/>
        <v>3183.6830709911328</v>
      </c>
      <c r="R204" s="15">
        <f t="shared" si="462"/>
        <v>3152.509405459356</v>
      </c>
      <c r="S204" s="15">
        <f t="shared" si="462"/>
        <v>3137.3993140529778</v>
      </c>
      <c r="T204" s="15">
        <f t="shared" si="462"/>
        <v>3152.7398857434323</v>
      </c>
      <c r="U204" s="15">
        <f t="shared" si="462"/>
        <v>3206.7969640596416</v>
      </c>
      <c r="V204" s="15">
        <f t="shared" si="462"/>
        <v>3401.3023390178719</v>
      </c>
      <c r="W204" s="15">
        <f t="shared" si="462"/>
        <v>3447.5150568952167</v>
      </c>
      <c r="X204" s="15">
        <f t="shared" si="462"/>
        <v>3444.5850231542613</v>
      </c>
      <c r="Y204" s="15">
        <f t="shared" si="462"/>
        <v>3149.8303367118342</v>
      </c>
      <c r="Z204" s="15">
        <f t="shared" si="462"/>
        <v>3354.0715072619309</v>
      </c>
      <c r="AA204" s="15">
        <f t="shared" si="462"/>
        <v>3470.5040904186944</v>
      </c>
      <c r="AB204" s="15">
        <f t="shared" si="462"/>
        <v>3619.7055998488913</v>
      </c>
      <c r="AC204" s="15">
        <f t="shared" si="462"/>
        <v>3695.01591502975</v>
      </c>
      <c r="AD204" s="15">
        <f t="shared" si="462"/>
        <v>3659.3346556013908</v>
      </c>
      <c r="AE204" s="15">
        <f t="shared" si="462"/>
        <v>3653.9572679577955</v>
      </c>
      <c r="AF204" s="15">
        <f t="shared" si="462"/>
        <v>3677.5855248290941</v>
      </c>
      <c r="AG204" s="15">
        <f t="shared" si="462"/>
        <v>3741.5818301066597</v>
      </c>
      <c r="AH204" s="15">
        <f t="shared" si="462"/>
        <v>3953.642905268558</v>
      </c>
      <c r="AJ204" s="15" cm="1">
        <f t="array" aca="1" ref="AJ204" ca="1">INDEX($E204:$AH204,1,MATCH(AJ$3&amp;AJ$4&amp;AJ$5&amp;AJ$6,$E$3:$AH$3&amp;$E$4:$AH$4&amp;$E$5:$AH$5&amp;$E$6:$AH$6,1))</f>
        <v>2505.5443182095219</v>
      </c>
      <c r="AK204" s="15" cm="1">
        <f t="array" aca="1" ref="AK204" ca="1">INDEX($E204:$AH204,1,MATCH(AK$3&amp;AK$4&amp;AK$5&amp;AK$6,$E$3:$AH$3&amp;$E$4:$AH$4&amp;$E$5:$AH$5&amp;$E$6:$AH$6,1))</f>
        <v>2825.9293491697872</v>
      </c>
      <c r="AL204" s="15" cm="1">
        <f t="array" aca="1" ref="AL204" ca="1">INDEX($E204:$AH204,1,MATCH(AL$3&amp;AL$4&amp;AL$5&amp;AL$6,$E$3:$AH$3&amp;$E$4:$AH$4&amp;$E$5:$AH$5&amp;$E$6:$AH$6,1))</f>
        <v>2629.771318828502</v>
      </c>
      <c r="AM204" s="15" cm="1">
        <f t="array" aca="1" ref="AM204" ca="1">INDEX($E204:$AH204,1,MATCH(AM$3&amp;AM$4&amp;AM$5&amp;AM$6,$E$3:$AH$3&amp;$E$4:$AH$4&amp;$E$5:$AH$5&amp;$E$6:$AH$6,1))</f>
        <v>3102.4823829045263</v>
      </c>
      <c r="AN204" s="15" cm="1">
        <f t="array" aca="1" ref="AN204" ca="1">INDEX($E204:$AH204,1,MATCH(AN$3&amp;AN$4&amp;AN$5&amp;AN$6,$E$3:$AH$3&amp;$E$4:$AH$4&amp;$E$5:$AH$5&amp;$E$6:$AH$6,1))</f>
        <v>3137.3993140529778</v>
      </c>
      <c r="AO204" s="15" cm="1">
        <f t="array" aca="1" ref="AO204" ca="1">INDEX($E204:$AH204,1,MATCH(AO$3&amp;AO$4&amp;AO$5&amp;AO$6,$E$3:$AH$3&amp;$E$4:$AH$4&amp;$E$5:$AH$5&amp;$E$6:$AH$6,1))</f>
        <v>3401.3023390178719</v>
      </c>
      <c r="AP204" s="15" cm="1">
        <f t="array" aca="1" ref="AP204" ca="1">INDEX($E204:$AH204,1,MATCH(AP$3&amp;AP$4&amp;AP$5&amp;AP$6,$E$3:$AH$3&amp;$E$4:$AH$4&amp;$E$5:$AH$5&amp;$E$6:$AH$6,1))</f>
        <v>3149.8303367118342</v>
      </c>
      <c r="AQ204" s="15" cm="1">
        <f t="array" aca="1" ref="AQ204" ca="1">INDEX($E204:$AH204,1,MATCH(AQ$3&amp;AQ$4&amp;AQ$5&amp;AQ$6,$E$3:$AH$3&amp;$E$4:$AH$4&amp;$E$5:$AH$5&amp;$E$6:$AH$6,1))</f>
        <v>3619.7055998488913</v>
      </c>
      <c r="AR204" s="15" cm="1">
        <f t="array" aca="1" ref="AR204" ca="1">INDEX($E204:$AH204,1,MATCH(AR$3&amp;AR$4&amp;AR$5&amp;AR$6,$E$3:$AH$3&amp;$E$4:$AH$4&amp;$E$5:$AH$5&amp;$E$6:$AH$6,1))</f>
        <v>3653.9572679577955</v>
      </c>
      <c r="AS204" s="15" cm="1">
        <f t="array" aca="1" ref="AS204" ca="1">INDEX($E204:$AH204,1,MATCH(AS$3&amp;AS$4&amp;AS$5&amp;AS$6,$E$3:$AH$3&amp;$E$4:$AH$4&amp;$E$5:$AH$5&amp;$E$6:$AH$6,1))</f>
        <v>3953.642905268558</v>
      </c>
      <c r="AU204" s="13">
        <f ca="1">INDEX($E204:$AH204,1,MATCH(AU$5,$E$5:$AH$5,1))</f>
        <v>2825.9293491697872</v>
      </c>
      <c r="AV204" s="13">
        <f t="shared" ref="AV204:AW204" ca="1" si="463">INDEX($E204:$AH204,1,MATCH(AV$5,$E$5:$AH$5,1))</f>
        <v>3401.3023390178719</v>
      </c>
      <c r="AW204" s="13">
        <f t="shared" ca="1" si="463"/>
        <v>3953.642905268558</v>
      </c>
    </row>
    <row r="205" spans="2:49" x14ac:dyDescent="0.25">
      <c r="P205" s="8"/>
    </row>
    <row r="206" spans="2:49" ht="15.75" thickBot="1" x14ac:dyDescent="0.3">
      <c r="B206" t="s">
        <v>231</v>
      </c>
      <c r="C206" s="53" t="s">
        <v>172</v>
      </c>
      <c r="D206" s="54">
        <f>D192-D198+D204</f>
        <v>6217.3157733176286</v>
      </c>
      <c r="E206" s="54">
        <f>E192-E198+E204</f>
        <v>6246.4410104222879</v>
      </c>
      <c r="F206" s="54">
        <f t="shared" ref="F206:AH206" si="464">F192-F198+F204</f>
        <v>6163.8168161764215</v>
      </c>
      <c r="G206" s="54">
        <f t="shared" si="464"/>
        <v>6142.1061136234766</v>
      </c>
      <c r="H206" s="54">
        <f t="shared" si="464"/>
        <v>6169.0929352446474</v>
      </c>
      <c r="I206" s="54">
        <f t="shared" si="464"/>
        <v>6227.0463927062665</v>
      </c>
      <c r="J206" s="54">
        <f t="shared" si="464"/>
        <v>6462.4911445837415</v>
      </c>
      <c r="K206" s="54">
        <f t="shared" si="464"/>
        <v>6517.1461374377996</v>
      </c>
      <c r="L206" s="54">
        <f t="shared" si="464"/>
        <v>6537.4900372530501</v>
      </c>
      <c r="M206" s="54">
        <f t="shared" si="464"/>
        <v>6266.3331142424558</v>
      </c>
      <c r="N206" s="54">
        <f t="shared" si="464"/>
        <v>6479.9111504314988</v>
      </c>
      <c r="O206" s="54">
        <f t="shared" si="464"/>
        <v>6618.4501280111508</v>
      </c>
      <c r="P206" s="55">
        <f t="shared" si="464"/>
        <v>6739.0441783184806</v>
      </c>
      <c r="Q206" s="54">
        <f t="shared" si="464"/>
        <v>6820.2448664050871</v>
      </c>
      <c r="R206" s="54">
        <f t="shared" si="464"/>
        <v>6789.0712008733099</v>
      </c>
      <c r="S206" s="54">
        <f t="shared" si="464"/>
        <v>6773.9611094669326</v>
      </c>
      <c r="T206" s="54">
        <f t="shared" si="464"/>
        <v>6789.3016811573871</v>
      </c>
      <c r="U206" s="54">
        <f t="shared" si="464"/>
        <v>6843.3587594735964</v>
      </c>
      <c r="V206" s="54">
        <f t="shared" si="464"/>
        <v>7037.8641344318257</v>
      </c>
      <c r="W206" s="54">
        <f t="shared" si="464"/>
        <v>7084.076852309171</v>
      </c>
      <c r="X206" s="54">
        <f t="shared" si="464"/>
        <v>7081.1468185682152</v>
      </c>
      <c r="Y206" s="54">
        <f t="shared" si="464"/>
        <v>6786.3921321257885</v>
      </c>
      <c r="Z206" s="54">
        <f t="shared" si="464"/>
        <v>6990.6333026758857</v>
      </c>
      <c r="AA206" s="54">
        <f t="shared" si="464"/>
        <v>7107.0658858326487</v>
      </c>
      <c r="AB206" s="54">
        <f t="shared" si="464"/>
        <v>7256.2673952628456</v>
      </c>
      <c r="AC206" s="54">
        <f t="shared" si="464"/>
        <v>7331.5777104437038</v>
      </c>
      <c r="AD206" s="54">
        <f t="shared" si="464"/>
        <v>7295.8964510153455</v>
      </c>
      <c r="AE206" s="54">
        <f t="shared" si="464"/>
        <v>7290.5190633717502</v>
      </c>
      <c r="AF206" s="54">
        <f t="shared" si="464"/>
        <v>7314.1473202430479</v>
      </c>
      <c r="AG206" s="54">
        <f t="shared" si="464"/>
        <v>7378.1436255206136</v>
      </c>
      <c r="AH206" s="54">
        <f t="shared" si="464"/>
        <v>7590.2047006825123</v>
      </c>
      <c r="AJ206" s="54">
        <f t="shared" ref="AJ206:AS206" ca="1" si="465">AJ192-AJ198+AJ204</f>
        <v>6142.1061136234766</v>
      </c>
      <c r="AK206" s="54">
        <f t="shared" ca="1" si="465"/>
        <v>6462.4911445837415</v>
      </c>
      <c r="AL206" s="54">
        <f t="shared" ca="1" si="465"/>
        <v>6266.3331142424558</v>
      </c>
      <c r="AM206" s="54">
        <f t="shared" ca="1" si="465"/>
        <v>6739.0441783184806</v>
      </c>
      <c r="AN206" s="54">
        <f t="shared" ca="1" si="465"/>
        <v>6773.9611094669326</v>
      </c>
      <c r="AO206" s="54">
        <f t="shared" ca="1" si="465"/>
        <v>7037.8641344318257</v>
      </c>
      <c r="AP206" s="54">
        <f t="shared" ca="1" si="465"/>
        <v>6786.3921321257885</v>
      </c>
      <c r="AQ206" s="54">
        <f t="shared" ca="1" si="465"/>
        <v>7256.2673952628456</v>
      </c>
      <c r="AR206" s="54">
        <f t="shared" ca="1" si="465"/>
        <v>7290.5190633717502</v>
      </c>
      <c r="AS206" s="54">
        <f t="shared" ca="1" si="465"/>
        <v>7590.2047006825123</v>
      </c>
      <c r="AU206" s="54">
        <f t="shared" ref="AU206:AW206" ca="1" si="466">AU192-AU198+AU204</f>
        <v>6462.4911445837415</v>
      </c>
      <c r="AV206" s="54">
        <f t="shared" ca="1" si="466"/>
        <v>7037.8641344318257</v>
      </c>
      <c r="AW206" s="54">
        <f t="shared" ca="1" si="466"/>
        <v>7590.2047006825123</v>
      </c>
    </row>
    <row r="207" spans="2:49" ht="15.75" thickTop="1" x14ac:dyDescent="0.25">
      <c r="P207" s="8"/>
    </row>
    <row r="208" spans="2:49" ht="15.75" thickBot="1" x14ac:dyDescent="0.3">
      <c r="B208" t="s">
        <v>231</v>
      </c>
      <c r="C208" s="53" t="s">
        <v>173</v>
      </c>
      <c r="D208" s="54">
        <f t="shared" ref="D208:AH208" si="467">D185+D206</f>
        <v>17958.747272069817</v>
      </c>
      <c r="E208" s="54">
        <f t="shared" si="467"/>
        <v>17604.355899896771</v>
      </c>
      <c r="F208" s="54">
        <f t="shared" si="467"/>
        <v>17054.7103880713</v>
      </c>
      <c r="G208" s="54">
        <f t="shared" si="467"/>
        <v>16527.507382504115</v>
      </c>
      <c r="H208" s="54">
        <f t="shared" si="467"/>
        <v>16479.474069809901</v>
      </c>
      <c r="I208" s="54">
        <f t="shared" si="467"/>
        <v>17612.294691982963</v>
      </c>
      <c r="J208" s="54">
        <f t="shared" si="467"/>
        <v>16654.274405399257</v>
      </c>
      <c r="K208" s="54">
        <f t="shared" si="467"/>
        <v>17052.734704036226</v>
      </c>
      <c r="L208" s="54">
        <f t="shared" si="467"/>
        <v>16416.208913367453</v>
      </c>
      <c r="M208" s="54">
        <f t="shared" si="467"/>
        <v>16788.368444661177</v>
      </c>
      <c r="N208" s="54">
        <f t="shared" si="467"/>
        <v>16887.885213436079</v>
      </c>
      <c r="O208" s="54">
        <f t="shared" si="467"/>
        <v>17671.046984456036</v>
      </c>
      <c r="P208" s="55">
        <f t="shared" si="467"/>
        <v>18025.109978951659</v>
      </c>
      <c r="Q208" s="54">
        <f t="shared" si="467"/>
        <v>17973.099284233598</v>
      </c>
      <c r="R208" s="54">
        <f t="shared" si="467"/>
        <v>16794.619298509679</v>
      </c>
      <c r="S208" s="54">
        <f t="shared" si="467"/>
        <v>16607.431270189329</v>
      </c>
      <c r="T208" s="54">
        <f t="shared" si="467"/>
        <v>16470.811985218774</v>
      </c>
      <c r="U208" s="54">
        <f t="shared" si="467"/>
        <v>16439.836700965629</v>
      </c>
      <c r="V208" s="54">
        <f t="shared" si="467"/>
        <v>17459.548342010938</v>
      </c>
      <c r="W208" s="54">
        <f t="shared" si="467"/>
        <v>17152.157556876562</v>
      </c>
      <c r="X208" s="54">
        <f t="shared" si="467"/>
        <v>17013.542175137583</v>
      </c>
      <c r="Y208" s="54">
        <f t="shared" si="467"/>
        <v>17234.925028264297</v>
      </c>
      <c r="Z208" s="54">
        <f t="shared" si="467"/>
        <v>17820.270376859808</v>
      </c>
      <c r="AA208" s="54">
        <f t="shared" si="467"/>
        <v>17724.032925959167</v>
      </c>
      <c r="AB208" s="54">
        <f t="shared" si="467"/>
        <v>18730.912141875673</v>
      </c>
      <c r="AC208" s="54">
        <f t="shared" si="467"/>
        <v>18677.765997761588</v>
      </c>
      <c r="AD208" s="54">
        <f t="shared" si="467"/>
        <v>17466.262583060165</v>
      </c>
      <c r="AE208" s="54">
        <f t="shared" si="467"/>
        <v>17288.556207743444</v>
      </c>
      <c r="AF208" s="54">
        <f t="shared" si="467"/>
        <v>17164.642658153552</v>
      </c>
      <c r="AG208" s="54">
        <f t="shared" si="467"/>
        <v>17139.736854822786</v>
      </c>
      <c r="AH208" s="54">
        <f t="shared" si="467"/>
        <v>18209.54366845197</v>
      </c>
      <c r="AJ208" s="54">
        <f t="shared" ref="AJ208:AS208" ca="1" si="468">AJ185+AJ206</f>
        <v>16527.507382504115</v>
      </c>
      <c r="AK208" s="54">
        <f t="shared" ca="1" si="468"/>
        <v>16654.274405399257</v>
      </c>
      <c r="AL208" s="54">
        <f t="shared" ca="1" si="468"/>
        <v>16788.368444661177</v>
      </c>
      <c r="AM208" s="54">
        <f t="shared" ca="1" si="468"/>
        <v>18025.109978951659</v>
      </c>
      <c r="AN208" s="54">
        <f t="shared" ca="1" si="468"/>
        <v>16607.431270189329</v>
      </c>
      <c r="AO208" s="54">
        <f t="shared" ca="1" si="468"/>
        <v>17459.548342010938</v>
      </c>
      <c r="AP208" s="54">
        <f t="shared" ca="1" si="468"/>
        <v>17234.925028264297</v>
      </c>
      <c r="AQ208" s="54">
        <f t="shared" ca="1" si="468"/>
        <v>18730.912141875673</v>
      </c>
      <c r="AR208" s="54">
        <f t="shared" ca="1" si="468"/>
        <v>17288.556207743444</v>
      </c>
      <c r="AS208" s="54">
        <f t="shared" ca="1" si="468"/>
        <v>18209.54366845197</v>
      </c>
      <c r="AU208" s="54">
        <f t="shared" ref="AU208:AW208" ca="1" si="469">AU185+AU206</f>
        <v>16654.274405399257</v>
      </c>
      <c r="AV208" s="54">
        <f t="shared" ca="1" si="469"/>
        <v>17459.548342010938</v>
      </c>
      <c r="AW208" s="54">
        <f t="shared" ca="1" si="469"/>
        <v>18209.54366845197</v>
      </c>
    </row>
    <row r="209" spans="1:49" ht="15.75" thickTop="1" x14ac:dyDescent="0.25">
      <c r="P209" s="8"/>
    </row>
    <row r="210" spans="1:49" x14ac:dyDescent="0.25">
      <c r="C210" s="110" t="s">
        <v>482</v>
      </c>
      <c r="D210" s="110" t="b">
        <f t="shared" ref="D210:AH210" si="470">ABS(D127-D208)&lt;0.001</f>
        <v>1</v>
      </c>
      <c r="E210" s="110" t="b">
        <f t="shared" si="470"/>
        <v>1</v>
      </c>
      <c r="F210" s="110" t="b">
        <f t="shared" si="470"/>
        <v>1</v>
      </c>
      <c r="G210" s="110" t="b">
        <f t="shared" si="470"/>
        <v>1</v>
      </c>
      <c r="H210" s="110" t="b">
        <f t="shared" si="470"/>
        <v>1</v>
      </c>
      <c r="I210" s="110" t="b">
        <f t="shared" si="470"/>
        <v>1</v>
      </c>
      <c r="J210" s="110" t="b">
        <f t="shared" si="470"/>
        <v>1</v>
      </c>
      <c r="K210" s="110" t="b">
        <f t="shared" si="470"/>
        <v>1</v>
      </c>
      <c r="L210" s="110" t="b">
        <f t="shared" si="470"/>
        <v>1</v>
      </c>
      <c r="M210" s="110" t="b">
        <f t="shared" si="470"/>
        <v>1</v>
      </c>
      <c r="N210" s="110" t="b">
        <f t="shared" si="470"/>
        <v>1</v>
      </c>
      <c r="O210" s="110" t="b">
        <f t="shared" si="470"/>
        <v>1</v>
      </c>
      <c r="P210" s="111" t="b">
        <f t="shared" si="470"/>
        <v>1</v>
      </c>
      <c r="Q210" s="110" t="b">
        <f t="shared" si="470"/>
        <v>1</v>
      </c>
      <c r="R210" s="110" t="b">
        <f t="shared" si="470"/>
        <v>1</v>
      </c>
      <c r="S210" s="110" t="b">
        <f t="shared" si="470"/>
        <v>1</v>
      </c>
      <c r="T210" s="110" t="b">
        <f t="shared" si="470"/>
        <v>1</v>
      </c>
      <c r="U210" s="110" t="b">
        <f t="shared" si="470"/>
        <v>1</v>
      </c>
      <c r="V210" s="110" t="b">
        <f t="shared" si="470"/>
        <v>1</v>
      </c>
      <c r="W210" s="110" t="b">
        <f t="shared" si="470"/>
        <v>1</v>
      </c>
      <c r="X210" s="110" t="b">
        <f t="shared" si="470"/>
        <v>1</v>
      </c>
      <c r="Y210" s="110" t="b">
        <f t="shared" si="470"/>
        <v>1</v>
      </c>
      <c r="Z210" s="110" t="b">
        <f t="shared" si="470"/>
        <v>1</v>
      </c>
      <c r="AA210" s="110" t="b">
        <f t="shared" si="470"/>
        <v>1</v>
      </c>
      <c r="AB210" s="110" t="b">
        <f t="shared" si="470"/>
        <v>1</v>
      </c>
      <c r="AC210" s="110" t="b">
        <f t="shared" si="470"/>
        <v>1</v>
      </c>
      <c r="AD210" s="110" t="b">
        <f t="shared" si="470"/>
        <v>1</v>
      </c>
      <c r="AE210" s="110" t="b">
        <f t="shared" si="470"/>
        <v>1</v>
      </c>
      <c r="AF210" s="110" t="b">
        <f t="shared" si="470"/>
        <v>1</v>
      </c>
      <c r="AG210" s="110" t="b">
        <f t="shared" si="470"/>
        <v>1</v>
      </c>
      <c r="AH210" s="110" t="b">
        <f t="shared" si="470"/>
        <v>1</v>
      </c>
      <c r="AJ210" s="110" t="b">
        <f t="shared" ref="AJ210:AS210" ca="1" si="471">ABS(AJ127-AJ208)&lt;0.001</f>
        <v>1</v>
      </c>
      <c r="AK210" s="110" t="b">
        <f t="shared" ca="1" si="471"/>
        <v>1</v>
      </c>
      <c r="AL210" s="110" t="b">
        <f t="shared" ca="1" si="471"/>
        <v>1</v>
      </c>
      <c r="AM210" s="110" t="b">
        <f t="shared" ca="1" si="471"/>
        <v>1</v>
      </c>
      <c r="AN210" s="110" t="b">
        <f t="shared" ca="1" si="471"/>
        <v>1</v>
      </c>
      <c r="AO210" s="110" t="b">
        <f t="shared" ca="1" si="471"/>
        <v>1</v>
      </c>
      <c r="AP210" s="110" t="b">
        <f t="shared" ca="1" si="471"/>
        <v>1</v>
      </c>
      <c r="AQ210" s="110" t="b">
        <f t="shared" ca="1" si="471"/>
        <v>1</v>
      </c>
      <c r="AR210" s="110" t="b">
        <f t="shared" ca="1" si="471"/>
        <v>1</v>
      </c>
      <c r="AS210" s="110" t="b">
        <f t="shared" ca="1" si="471"/>
        <v>1</v>
      </c>
      <c r="AU210" s="110" t="b">
        <f ca="1">ABS(AU127-AU208)&lt;0.001</f>
        <v>1</v>
      </c>
      <c r="AV210" s="110" t="b">
        <f ca="1">ABS(AV127-AV208)&lt;0.001</f>
        <v>1</v>
      </c>
      <c r="AW210" s="110" t="b">
        <f ca="1">ABS(AW127-AW208)&lt;0.001</f>
        <v>1</v>
      </c>
    </row>
    <row r="211" spans="1:49" x14ac:dyDescent="0.25">
      <c r="C211" t="s">
        <v>485</v>
      </c>
      <c r="E211" s="110" t="b">
        <f>(E201+E202-E203)=E204</f>
        <v>1</v>
      </c>
      <c r="F211" s="110" t="b">
        <f t="shared" ref="F211:AH211" si="472">(F201+F202-F203)=F204</f>
        <v>1</v>
      </c>
      <c r="G211" s="110" t="b">
        <f t="shared" si="472"/>
        <v>1</v>
      </c>
      <c r="H211" s="110" t="b">
        <f t="shared" si="472"/>
        <v>1</v>
      </c>
      <c r="I211" s="110" t="b">
        <f t="shared" si="472"/>
        <v>1</v>
      </c>
      <c r="J211" s="110" t="b">
        <f t="shared" si="472"/>
        <v>1</v>
      </c>
      <c r="K211" s="110" t="b">
        <f t="shared" si="472"/>
        <v>1</v>
      </c>
      <c r="L211" s="110" t="b">
        <f t="shared" si="472"/>
        <v>1</v>
      </c>
      <c r="M211" s="110" t="b">
        <f t="shared" si="472"/>
        <v>1</v>
      </c>
      <c r="N211" s="110" t="b">
        <f t="shared" si="472"/>
        <v>1</v>
      </c>
      <c r="O211" s="110" t="b">
        <f t="shared" si="472"/>
        <v>1</v>
      </c>
      <c r="P211" s="111" t="b">
        <f t="shared" si="472"/>
        <v>1</v>
      </c>
      <c r="Q211" s="110" t="b">
        <f t="shared" si="472"/>
        <v>1</v>
      </c>
      <c r="R211" s="110" t="b">
        <f t="shared" si="472"/>
        <v>1</v>
      </c>
      <c r="S211" s="110" t="b">
        <f t="shared" si="472"/>
        <v>1</v>
      </c>
      <c r="T211" s="110" t="b">
        <f t="shared" si="472"/>
        <v>1</v>
      </c>
      <c r="U211" s="110" t="b">
        <f t="shared" si="472"/>
        <v>1</v>
      </c>
      <c r="V211" s="110" t="b">
        <f t="shared" si="472"/>
        <v>1</v>
      </c>
      <c r="W211" s="110" t="b">
        <f t="shared" si="472"/>
        <v>1</v>
      </c>
      <c r="X211" s="110" t="b">
        <f t="shared" si="472"/>
        <v>1</v>
      </c>
      <c r="Y211" s="110" t="b">
        <f t="shared" si="472"/>
        <v>1</v>
      </c>
      <c r="Z211" s="110" t="b">
        <f t="shared" si="472"/>
        <v>1</v>
      </c>
      <c r="AA211" s="110" t="b">
        <f t="shared" si="472"/>
        <v>1</v>
      </c>
      <c r="AB211" s="110" t="b">
        <f t="shared" si="472"/>
        <v>1</v>
      </c>
      <c r="AC211" s="110" t="b">
        <f t="shared" si="472"/>
        <v>1</v>
      </c>
      <c r="AD211" s="110" t="b">
        <f t="shared" si="472"/>
        <v>1</v>
      </c>
      <c r="AE211" s="110" t="b">
        <f t="shared" si="472"/>
        <v>1</v>
      </c>
      <c r="AF211" s="110" t="b">
        <f t="shared" si="472"/>
        <v>1</v>
      </c>
      <c r="AG211" s="110" t="b">
        <f t="shared" si="472"/>
        <v>1</v>
      </c>
      <c r="AH211" s="110" t="b">
        <f t="shared" si="472"/>
        <v>1</v>
      </c>
      <c r="AJ211" s="110" t="b">
        <f t="shared" ref="AJ211:AS211" ca="1" si="473">(AJ201+AJ202-AJ203)=AJ204</f>
        <v>1</v>
      </c>
      <c r="AK211" s="110" t="b">
        <f t="shared" ca="1" si="473"/>
        <v>1</v>
      </c>
      <c r="AL211" s="110" t="b">
        <f t="shared" ca="1" si="473"/>
        <v>1</v>
      </c>
      <c r="AM211" s="110" t="b">
        <f t="shared" ca="1" si="473"/>
        <v>1</v>
      </c>
      <c r="AN211" s="110" t="b">
        <f t="shared" ca="1" si="473"/>
        <v>1</v>
      </c>
      <c r="AO211" s="110" t="b">
        <f t="shared" ca="1" si="473"/>
        <v>1</v>
      </c>
      <c r="AP211" s="110" t="b">
        <f t="shared" ca="1" si="473"/>
        <v>1</v>
      </c>
      <c r="AQ211" s="110" t="b">
        <f t="shared" ca="1" si="473"/>
        <v>1</v>
      </c>
      <c r="AR211" s="110" t="b">
        <f t="shared" ca="1" si="473"/>
        <v>1</v>
      </c>
      <c r="AS211" s="110" t="b">
        <f t="shared" ca="1" si="473"/>
        <v>1</v>
      </c>
      <c r="AU211" s="110" t="b">
        <f t="shared" ref="AU211:AW211" ca="1" si="474">(AU201+AU202-AU203)=AU204</f>
        <v>1</v>
      </c>
      <c r="AV211" s="110" t="b">
        <f t="shared" ca="1" si="474"/>
        <v>1</v>
      </c>
      <c r="AW211" s="110" t="b">
        <f t="shared" ca="1" si="474"/>
        <v>1</v>
      </c>
    </row>
    <row r="213" spans="1:49" ht="18.75" x14ac:dyDescent="0.3">
      <c r="A213" t="s">
        <v>231</v>
      </c>
      <c r="B213" t="s">
        <v>231</v>
      </c>
      <c r="C213" s="181" t="s">
        <v>489</v>
      </c>
      <c r="D213" s="35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</row>
    <row r="214" spans="1:49" x14ac:dyDescent="0.25">
      <c r="C214" s="11"/>
      <c r="D214" s="11"/>
    </row>
    <row r="215" spans="1:49" x14ac:dyDescent="0.25">
      <c r="B215" t="s">
        <v>231</v>
      </c>
      <c r="C215" s="30" t="s">
        <v>501</v>
      </c>
      <c r="D215" s="30"/>
      <c r="E215" s="45" t="str">
        <f t="shared" ref="E215:AH215" si="475">E$9</f>
        <v>Jul-20A</v>
      </c>
      <c r="F215" s="45" t="str">
        <f t="shared" si="475"/>
        <v>Aug-20A</v>
      </c>
      <c r="G215" s="45" t="str">
        <f t="shared" si="475"/>
        <v>Sep-20A</v>
      </c>
      <c r="H215" s="45" t="str">
        <f t="shared" si="475"/>
        <v>Oct-20A</v>
      </c>
      <c r="I215" s="45" t="str">
        <f t="shared" si="475"/>
        <v>Nov-20A</v>
      </c>
      <c r="J215" s="45" t="str">
        <f t="shared" si="475"/>
        <v>Dec-20A</v>
      </c>
      <c r="K215" s="45" t="str">
        <f t="shared" si="475"/>
        <v>Jan-21A</v>
      </c>
      <c r="L215" s="45" t="str">
        <f t="shared" si="475"/>
        <v>Feb-21A</v>
      </c>
      <c r="M215" s="45" t="str">
        <f t="shared" si="475"/>
        <v>Mar-21A</v>
      </c>
      <c r="N215" s="45" t="str">
        <f t="shared" si="475"/>
        <v>Apr-21A</v>
      </c>
      <c r="O215" s="45" t="str">
        <f t="shared" si="475"/>
        <v>May-21A</v>
      </c>
      <c r="P215" s="46" t="str">
        <f t="shared" si="475"/>
        <v>Jun-21A</v>
      </c>
      <c r="Q215" s="45" t="str">
        <f t="shared" si="475"/>
        <v>Jul-21F</v>
      </c>
      <c r="R215" s="45" t="str">
        <f t="shared" si="475"/>
        <v>Aug-21F</v>
      </c>
      <c r="S215" s="45" t="str">
        <f t="shared" si="475"/>
        <v>Sep-21F</v>
      </c>
      <c r="T215" s="45" t="str">
        <f t="shared" si="475"/>
        <v>Oct-21F</v>
      </c>
      <c r="U215" s="45" t="str">
        <f t="shared" si="475"/>
        <v>Nov-21F</v>
      </c>
      <c r="V215" s="45" t="str">
        <f t="shared" si="475"/>
        <v>Dec-21F</v>
      </c>
      <c r="W215" s="45" t="str">
        <f t="shared" si="475"/>
        <v>Jan-22F</v>
      </c>
      <c r="X215" s="45" t="str">
        <f t="shared" si="475"/>
        <v>Feb-22F</v>
      </c>
      <c r="Y215" s="45" t="str">
        <f t="shared" si="475"/>
        <v>Mar-22F</v>
      </c>
      <c r="Z215" s="45" t="str">
        <f t="shared" si="475"/>
        <v>Apr-22F</v>
      </c>
      <c r="AA215" s="45" t="str">
        <f t="shared" si="475"/>
        <v>May-22F</v>
      </c>
      <c r="AB215" s="45" t="str">
        <f t="shared" si="475"/>
        <v>Jun-22F</v>
      </c>
      <c r="AC215" s="45" t="str">
        <f t="shared" si="475"/>
        <v>Jul-22F</v>
      </c>
      <c r="AD215" s="45" t="str">
        <f t="shared" si="475"/>
        <v>Aug-22F</v>
      </c>
      <c r="AE215" s="45" t="str">
        <f t="shared" si="475"/>
        <v>Sep-22F</v>
      </c>
      <c r="AF215" s="45" t="str">
        <f t="shared" si="475"/>
        <v>Oct-22F</v>
      </c>
      <c r="AG215" s="45" t="str">
        <f t="shared" si="475"/>
        <v>Nov-22F</v>
      </c>
      <c r="AH215" s="45" t="str">
        <f t="shared" si="475"/>
        <v>Dec-22F</v>
      </c>
      <c r="AJ215" s="45" t="str">
        <f ca="1">AJ$10</f>
        <v>Q3'20A</v>
      </c>
      <c r="AK215" s="45" t="str">
        <f t="shared" ref="AK215:AW215" ca="1" si="476">AK$10</f>
        <v>Q4'20A</v>
      </c>
      <c r="AL215" s="45" t="str">
        <f t="shared" ca="1" si="476"/>
        <v>Q1'21A</v>
      </c>
      <c r="AM215" s="46" t="str">
        <f t="shared" ca="1" si="476"/>
        <v>Q2'21A</v>
      </c>
      <c r="AN215" s="45" t="str">
        <f t="shared" ca="1" si="476"/>
        <v>Q3'21F</v>
      </c>
      <c r="AO215" s="45" t="str">
        <f t="shared" ca="1" si="476"/>
        <v>Q4'21F</v>
      </c>
      <c r="AP215" s="45" t="str">
        <f t="shared" ca="1" si="476"/>
        <v>Q1'22F</v>
      </c>
      <c r="AQ215" s="45" t="str">
        <f t="shared" ca="1" si="476"/>
        <v>Q2'22F</v>
      </c>
      <c r="AR215" s="45" t="str">
        <f t="shared" ca="1" si="476"/>
        <v>Q3'22F</v>
      </c>
      <c r="AS215" s="45" t="str">
        <f t="shared" ca="1" si="476"/>
        <v>Q4'22F</v>
      </c>
      <c r="AU215" s="45" t="str">
        <f t="shared" ca="1" si="476"/>
        <v>FY20</v>
      </c>
      <c r="AV215" s="45" t="str">
        <f t="shared" ca="1" si="476"/>
        <v>FY21</v>
      </c>
      <c r="AW215" s="45" t="str">
        <f t="shared" ca="1" si="476"/>
        <v>FY22</v>
      </c>
    </row>
    <row r="216" spans="1:49" x14ac:dyDescent="0.25">
      <c r="C216" s="1" t="s">
        <v>502</v>
      </c>
      <c r="E216" s="13">
        <f t="shared" ref="E216:AH216" si="477">E62</f>
        <v>75</v>
      </c>
      <c r="F216" s="13">
        <f t="shared" si="477"/>
        <v>75.416666666666671</v>
      </c>
      <c r="G216" s="13">
        <f t="shared" si="477"/>
        <v>78.833333333333343</v>
      </c>
      <c r="H216" s="13">
        <f t="shared" si="477"/>
        <v>82.250000000000014</v>
      </c>
      <c r="I216" s="13">
        <f t="shared" si="477"/>
        <v>85.6666666666667</v>
      </c>
      <c r="J216" s="13">
        <f t="shared" si="477"/>
        <v>80</v>
      </c>
      <c r="K216" s="13">
        <f t="shared" si="477"/>
        <v>92.500000000000028</v>
      </c>
      <c r="L216" s="13">
        <f t="shared" si="477"/>
        <v>95.9166666666667</v>
      </c>
      <c r="M216" s="13">
        <f t="shared" si="477"/>
        <v>99.333333333333371</v>
      </c>
      <c r="N216" s="13">
        <f t="shared" si="477"/>
        <v>92</v>
      </c>
      <c r="O216" s="13">
        <f t="shared" si="477"/>
        <v>106.16666666666671</v>
      </c>
      <c r="P216" s="17">
        <f t="shared" si="477"/>
        <v>113</v>
      </c>
      <c r="Q216" s="13">
        <f t="shared" si="477"/>
        <v>99.819444444444471</v>
      </c>
      <c r="R216" s="13">
        <f t="shared" si="477"/>
        <v>101.03935185185186</v>
      </c>
      <c r="S216" s="13">
        <f t="shared" si="477"/>
        <v>101.89313271604941</v>
      </c>
      <c r="T216" s="13">
        <f t="shared" si="477"/>
        <v>102.31976594650207</v>
      </c>
      <c r="U216" s="13">
        <f t="shared" si="477"/>
        <v>104.03972693758577</v>
      </c>
      <c r="V216" s="13">
        <f t="shared" si="477"/>
        <v>103.68523698273894</v>
      </c>
      <c r="W216" s="13">
        <f t="shared" si="477"/>
        <v>102.13277647986207</v>
      </c>
      <c r="X216" s="13">
        <f t="shared" si="477"/>
        <v>102.51833181909835</v>
      </c>
      <c r="Y216" s="13">
        <f t="shared" si="477"/>
        <v>102.76482848030611</v>
      </c>
      <c r="Z216" s="13">
        <f t="shared" si="477"/>
        <v>102.91011110768223</v>
      </c>
      <c r="AA216" s="13">
        <f t="shared" si="477"/>
        <v>103.00850196787893</v>
      </c>
      <c r="AB216" s="13">
        <f t="shared" si="477"/>
        <v>102.83663113959445</v>
      </c>
      <c r="AC216" s="13">
        <f t="shared" si="477"/>
        <v>102.69519683240368</v>
      </c>
      <c r="AD216" s="13">
        <f t="shared" si="477"/>
        <v>102.78893355782729</v>
      </c>
      <c r="AE216" s="13">
        <f t="shared" si="477"/>
        <v>102.83403384761544</v>
      </c>
      <c r="AF216" s="13">
        <f t="shared" si="477"/>
        <v>102.84556807550034</v>
      </c>
      <c r="AG216" s="13">
        <f t="shared" si="477"/>
        <v>102.83481090347</v>
      </c>
      <c r="AH216" s="13">
        <f t="shared" si="477"/>
        <v>102.80586239273521</v>
      </c>
      <c r="AJ216" s="13">
        <f t="shared" ref="AJ216:AS216" ca="1" si="478">AJ62</f>
        <v>71.106863602220727</v>
      </c>
      <c r="AK216" s="13">
        <f t="shared" ca="1" si="478"/>
        <v>98.075368553664319</v>
      </c>
      <c r="AL216" s="13">
        <f t="shared" ca="1" si="478"/>
        <v>95.64370520231391</v>
      </c>
      <c r="AM216" s="17">
        <f t="shared" ca="1" si="478"/>
        <v>116.63614380178214</v>
      </c>
      <c r="AN216" s="13">
        <f t="shared" ca="1" si="478"/>
        <v>91.694549785690427</v>
      </c>
      <c r="AO216" s="13">
        <f t="shared" ca="1" si="478"/>
        <v>124.15227658774582</v>
      </c>
      <c r="AP216" s="13">
        <f t="shared" ca="1" si="478"/>
        <v>96.605285456487792</v>
      </c>
      <c r="AQ216" s="13">
        <f t="shared" ca="1" si="478"/>
        <v>106.48756804590637</v>
      </c>
      <c r="AR216" s="13">
        <f t="shared" ca="1" si="478"/>
        <v>92.552368172191422</v>
      </c>
      <c r="AS216" s="13">
        <f t="shared" ca="1" si="478"/>
        <v>123.09108202133754</v>
      </c>
      <c r="AU216" s="13">
        <f ca="1">AU62</f>
        <v>100.07970909500719</v>
      </c>
      <c r="AV216" s="13">
        <f ca="1">AV62</f>
        <v>131.86579804026238</v>
      </c>
      <c r="AW216" s="13">
        <f ca="1">AW62</f>
        <v>120.56983782643761</v>
      </c>
    </row>
    <row r="217" spans="1:49" x14ac:dyDescent="0.25">
      <c r="C217" s="1" t="s">
        <v>203</v>
      </c>
      <c r="E217" s="13">
        <f t="shared" ref="E217:AH217" si="479">E81</f>
        <v>219.69005251830225</v>
      </c>
      <c r="F217" s="13">
        <f t="shared" si="479"/>
        <v>224.51745012430541</v>
      </c>
      <c r="G217" s="13">
        <f t="shared" si="479"/>
        <v>222.35851209561423</v>
      </c>
      <c r="H217" s="13">
        <f t="shared" si="479"/>
        <v>219.33216947072049</v>
      </c>
      <c r="I217" s="13">
        <f t="shared" si="479"/>
        <v>212.35858302575303</v>
      </c>
      <c r="J217" s="13">
        <f t="shared" si="479"/>
        <v>202.83777941764993</v>
      </c>
      <c r="K217" s="13">
        <f t="shared" si="479"/>
        <v>200.51640045183092</v>
      </c>
      <c r="L217" s="13">
        <f t="shared" si="479"/>
        <v>209.47446583309662</v>
      </c>
      <c r="M217" s="13">
        <f t="shared" si="479"/>
        <v>211.82200712919368</v>
      </c>
      <c r="N217" s="13">
        <f t="shared" si="479"/>
        <v>176.06682450344741</v>
      </c>
      <c r="O217" s="13">
        <f t="shared" si="479"/>
        <v>193.12429918452082</v>
      </c>
      <c r="P217" s="17">
        <f t="shared" si="479"/>
        <v>210.16474622685971</v>
      </c>
      <c r="Q217" s="13">
        <f t="shared" si="479"/>
        <v>219.69005251830225</v>
      </c>
      <c r="R217" s="13">
        <f t="shared" si="479"/>
        <v>224.51745012430541</v>
      </c>
      <c r="S217" s="13">
        <f t="shared" si="479"/>
        <v>222.35851209561423</v>
      </c>
      <c r="T217" s="13">
        <f t="shared" si="479"/>
        <v>219.33216947072049</v>
      </c>
      <c r="U217" s="13">
        <f t="shared" si="479"/>
        <v>212.35858302575303</v>
      </c>
      <c r="V217" s="13">
        <f t="shared" si="479"/>
        <v>202.83777941764993</v>
      </c>
      <c r="W217" s="13">
        <f t="shared" si="479"/>
        <v>200.51640045183092</v>
      </c>
      <c r="X217" s="13">
        <f t="shared" si="479"/>
        <v>209.47446583309662</v>
      </c>
      <c r="Y217" s="13">
        <f t="shared" si="479"/>
        <v>211.82200712919368</v>
      </c>
      <c r="Z217" s="13">
        <f t="shared" si="479"/>
        <v>176.06682450344741</v>
      </c>
      <c r="AA217" s="13">
        <f t="shared" si="479"/>
        <v>193.12429918452082</v>
      </c>
      <c r="AB217" s="13">
        <f t="shared" si="479"/>
        <v>210.16474622685971</v>
      </c>
      <c r="AC217" s="13">
        <f t="shared" si="479"/>
        <v>219.69005251830225</v>
      </c>
      <c r="AD217" s="13">
        <f t="shared" si="479"/>
        <v>224.51745012430541</v>
      </c>
      <c r="AE217" s="13">
        <f t="shared" si="479"/>
        <v>222.35851209561423</v>
      </c>
      <c r="AF217" s="13">
        <f t="shared" si="479"/>
        <v>219.33216947072049</v>
      </c>
      <c r="AG217" s="13">
        <f t="shared" si="479"/>
        <v>212.35858302575303</v>
      </c>
      <c r="AH217" s="13">
        <f t="shared" si="479"/>
        <v>202.83777941764993</v>
      </c>
      <c r="AJ217" s="13">
        <f t="shared" ref="AJ217:AS217" ca="1" si="480">AJ81</f>
        <v>198.90216828567335</v>
      </c>
      <c r="AK217" s="13">
        <f t="shared" ca="1" si="480"/>
        <v>230.00220088816508</v>
      </c>
      <c r="AL217" s="13">
        <f t="shared" ca="1" si="480"/>
        <v>195.11766127538644</v>
      </c>
      <c r="AM217" s="17">
        <f t="shared" ca="1" si="480"/>
        <v>216.03184075243803</v>
      </c>
      <c r="AN217" s="13">
        <f t="shared" ca="1" si="480"/>
        <v>199.51576863739058</v>
      </c>
      <c r="AO217" s="13">
        <f t="shared" ca="1" si="480"/>
        <v>236.73033546294593</v>
      </c>
      <c r="AP217" s="13">
        <f t="shared" ca="1" si="480"/>
        <v>197.04332557892164</v>
      </c>
      <c r="AQ217" s="13">
        <f t="shared" ca="1" si="480"/>
        <v>213.9985272894985</v>
      </c>
      <c r="AR217" s="13">
        <f t="shared" ca="1" si="480"/>
        <v>199.4219196186846</v>
      </c>
      <c r="AS217" s="13">
        <f t="shared" ca="1" si="480"/>
        <v>236.89119050566268</v>
      </c>
      <c r="AU217" s="13">
        <f ca="1">AU81</f>
        <v>225.47558446503223</v>
      </c>
      <c r="AV217" s="13">
        <f ca="1">AV81</f>
        <v>224.17699565208483</v>
      </c>
      <c r="AW217" s="13">
        <f ca="1">AW81</f>
        <v>224.17453748173952</v>
      </c>
    </row>
    <row r="218" spans="1:49" x14ac:dyDescent="0.25">
      <c r="C218" s="23" t="s">
        <v>503</v>
      </c>
      <c r="D218" s="27"/>
      <c r="E218" s="24">
        <f t="shared" ref="E218:AH218" si="481">E138</f>
        <v>221</v>
      </c>
      <c r="F218" s="24">
        <f t="shared" si="481"/>
        <v>265.20767839990975</v>
      </c>
      <c r="G218" s="24">
        <f t="shared" si="481"/>
        <v>265.00239845057348</v>
      </c>
      <c r="H218" s="24">
        <f t="shared" si="481"/>
        <v>133.54400453069135</v>
      </c>
      <c r="I218" s="24">
        <f t="shared" si="481"/>
        <v>169.5841905766321</v>
      </c>
      <c r="J218" s="24">
        <f t="shared" si="481"/>
        <v>86.67844850362836</v>
      </c>
      <c r="K218" s="24">
        <f t="shared" si="481"/>
        <v>125</v>
      </c>
      <c r="L218" s="24">
        <f t="shared" si="481"/>
        <v>198</v>
      </c>
      <c r="M218" s="24">
        <f t="shared" si="481"/>
        <v>177.29113156646389</v>
      </c>
      <c r="N218" s="24">
        <f t="shared" si="481"/>
        <v>100.75946377058357</v>
      </c>
      <c r="O218" s="24">
        <f t="shared" si="481"/>
        <v>120</v>
      </c>
      <c r="P218" s="64">
        <f t="shared" si="481"/>
        <v>104</v>
      </c>
      <c r="Q218" s="24">
        <f t="shared" si="481"/>
        <v>221</v>
      </c>
      <c r="R218" s="24">
        <f t="shared" si="481"/>
        <v>265.20767839990975</v>
      </c>
      <c r="S218" s="24">
        <f t="shared" si="481"/>
        <v>265.00239845057348</v>
      </c>
      <c r="T218" s="24">
        <f t="shared" si="481"/>
        <v>133.54400453069135</v>
      </c>
      <c r="U218" s="24">
        <f t="shared" si="481"/>
        <v>169.5841905766321</v>
      </c>
      <c r="V218" s="24">
        <f t="shared" si="481"/>
        <v>86.67844850362836</v>
      </c>
      <c r="W218" s="24">
        <f t="shared" si="481"/>
        <v>125</v>
      </c>
      <c r="X218" s="24">
        <f t="shared" si="481"/>
        <v>198</v>
      </c>
      <c r="Y218" s="24">
        <f t="shared" si="481"/>
        <v>177.29113156646389</v>
      </c>
      <c r="Z218" s="24">
        <f t="shared" si="481"/>
        <v>100.75946377058357</v>
      </c>
      <c r="AA218" s="24">
        <f t="shared" si="481"/>
        <v>120</v>
      </c>
      <c r="AB218" s="24">
        <f t="shared" si="481"/>
        <v>104</v>
      </c>
      <c r="AC218" s="24">
        <f t="shared" si="481"/>
        <v>221</v>
      </c>
      <c r="AD218" s="24">
        <f t="shared" si="481"/>
        <v>265.20767839990975</v>
      </c>
      <c r="AE218" s="24">
        <f t="shared" si="481"/>
        <v>265.00239845057348</v>
      </c>
      <c r="AF218" s="24">
        <f t="shared" si="481"/>
        <v>133.54400453069135</v>
      </c>
      <c r="AG218" s="24">
        <f t="shared" si="481"/>
        <v>169.5841905766321</v>
      </c>
      <c r="AH218" s="24">
        <f t="shared" si="481"/>
        <v>86.67844850362836</v>
      </c>
      <c r="AJ218" s="24">
        <f t="shared" ref="AJ218:AS218" ca="1" si="482">AJ138</f>
        <v>170.9483881368717</v>
      </c>
      <c r="AK218" s="24">
        <f t="shared" ca="1" si="482"/>
        <v>136.28909823664074</v>
      </c>
      <c r="AL218" s="24">
        <f t="shared" ca="1" si="482"/>
        <v>146.84762270505755</v>
      </c>
      <c r="AM218" s="64">
        <f t="shared" ca="1" si="482"/>
        <v>116.14811873345204</v>
      </c>
      <c r="AN218" s="24">
        <f t="shared" ca="1" si="482"/>
        <v>200.83427158430587</v>
      </c>
      <c r="AO218" s="24">
        <f t="shared" ca="1" si="482"/>
        <v>147.9016354202985</v>
      </c>
      <c r="AP218" s="24">
        <f t="shared" ca="1" si="482"/>
        <v>181.63209405093338</v>
      </c>
      <c r="AQ218" s="24">
        <f t="shared" ca="1" si="482"/>
        <v>123.31291624858393</v>
      </c>
      <c r="AR218" s="24">
        <f t="shared" ca="1" si="482"/>
        <v>202.27726299185409</v>
      </c>
      <c r="AS218" s="24">
        <f t="shared" ca="1" si="482"/>
        <v>147.99866373762367</v>
      </c>
      <c r="AU218" s="24">
        <f ca="1">AU138</f>
        <v>175.01762100374651</v>
      </c>
      <c r="AV218" s="24">
        <f ca="1">AV138</f>
        <v>163.18916492508308</v>
      </c>
      <c r="AW218" s="24">
        <f ca="1">AW138</f>
        <v>168.54257218800447</v>
      </c>
    </row>
    <row r="219" spans="1:49" x14ac:dyDescent="0.25">
      <c r="C219" t="s">
        <v>504</v>
      </c>
      <c r="E219" s="13">
        <f>E216+E217-E218</f>
        <v>73.690052518302252</v>
      </c>
      <c r="F219" s="13">
        <f t="shared" ref="F219:AH219" si="483">F216+F217-F218</f>
        <v>34.726438391062345</v>
      </c>
      <c r="G219" s="13">
        <f t="shared" si="483"/>
        <v>36.189446978374065</v>
      </c>
      <c r="H219" s="13">
        <f t="shared" si="483"/>
        <v>168.03816494002913</v>
      </c>
      <c r="I219" s="13">
        <f t="shared" si="483"/>
        <v>128.44105911578762</v>
      </c>
      <c r="J219" s="13">
        <f t="shared" si="483"/>
        <v>196.15933091402155</v>
      </c>
      <c r="K219" s="13">
        <f t="shared" si="483"/>
        <v>168.01640045183092</v>
      </c>
      <c r="L219" s="13">
        <f t="shared" si="483"/>
        <v>107.39113249976333</v>
      </c>
      <c r="M219" s="13">
        <f t="shared" si="483"/>
        <v>133.86420889606319</v>
      </c>
      <c r="N219" s="13">
        <f t="shared" si="483"/>
        <v>167.3073607328638</v>
      </c>
      <c r="O219" s="13">
        <f t="shared" si="483"/>
        <v>179.29096585118754</v>
      </c>
      <c r="P219" s="17">
        <f t="shared" si="483"/>
        <v>219.16474622685973</v>
      </c>
      <c r="Q219" s="13">
        <f t="shared" si="483"/>
        <v>98.509496962746709</v>
      </c>
      <c r="R219" s="13">
        <f t="shared" si="483"/>
        <v>60.349123576247507</v>
      </c>
      <c r="S219" s="13">
        <f t="shared" si="483"/>
        <v>59.249246361090172</v>
      </c>
      <c r="T219" s="13">
        <f t="shared" si="483"/>
        <v>188.10793088653119</v>
      </c>
      <c r="U219" s="13">
        <f t="shared" si="483"/>
        <v>146.81411938670672</v>
      </c>
      <c r="V219" s="13">
        <f t="shared" si="483"/>
        <v>219.84456789676051</v>
      </c>
      <c r="W219" s="13">
        <f t="shared" si="483"/>
        <v>177.64917693169298</v>
      </c>
      <c r="X219" s="13">
        <f t="shared" si="483"/>
        <v>113.99279765219495</v>
      </c>
      <c r="Y219" s="13">
        <f t="shared" si="483"/>
        <v>137.29570404303587</v>
      </c>
      <c r="Z219" s="13">
        <f t="shared" si="483"/>
        <v>178.21747184054607</v>
      </c>
      <c r="AA219" s="13">
        <f t="shared" si="483"/>
        <v>176.13280115239974</v>
      </c>
      <c r="AB219" s="13">
        <f t="shared" si="483"/>
        <v>209.00137736645416</v>
      </c>
      <c r="AC219" s="13">
        <f t="shared" si="483"/>
        <v>101.38524935070592</v>
      </c>
      <c r="AD219" s="13">
        <f t="shared" si="483"/>
        <v>62.098705282222966</v>
      </c>
      <c r="AE219" s="13">
        <f t="shared" si="483"/>
        <v>60.190147492656195</v>
      </c>
      <c r="AF219" s="13">
        <f t="shared" si="483"/>
        <v>188.63373301552949</v>
      </c>
      <c r="AG219" s="13">
        <f t="shared" si="483"/>
        <v>145.60920335259092</v>
      </c>
      <c r="AH219" s="13">
        <f t="shared" si="483"/>
        <v>218.96519330675676</v>
      </c>
      <c r="AJ219" s="13">
        <f t="shared" ref="AJ219:AW219" ca="1" si="484">AJ216+AJ217-AJ218</f>
        <v>99.060643751022383</v>
      </c>
      <c r="AK219" s="13">
        <f t="shared" ca="1" si="484"/>
        <v>191.78847120518864</v>
      </c>
      <c r="AL219" s="13">
        <f t="shared" ca="1" si="484"/>
        <v>143.91374377264279</v>
      </c>
      <c r="AM219" s="17">
        <f t="shared" ca="1" si="484"/>
        <v>216.51986582076816</v>
      </c>
      <c r="AN219" s="13">
        <f t="shared" ca="1" si="484"/>
        <v>90.376046838775125</v>
      </c>
      <c r="AO219" s="13">
        <f t="shared" ca="1" si="484"/>
        <v>212.98097663039326</v>
      </c>
      <c r="AP219" s="13">
        <f t="shared" ca="1" si="484"/>
        <v>112.01651698447606</v>
      </c>
      <c r="AQ219" s="13">
        <f t="shared" ca="1" si="484"/>
        <v>197.17317908682094</v>
      </c>
      <c r="AR219" s="13">
        <f t="shared" ca="1" si="484"/>
        <v>89.697024799021932</v>
      </c>
      <c r="AS219" s="13">
        <f t="shared" ca="1" si="484"/>
        <v>211.98360878937652</v>
      </c>
      <c r="AU219" s="13">
        <f t="shared" ca="1" si="484"/>
        <v>150.53767255629293</v>
      </c>
      <c r="AV219" s="13">
        <f t="shared" ca="1" si="484"/>
        <v>192.85362876726415</v>
      </c>
      <c r="AW219" s="13">
        <f t="shared" ca="1" si="484"/>
        <v>176.20180312017268</v>
      </c>
    </row>
    <row r="220" spans="1:49" x14ac:dyDescent="0.25">
      <c r="P220" s="8"/>
      <c r="AM220" s="8"/>
    </row>
    <row r="221" spans="1:49" x14ac:dyDescent="0.25">
      <c r="B221" t="s">
        <v>231</v>
      </c>
      <c r="C221" s="30" t="s">
        <v>490</v>
      </c>
      <c r="D221" s="30"/>
      <c r="E221" s="45" t="str">
        <f t="shared" ref="E221:AH221" si="485">E$9</f>
        <v>Jul-20A</v>
      </c>
      <c r="F221" s="45" t="str">
        <f t="shared" si="485"/>
        <v>Aug-20A</v>
      </c>
      <c r="G221" s="45" t="str">
        <f t="shared" si="485"/>
        <v>Sep-20A</v>
      </c>
      <c r="H221" s="45" t="str">
        <f t="shared" si="485"/>
        <v>Oct-20A</v>
      </c>
      <c r="I221" s="45" t="str">
        <f t="shared" si="485"/>
        <v>Nov-20A</v>
      </c>
      <c r="J221" s="45" t="str">
        <f t="shared" si="485"/>
        <v>Dec-20A</v>
      </c>
      <c r="K221" s="45" t="str">
        <f t="shared" si="485"/>
        <v>Jan-21A</v>
      </c>
      <c r="L221" s="45" t="str">
        <f t="shared" si="485"/>
        <v>Feb-21A</v>
      </c>
      <c r="M221" s="45" t="str">
        <f t="shared" si="485"/>
        <v>Mar-21A</v>
      </c>
      <c r="N221" s="45" t="str">
        <f t="shared" si="485"/>
        <v>Apr-21A</v>
      </c>
      <c r="O221" s="45" t="str">
        <f t="shared" si="485"/>
        <v>May-21A</v>
      </c>
      <c r="P221" s="46" t="str">
        <f t="shared" si="485"/>
        <v>Jun-21A</v>
      </c>
      <c r="Q221" s="45" t="str">
        <f t="shared" si="485"/>
        <v>Jul-21F</v>
      </c>
      <c r="R221" s="45" t="str">
        <f t="shared" si="485"/>
        <v>Aug-21F</v>
      </c>
      <c r="S221" s="45" t="str">
        <f t="shared" si="485"/>
        <v>Sep-21F</v>
      </c>
      <c r="T221" s="45" t="str">
        <f t="shared" si="485"/>
        <v>Oct-21F</v>
      </c>
      <c r="U221" s="45" t="str">
        <f t="shared" si="485"/>
        <v>Nov-21F</v>
      </c>
      <c r="V221" s="45" t="str">
        <f t="shared" si="485"/>
        <v>Dec-21F</v>
      </c>
      <c r="W221" s="45" t="str">
        <f t="shared" si="485"/>
        <v>Jan-22F</v>
      </c>
      <c r="X221" s="45" t="str">
        <f t="shared" si="485"/>
        <v>Feb-22F</v>
      </c>
      <c r="Y221" s="45" t="str">
        <f t="shared" si="485"/>
        <v>Mar-22F</v>
      </c>
      <c r="Z221" s="45" t="str">
        <f t="shared" si="485"/>
        <v>Apr-22F</v>
      </c>
      <c r="AA221" s="45" t="str">
        <f t="shared" si="485"/>
        <v>May-22F</v>
      </c>
      <c r="AB221" s="45" t="str">
        <f t="shared" si="485"/>
        <v>Jun-22F</v>
      </c>
      <c r="AC221" s="45" t="str">
        <f t="shared" si="485"/>
        <v>Jul-22F</v>
      </c>
      <c r="AD221" s="45" t="str">
        <f t="shared" si="485"/>
        <v>Aug-22F</v>
      </c>
      <c r="AE221" s="45" t="str">
        <f t="shared" si="485"/>
        <v>Sep-22F</v>
      </c>
      <c r="AF221" s="45" t="str">
        <f t="shared" si="485"/>
        <v>Oct-22F</v>
      </c>
      <c r="AG221" s="45" t="str">
        <f t="shared" si="485"/>
        <v>Nov-22F</v>
      </c>
      <c r="AH221" s="45" t="str">
        <f t="shared" si="485"/>
        <v>Dec-22F</v>
      </c>
      <c r="AJ221" s="45" t="str">
        <f ca="1">AJ$10</f>
        <v>Q3'20A</v>
      </c>
      <c r="AK221" s="45" t="str">
        <f t="shared" ref="AK221:AW221" ca="1" si="486">AK$10</f>
        <v>Q4'20A</v>
      </c>
      <c r="AL221" s="45" t="str">
        <f t="shared" ca="1" si="486"/>
        <v>Q1'21A</v>
      </c>
      <c r="AM221" s="46" t="str">
        <f t="shared" ca="1" si="486"/>
        <v>Q2'21A</v>
      </c>
      <c r="AN221" s="45" t="str">
        <f t="shared" ca="1" si="486"/>
        <v>Q3'21F</v>
      </c>
      <c r="AO221" s="45" t="str">
        <f t="shared" ca="1" si="486"/>
        <v>Q4'21F</v>
      </c>
      <c r="AP221" s="45" t="str">
        <f t="shared" ca="1" si="486"/>
        <v>Q1'22F</v>
      </c>
      <c r="AQ221" s="45" t="str">
        <f t="shared" ca="1" si="486"/>
        <v>Q2'22F</v>
      </c>
      <c r="AR221" s="45" t="str">
        <f t="shared" ca="1" si="486"/>
        <v>Q3'22F</v>
      </c>
      <c r="AS221" s="45" t="str">
        <f t="shared" ca="1" si="486"/>
        <v>Q4'22F</v>
      </c>
      <c r="AU221" s="45" t="str">
        <f t="shared" ca="1" si="486"/>
        <v>FY20</v>
      </c>
      <c r="AV221" s="45" t="str">
        <f t="shared" ca="1" si="486"/>
        <v>FY21</v>
      </c>
      <c r="AW221" s="45" t="str">
        <f t="shared" ca="1" si="486"/>
        <v>FY22</v>
      </c>
    </row>
    <row r="222" spans="1:49" x14ac:dyDescent="0.25">
      <c r="C222" s="1" t="s">
        <v>492</v>
      </c>
      <c r="E222" s="13">
        <f t="shared" ref="E222:AH222" si="487">SUM(E51,E73,E79)</f>
        <v>7440.3388060883381</v>
      </c>
      <c r="F222" s="13">
        <f t="shared" si="487"/>
        <v>6930.8455228094026</v>
      </c>
      <c r="G222" s="13">
        <f t="shared" si="487"/>
        <v>6443.7947457887494</v>
      </c>
      <c r="H222" s="13">
        <f t="shared" si="487"/>
        <v>6435.9136616410706</v>
      </c>
      <c r="I222" s="13">
        <f t="shared" si="487"/>
        <v>7608.8865123606638</v>
      </c>
      <c r="J222" s="13">
        <f t="shared" si="487"/>
        <v>6691.0184543234973</v>
      </c>
      <c r="K222" s="13">
        <f t="shared" si="487"/>
        <v>7129.6309815069972</v>
      </c>
      <c r="L222" s="13">
        <f t="shared" si="487"/>
        <v>6533.2574193847558</v>
      </c>
      <c r="M222" s="13">
        <f t="shared" si="487"/>
        <v>6945.5691792250173</v>
      </c>
      <c r="N222" s="13">
        <f t="shared" si="487"/>
        <v>7085.2381765464515</v>
      </c>
      <c r="O222" s="13">
        <f t="shared" si="487"/>
        <v>7908.5521761129457</v>
      </c>
      <c r="P222" s="17">
        <f t="shared" si="487"/>
        <v>8302.7673991551001</v>
      </c>
      <c r="Q222" s="13">
        <f t="shared" si="487"/>
        <v>8290.9089329835715</v>
      </c>
      <c r="R222" s="13">
        <f t="shared" si="487"/>
        <v>7152.5811758061864</v>
      </c>
      <c r="S222" s="13">
        <f t="shared" si="487"/>
        <v>7005.5453760323689</v>
      </c>
      <c r="T222" s="13">
        <f t="shared" si="487"/>
        <v>6909.0783196083494</v>
      </c>
      <c r="U222" s="13">
        <f t="shared" si="487"/>
        <v>6918.2552639017358</v>
      </c>
      <c r="V222" s="13">
        <f t="shared" si="487"/>
        <v>7978.1191334935793</v>
      </c>
      <c r="W222" s="13">
        <f t="shared" si="487"/>
        <v>7710.8805769057353</v>
      </c>
      <c r="X222" s="13">
        <f t="shared" si="487"/>
        <v>7612.4174237132929</v>
      </c>
      <c r="Y222" s="13">
        <f t="shared" si="487"/>
        <v>7873.95250538654</v>
      </c>
      <c r="Z222" s="13">
        <f t="shared" si="487"/>
        <v>8499.4500825285868</v>
      </c>
      <c r="AA222" s="13">
        <f t="shared" si="487"/>
        <v>8443.3648601744771</v>
      </c>
      <c r="AB222" s="13">
        <f t="shared" si="487"/>
        <v>9490.3963046375175</v>
      </c>
      <c r="AC222" s="13">
        <f t="shared" si="487"/>
        <v>9477.4023890699646</v>
      </c>
      <c r="AD222" s="13">
        <f t="shared" si="487"/>
        <v>8306.0512029150777</v>
      </c>
      <c r="AE222" s="13">
        <f t="shared" si="487"/>
        <v>8168.4970561448927</v>
      </c>
      <c r="AF222" s="13">
        <f t="shared" si="487"/>
        <v>8084.7357351015326</v>
      </c>
      <c r="AG222" s="13">
        <f t="shared" si="487"/>
        <v>8099.9821603172986</v>
      </c>
      <c r="AH222" s="13">
        <f t="shared" si="487"/>
        <v>9209.9412024930152</v>
      </c>
      <c r="AJ222" s="13">
        <f t="shared" ref="AJ222:AS222" ca="1" si="488">SUM(AJ51,AJ73,AJ79)</f>
        <v>6443.7947457887494</v>
      </c>
      <c r="AK222" s="13">
        <f t="shared" ca="1" si="488"/>
        <v>6691.0184543234973</v>
      </c>
      <c r="AL222" s="13">
        <f t="shared" ca="1" si="488"/>
        <v>6945.5691792250173</v>
      </c>
      <c r="AM222" s="17">
        <f t="shared" ca="1" si="488"/>
        <v>8302.7673991551001</v>
      </c>
      <c r="AN222" s="13">
        <f t="shared" ca="1" si="488"/>
        <v>7005.5453760323689</v>
      </c>
      <c r="AO222" s="13">
        <f t="shared" ca="1" si="488"/>
        <v>7978.1191334935793</v>
      </c>
      <c r="AP222" s="13">
        <f t="shared" ca="1" si="488"/>
        <v>7873.95250538654</v>
      </c>
      <c r="AQ222" s="13">
        <f t="shared" ca="1" si="488"/>
        <v>9490.3963046375175</v>
      </c>
      <c r="AR222" s="13">
        <f t="shared" ca="1" si="488"/>
        <v>8168.4970561448927</v>
      </c>
      <c r="AS222" s="13">
        <f t="shared" ca="1" si="488"/>
        <v>9209.9412024930152</v>
      </c>
      <c r="AU222" s="13">
        <f ca="1">SUM(AU51,AU73,AU79)</f>
        <v>6691.0184543234973</v>
      </c>
      <c r="AV222" s="13">
        <f ca="1">SUM(AV51,AV73,AV79)</f>
        <v>7978.1191334935793</v>
      </c>
      <c r="AW222" s="13">
        <f ca="1">SUM(AW51,AW73,AW79)</f>
        <v>9209.9412024930152</v>
      </c>
    </row>
    <row r="223" spans="1:49" x14ac:dyDescent="0.25">
      <c r="C223" s="23" t="s">
        <v>493</v>
      </c>
      <c r="D223" s="27"/>
      <c r="E223" s="24">
        <f t="shared" ref="E223:AH223" si="489">SUM(E136,E144,E164)</f>
        <v>4993.2466931864783</v>
      </c>
      <c r="F223" s="24">
        <f t="shared" si="489"/>
        <v>4255.4926300350216</v>
      </c>
      <c r="G223" s="24">
        <f t="shared" si="489"/>
        <v>3791.9106460503117</v>
      </c>
      <c r="H223" s="24">
        <f t="shared" si="489"/>
        <v>3732.531294862265</v>
      </c>
      <c r="I223" s="24">
        <f t="shared" si="489"/>
        <v>3806.0470947974118</v>
      </c>
      <c r="J223" s="24">
        <f t="shared" si="489"/>
        <v>4212.5820563362358</v>
      </c>
      <c r="K223" s="24">
        <f t="shared" si="489"/>
        <v>4551.3873621191451</v>
      </c>
      <c r="L223" s="24">
        <f t="shared" si="489"/>
        <v>3839.5176716351179</v>
      </c>
      <c r="M223" s="24">
        <f t="shared" si="489"/>
        <v>4006.1335074933859</v>
      </c>
      <c r="N223" s="24">
        <f t="shared" si="489"/>
        <v>4358.6489276506145</v>
      </c>
      <c r="O223" s="24">
        <f t="shared" si="489"/>
        <v>4958.6672605353815</v>
      </c>
      <c r="P223" s="64">
        <f t="shared" si="489"/>
        <v>5150.7303590602387</v>
      </c>
      <c r="Q223" s="24">
        <f t="shared" si="489"/>
        <v>5051.6850967814635</v>
      </c>
      <c r="R223" s="24">
        <f t="shared" si="489"/>
        <v>3938.8598213246601</v>
      </c>
      <c r="S223" s="24">
        <f t="shared" si="489"/>
        <v>3800.6399718903394</v>
      </c>
      <c r="T223" s="24">
        <f t="shared" si="489"/>
        <v>3655.3242868220232</v>
      </c>
      <c r="U223" s="24">
        <f t="shared" si="489"/>
        <v>3579.0978108369336</v>
      </c>
      <c r="V223" s="24">
        <f t="shared" si="489"/>
        <v>4337.2120551511171</v>
      </c>
      <c r="W223" s="24">
        <f t="shared" si="489"/>
        <v>3983.036884571321</v>
      </c>
      <c r="X223" s="24">
        <f t="shared" si="489"/>
        <v>3891.1024678572644</v>
      </c>
      <c r="Y223" s="24">
        <f t="shared" si="489"/>
        <v>3907.64279073643</v>
      </c>
      <c r="Z223" s="24">
        <f t="shared" si="489"/>
        <v>4713.4920671859445</v>
      </c>
      <c r="AA223" s="24">
        <f t="shared" si="489"/>
        <v>4497.0588524317263</v>
      </c>
      <c r="AB223" s="24">
        <f t="shared" si="489"/>
        <v>5321.2452962148163</v>
      </c>
      <c r="AC223" s="24">
        <f t="shared" si="489"/>
        <v>5216.7910657360462</v>
      </c>
      <c r="AD223" s="24">
        <f t="shared" si="489"/>
        <v>4088.721638591549</v>
      </c>
      <c r="AE223" s="24">
        <f t="shared" si="489"/>
        <v>3950.2087133888376</v>
      </c>
      <c r="AF223" s="24">
        <f t="shared" si="489"/>
        <v>3807.8717947586692</v>
      </c>
      <c r="AG223" s="24">
        <f t="shared" si="489"/>
        <v>3728.4210679236012</v>
      </c>
      <c r="AH223" s="24">
        <f t="shared" si="489"/>
        <v>4517.2100196788597</v>
      </c>
      <c r="AJ223" s="24">
        <f t="shared" ref="AJ223:AS223" ca="1" si="490">SUM(AJ136,AJ144,AJ164)</f>
        <v>3791.9106460503117</v>
      </c>
      <c r="AK223" s="24">
        <f t="shared" ca="1" si="490"/>
        <v>4212.5820563362358</v>
      </c>
      <c r="AL223" s="24">
        <f t="shared" ca="1" si="490"/>
        <v>4006.1335074933859</v>
      </c>
      <c r="AM223" s="64">
        <f t="shared" ca="1" si="490"/>
        <v>5150.7303590602387</v>
      </c>
      <c r="AN223" s="24">
        <f t="shared" ca="1" si="490"/>
        <v>3800.6399718903394</v>
      </c>
      <c r="AO223" s="24">
        <f t="shared" ca="1" si="490"/>
        <v>4337.2120551511171</v>
      </c>
      <c r="AP223" s="24">
        <f t="shared" ca="1" si="490"/>
        <v>3907.64279073643</v>
      </c>
      <c r="AQ223" s="24">
        <f t="shared" ca="1" si="490"/>
        <v>5321.2452962148163</v>
      </c>
      <c r="AR223" s="24">
        <f t="shared" ca="1" si="490"/>
        <v>3950.2087133888376</v>
      </c>
      <c r="AS223" s="24">
        <f t="shared" ca="1" si="490"/>
        <v>4517.2100196788597</v>
      </c>
      <c r="AU223" s="24">
        <f ca="1">SUM(AU136,AU144,AU164)</f>
        <v>4212.5820563362358</v>
      </c>
      <c r="AV223" s="24">
        <f ca="1">SUM(AV136,AV144,AV164)</f>
        <v>4337.2120551511171</v>
      </c>
      <c r="AW223" s="24">
        <f ca="1">SUM(AW136,AW144,AW164)</f>
        <v>4517.2100196788597</v>
      </c>
    </row>
    <row r="224" spans="1:49" x14ac:dyDescent="0.25">
      <c r="C224" t="s">
        <v>494</v>
      </c>
      <c r="E224" s="13">
        <f>E222-E223</f>
        <v>2447.0921129018598</v>
      </c>
      <c r="F224" s="13">
        <f t="shared" ref="F224:AH224" si="491">F222-F223</f>
        <v>2675.352892774381</v>
      </c>
      <c r="G224" s="13">
        <f t="shared" si="491"/>
        <v>2651.8840997384377</v>
      </c>
      <c r="H224" s="13">
        <f t="shared" si="491"/>
        <v>2703.3823667788056</v>
      </c>
      <c r="I224" s="13">
        <f t="shared" si="491"/>
        <v>3802.839417563252</v>
      </c>
      <c r="J224" s="13">
        <f t="shared" si="491"/>
        <v>2478.4363979872614</v>
      </c>
      <c r="K224" s="13">
        <f t="shared" si="491"/>
        <v>2578.243619387852</v>
      </c>
      <c r="L224" s="13">
        <f t="shared" si="491"/>
        <v>2693.7397477496379</v>
      </c>
      <c r="M224" s="13">
        <f t="shared" si="491"/>
        <v>2939.4356717316314</v>
      </c>
      <c r="N224" s="13">
        <f t="shared" si="491"/>
        <v>2726.589248895837</v>
      </c>
      <c r="O224" s="13">
        <f t="shared" si="491"/>
        <v>2949.8849155775642</v>
      </c>
      <c r="P224" s="17">
        <f t="shared" si="491"/>
        <v>3152.0370400948614</v>
      </c>
      <c r="Q224" s="13">
        <f t="shared" si="491"/>
        <v>3239.223836202108</v>
      </c>
      <c r="R224" s="13">
        <f t="shared" si="491"/>
        <v>3213.7213544815263</v>
      </c>
      <c r="S224" s="13">
        <f t="shared" si="491"/>
        <v>3204.9054041420295</v>
      </c>
      <c r="T224" s="13">
        <f t="shared" si="491"/>
        <v>3253.7540327863262</v>
      </c>
      <c r="U224" s="13">
        <f t="shared" si="491"/>
        <v>3339.1574530648022</v>
      </c>
      <c r="V224" s="13">
        <f t="shared" si="491"/>
        <v>3640.9070783424622</v>
      </c>
      <c r="W224" s="13">
        <f t="shared" si="491"/>
        <v>3727.8436923344143</v>
      </c>
      <c r="X224" s="13">
        <f t="shared" si="491"/>
        <v>3721.3149558560285</v>
      </c>
      <c r="Y224" s="13">
        <f t="shared" si="491"/>
        <v>3966.30971465011</v>
      </c>
      <c r="Z224" s="13">
        <f t="shared" si="491"/>
        <v>3785.9580153426423</v>
      </c>
      <c r="AA224" s="13">
        <f t="shared" si="491"/>
        <v>3946.3060077427508</v>
      </c>
      <c r="AB224" s="13">
        <f t="shared" si="491"/>
        <v>4169.1510084227011</v>
      </c>
      <c r="AC224" s="13">
        <f t="shared" si="491"/>
        <v>4260.6113233339183</v>
      </c>
      <c r="AD224" s="13">
        <f t="shared" si="491"/>
        <v>4217.3295643235288</v>
      </c>
      <c r="AE224" s="13">
        <f t="shared" si="491"/>
        <v>4218.2883427560555</v>
      </c>
      <c r="AF224" s="13">
        <f t="shared" si="491"/>
        <v>4276.8639403428633</v>
      </c>
      <c r="AG224" s="13">
        <f t="shared" si="491"/>
        <v>4371.5610923936974</v>
      </c>
      <c r="AH224" s="13">
        <f t="shared" si="491"/>
        <v>4692.7311828141555</v>
      </c>
      <c r="AJ224" s="13">
        <f t="shared" ref="AJ224:AW224" ca="1" si="492">AJ222-AJ223</f>
        <v>2651.8840997384377</v>
      </c>
      <c r="AK224" s="13">
        <f t="shared" ca="1" si="492"/>
        <v>2478.4363979872614</v>
      </c>
      <c r="AL224" s="13">
        <f t="shared" ca="1" si="492"/>
        <v>2939.4356717316314</v>
      </c>
      <c r="AM224" s="17">
        <f t="shared" ca="1" si="492"/>
        <v>3152.0370400948614</v>
      </c>
      <c r="AN224" s="13">
        <f t="shared" ca="1" si="492"/>
        <v>3204.9054041420295</v>
      </c>
      <c r="AO224" s="13">
        <f t="shared" ca="1" si="492"/>
        <v>3640.9070783424622</v>
      </c>
      <c r="AP224" s="13">
        <f t="shared" ca="1" si="492"/>
        <v>3966.30971465011</v>
      </c>
      <c r="AQ224" s="13">
        <f t="shared" ca="1" si="492"/>
        <v>4169.1510084227011</v>
      </c>
      <c r="AR224" s="13">
        <f t="shared" ca="1" si="492"/>
        <v>4218.2883427560555</v>
      </c>
      <c r="AS224" s="13">
        <f t="shared" ca="1" si="492"/>
        <v>4692.7311828141555</v>
      </c>
      <c r="AU224" s="13">
        <f t="shared" ca="1" si="492"/>
        <v>2478.4363979872614</v>
      </c>
      <c r="AV224" s="13">
        <f t="shared" ca="1" si="492"/>
        <v>3640.9070783424622</v>
      </c>
      <c r="AW224" s="13">
        <f t="shared" ca="1" si="492"/>
        <v>4692.7311828141555</v>
      </c>
    </row>
    <row r="225" spans="1:49" x14ac:dyDescent="0.25">
      <c r="C225" t="s">
        <v>495</v>
      </c>
      <c r="E225" s="13">
        <f t="shared" ref="E225:AH225" si="493">SUM(E96,E102,E118,E125)</f>
        <v>10164.01709380843</v>
      </c>
      <c r="F225" s="13">
        <f t="shared" si="493"/>
        <v>10123.864865261898</v>
      </c>
      <c r="G225" s="13">
        <f t="shared" si="493"/>
        <v>10083.712636715363</v>
      </c>
      <c r="H225" s="13">
        <f t="shared" si="493"/>
        <v>10043.560408168829</v>
      </c>
      <c r="I225" s="13">
        <f t="shared" si="493"/>
        <v>10003.408179622296</v>
      </c>
      <c r="J225" s="13">
        <f t="shared" si="493"/>
        <v>9963.2559510757637</v>
      </c>
      <c r="K225" s="13">
        <f t="shared" si="493"/>
        <v>9923.1037225292293</v>
      </c>
      <c r="L225" s="13">
        <f t="shared" si="493"/>
        <v>9882.951493982695</v>
      </c>
      <c r="M225" s="13">
        <f t="shared" si="493"/>
        <v>9842.7992654361624</v>
      </c>
      <c r="N225" s="13">
        <f t="shared" si="493"/>
        <v>9802.647036889628</v>
      </c>
      <c r="O225" s="13">
        <f t="shared" si="493"/>
        <v>9762.4948083430936</v>
      </c>
      <c r="P225" s="17">
        <f t="shared" si="493"/>
        <v>9722.342579796561</v>
      </c>
      <c r="Q225" s="13">
        <f t="shared" si="493"/>
        <v>9682.1903512500285</v>
      </c>
      <c r="R225" s="13">
        <f t="shared" si="493"/>
        <v>9642.0381227034941</v>
      </c>
      <c r="S225" s="13">
        <f t="shared" si="493"/>
        <v>9601.8858941569597</v>
      </c>
      <c r="T225" s="13">
        <f t="shared" si="493"/>
        <v>9561.7336656104271</v>
      </c>
      <c r="U225" s="13">
        <f t="shared" si="493"/>
        <v>9521.5814370638927</v>
      </c>
      <c r="V225" s="13">
        <f t="shared" si="493"/>
        <v>9481.4292085173583</v>
      </c>
      <c r="W225" s="13">
        <f t="shared" si="493"/>
        <v>9441.2769799708258</v>
      </c>
      <c r="X225" s="13">
        <f t="shared" si="493"/>
        <v>9401.1247514242932</v>
      </c>
      <c r="Y225" s="13">
        <f t="shared" si="493"/>
        <v>9360.9725228777588</v>
      </c>
      <c r="Z225" s="13">
        <f t="shared" si="493"/>
        <v>9320.8202943312263</v>
      </c>
      <c r="AA225" s="13">
        <f t="shared" si="493"/>
        <v>9280.6680657846919</v>
      </c>
      <c r="AB225" s="13">
        <f t="shared" si="493"/>
        <v>9240.5158372381575</v>
      </c>
      <c r="AC225" s="13">
        <f t="shared" si="493"/>
        <v>9200.3636086916249</v>
      </c>
      <c r="AD225" s="13">
        <f t="shared" si="493"/>
        <v>9160.2113801450905</v>
      </c>
      <c r="AE225" s="13">
        <f t="shared" si="493"/>
        <v>9120.0591515985579</v>
      </c>
      <c r="AF225" s="13">
        <f t="shared" si="493"/>
        <v>9079.9069230520236</v>
      </c>
      <c r="AG225" s="13">
        <f t="shared" si="493"/>
        <v>9039.7546945054892</v>
      </c>
      <c r="AH225" s="13">
        <f t="shared" si="493"/>
        <v>8999.6024659589566</v>
      </c>
      <c r="AJ225" s="13">
        <f t="shared" ref="AJ225:AS225" ca="1" si="494">SUM(AJ96,AJ102,AJ118,AJ125)</f>
        <v>10083.712636715363</v>
      </c>
      <c r="AK225" s="13">
        <f t="shared" ca="1" si="494"/>
        <v>9963.2559510757637</v>
      </c>
      <c r="AL225" s="13">
        <f t="shared" ca="1" si="494"/>
        <v>9842.7992654361624</v>
      </c>
      <c r="AM225" s="17">
        <f t="shared" ca="1" si="494"/>
        <v>9722.342579796561</v>
      </c>
      <c r="AN225" s="13">
        <f t="shared" ca="1" si="494"/>
        <v>9601.8858941569597</v>
      </c>
      <c r="AO225" s="13">
        <f t="shared" ca="1" si="494"/>
        <v>9481.4292085173583</v>
      </c>
      <c r="AP225" s="13">
        <f t="shared" ca="1" si="494"/>
        <v>9360.9725228777588</v>
      </c>
      <c r="AQ225" s="13">
        <f t="shared" ca="1" si="494"/>
        <v>9240.5158372381575</v>
      </c>
      <c r="AR225" s="13">
        <f t="shared" ca="1" si="494"/>
        <v>9120.0591515985579</v>
      </c>
      <c r="AS225" s="13">
        <f t="shared" ca="1" si="494"/>
        <v>8999.6024659589566</v>
      </c>
      <c r="AU225" s="13">
        <f ca="1">SUM(AU96,AU102,AU118,AU125)</f>
        <v>9963.2559510757637</v>
      </c>
      <c r="AV225" s="13">
        <f ca="1">SUM(AV96,AV102,AV118,AV125)</f>
        <v>9481.4292085173583</v>
      </c>
      <c r="AW225" s="13">
        <f ca="1">SUM(AW96,AW102,AW118,AW125)</f>
        <v>8999.6024659589566</v>
      </c>
    </row>
    <row r="226" spans="1:49" x14ac:dyDescent="0.25">
      <c r="C226" t="s">
        <v>496</v>
      </c>
      <c r="E226" s="13">
        <f>SUM(E158,E173)</f>
        <v>5892.1701565200283</v>
      </c>
      <c r="F226" s="13">
        <f t="shared" ref="F226:AH226" si="495">SUM(F158,F173)</f>
        <v>6207.1701565200283</v>
      </c>
      <c r="G226" s="13">
        <f t="shared" si="495"/>
        <v>6207.1701565200283</v>
      </c>
      <c r="H226" s="13">
        <f t="shared" si="495"/>
        <v>6207.1701565200283</v>
      </c>
      <c r="I226" s="13">
        <f t="shared" si="495"/>
        <v>7207.1701565200283</v>
      </c>
      <c r="J226" s="13">
        <f t="shared" si="495"/>
        <v>5612.1701565200283</v>
      </c>
      <c r="K226" s="13">
        <f t="shared" si="495"/>
        <v>5612.1701565200283</v>
      </c>
      <c r="L226" s="13">
        <f t="shared" si="495"/>
        <v>5612.1701565200283</v>
      </c>
      <c r="M226" s="13">
        <f t="shared" si="495"/>
        <v>5612.1701565200283</v>
      </c>
      <c r="N226" s="13">
        <f t="shared" si="495"/>
        <v>5612.1701565200283</v>
      </c>
      <c r="O226" s="13">
        <f t="shared" si="495"/>
        <v>5632.1701565200283</v>
      </c>
      <c r="P226" s="17">
        <f t="shared" si="495"/>
        <v>5632.1701565200283</v>
      </c>
      <c r="Q226" s="13">
        <f t="shared" si="495"/>
        <v>5632.1701565200283</v>
      </c>
      <c r="R226" s="13">
        <f t="shared" si="495"/>
        <v>5632.1701565200283</v>
      </c>
      <c r="S226" s="13">
        <f t="shared" si="495"/>
        <v>5632.1701565200283</v>
      </c>
      <c r="T226" s="13">
        <f t="shared" si="495"/>
        <v>5632.1701565200283</v>
      </c>
      <c r="U226" s="13">
        <f t="shared" si="495"/>
        <v>5632.1701565200283</v>
      </c>
      <c r="V226" s="13">
        <f t="shared" si="495"/>
        <v>5632.1701565200283</v>
      </c>
      <c r="W226" s="13">
        <f t="shared" si="495"/>
        <v>5632.1701565200283</v>
      </c>
      <c r="X226" s="13">
        <f t="shared" si="495"/>
        <v>5632.1701565200283</v>
      </c>
      <c r="Y226" s="13">
        <f t="shared" si="495"/>
        <v>5632.1701565200283</v>
      </c>
      <c r="Z226" s="13">
        <f t="shared" si="495"/>
        <v>5632.1701565200283</v>
      </c>
      <c r="AA226" s="13">
        <f t="shared" si="495"/>
        <v>5632.1701565200283</v>
      </c>
      <c r="AB226" s="13">
        <f t="shared" si="495"/>
        <v>5632.1701565200283</v>
      </c>
      <c r="AC226" s="13">
        <f t="shared" si="495"/>
        <v>5632.1701565200283</v>
      </c>
      <c r="AD226" s="13">
        <f t="shared" si="495"/>
        <v>5632.1701565200283</v>
      </c>
      <c r="AE226" s="13">
        <f t="shared" si="495"/>
        <v>5632.1701565200283</v>
      </c>
      <c r="AF226" s="13">
        <f t="shared" si="495"/>
        <v>5632.1701565200283</v>
      </c>
      <c r="AG226" s="13">
        <f t="shared" si="495"/>
        <v>5632.1701565200283</v>
      </c>
      <c r="AH226" s="13">
        <f t="shared" si="495"/>
        <v>5632.1701565200283</v>
      </c>
      <c r="AJ226" s="13">
        <f t="shared" ref="AJ226:AW226" ca="1" si="496">SUM(AJ158,AJ173)</f>
        <v>6207.1701565200283</v>
      </c>
      <c r="AK226" s="13">
        <f t="shared" ca="1" si="496"/>
        <v>5612.1701565200283</v>
      </c>
      <c r="AL226" s="13">
        <f t="shared" ca="1" si="496"/>
        <v>5612.1701565200283</v>
      </c>
      <c r="AM226" s="17">
        <f t="shared" ca="1" si="496"/>
        <v>5632.1701565200283</v>
      </c>
      <c r="AN226" s="13">
        <f t="shared" ca="1" si="496"/>
        <v>5632.1701565200283</v>
      </c>
      <c r="AO226" s="13">
        <f t="shared" ca="1" si="496"/>
        <v>5632.1701565200283</v>
      </c>
      <c r="AP226" s="13">
        <f t="shared" ca="1" si="496"/>
        <v>5632.1701565200283</v>
      </c>
      <c r="AQ226" s="13">
        <f t="shared" ca="1" si="496"/>
        <v>5632.1701565200283</v>
      </c>
      <c r="AR226" s="13">
        <f t="shared" ca="1" si="496"/>
        <v>5632.1701565200283</v>
      </c>
      <c r="AS226" s="13">
        <f t="shared" ca="1" si="496"/>
        <v>5632.1701565200283</v>
      </c>
      <c r="AU226" s="13">
        <f t="shared" ca="1" si="496"/>
        <v>5612.1701565200283</v>
      </c>
      <c r="AV226" s="13">
        <f t="shared" ca="1" si="496"/>
        <v>5632.1701565200283</v>
      </c>
      <c r="AW226" s="13">
        <f t="shared" ca="1" si="496"/>
        <v>5632.1701565200283</v>
      </c>
    </row>
    <row r="227" spans="1:49" x14ac:dyDescent="0.25">
      <c r="P227" s="8"/>
      <c r="AM227" s="8"/>
    </row>
    <row r="228" spans="1:49" x14ac:dyDescent="0.25">
      <c r="C228" s="1" t="s">
        <v>156</v>
      </c>
      <c r="E228" s="15">
        <f t="shared" ref="E228:AH228" si="497">E51</f>
        <v>3894.0977857368161</v>
      </c>
      <c r="F228" s="15">
        <f t="shared" si="497"/>
        <v>3957.23097101249</v>
      </c>
      <c r="G228" s="15">
        <f t="shared" si="497"/>
        <v>3561.3413318490293</v>
      </c>
      <c r="H228" s="15">
        <f t="shared" si="497"/>
        <v>3429.9283940462769</v>
      </c>
      <c r="I228" s="15">
        <f t="shared" si="497"/>
        <v>4590.082650445358</v>
      </c>
      <c r="J228" s="15">
        <f t="shared" si="497"/>
        <v>2903.7436473891348</v>
      </c>
      <c r="K228" s="15">
        <f t="shared" si="497"/>
        <v>3314.1396539688617</v>
      </c>
      <c r="L228" s="15">
        <f t="shared" si="497"/>
        <v>3116.9373257259399</v>
      </c>
      <c r="M228" s="15">
        <f t="shared" si="497"/>
        <v>3433.420989640942</v>
      </c>
      <c r="N228" s="15">
        <f t="shared" si="497"/>
        <v>2899.1880612812151</v>
      </c>
      <c r="O228" s="15">
        <f t="shared" si="497"/>
        <v>3199.7125826791689</v>
      </c>
      <c r="P228" s="16">
        <f t="shared" si="497"/>
        <v>2989.6771642932367</v>
      </c>
      <c r="Q228" s="15">
        <f t="shared" si="497"/>
        <v>3222.3588741417425</v>
      </c>
      <c r="R228" s="15">
        <f t="shared" si="497"/>
        <v>2873.3848426174309</v>
      </c>
      <c r="S228" s="15">
        <f t="shared" si="497"/>
        <v>2959.5915966445818</v>
      </c>
      <c r="T228" s="15">
        <f t="shared" si="497"/>
        <v>2805.4570379516131</v>
      </c>
      <c r="U228" s="15">
        <f t="shared" si="497"/>
        <v>2757.4228225521824</v>
      </c>
      <c r="V228" s="15">
        <f t="shared" si="497"/>
        <v>2619.1390558413541</v>
      </c>
      <c r="W228" s="15">
        <f t="shared" si="497"/>
        <v>2959.0478903521998</v>
      </c>
      <c r="X228" s="15">
        <f t="shared" si="497"/>
        <v>3427.0065086894033</v>
      </c>
      <c r="Y228" s="15">
        <f t="shared" si="497"/>
        <v>3760.755522689009</v>
      </c>
      <c r="Z228" s="15">
        <f t="shared" si="497"/>
        <v>2945.0305832855061</v>
      </c>
      <c r="AA228" s="15">
        <f t="shared" si="497"/>
        <v>3123.4976019381534</v>
      </c>
      <c r="AB228" s="15">
        <f t="shared" si="497"/>
        <v>3606.6232465284743</v>
      </c>
      <c r="AC228" s="15">
        <f t="shared" si="497"/>
        <v>4072.7173879479501</v>
      </c>
      <c r="AD228" s="15">
        <f t="shared" si="497"/>
        <v>3781.2327917942912</v>
      </c>
      <c r="AE228" s="15">
        <f t="shared" si="497"/>
        <v>3913.8520641883733</v>
      </c>
      <c r="AF228" s="15">
        <f t="shared" si="497"/>
        <v>3780.9723925345356</v>
      </c>
      <c r="AG228" s="15">
        <f t="shared" si="497"/>
        <v>3788.7133954440746</v>
      </c>
      <c r="AH228" s="15">
        <f t="shared" si="497"/>
        <v>3643.6201516805736</v>
      </c>
      <c r="AJ228" s="15">
        <f t="shared" ref="AJ228:AS228" ca="1" si="498">AJ51</f>
        <v>3561.3413318490293</v>
      </c>
      <c r="AK228" s="15">
        <f t="shared" ca="1" si="498"/>
        <v>2903.7436473891348</v>
      </c>
      <c r="AL228" s="15">
        <f t="shared" ca="1" si="498"/>
        <v>3433.420989640942</v>
      </c>
      <c r="AM228" s="16">
        <f t="shared" ca="1" si="498"/>
        <v>2989.6771642932367</v>
      </c>
      <c r="AN228" s="15">
        <f t="shared" ca="1" si="498"/>
        <v>2959.5915966445818</v>
      </c>
      <c r="AO228" s="15">
        <f t="shared" ca="1" si="498"/>
        <v>2619.1390558413541</v>
      </c>
      <c r="AP228" s="15">
        <f t="shared" ca="1" si="498"/>
        <v>3760.755522689009</v>
      </c>
      <c r="AQ228" s="15">
        <f t="shared" ca="1" si="498"/>
        <v>3606.6232465284743</v>
      </c>
      <c r="AR228" s="15">
        <f t="shared" ca="1" si="498"/>
        <v>3913.8520641883733</v>
      </c>
      <c r="AS228" s="15">
        <f t="shared" ca="1" si="498"/>
        <v>3643.6201516805736</v>
      </c>
      <c r="AU228" s="15">
        <f ca="1">AU51</f>
        <v>2903.7436473891348</v>
      </c>
      <c r="AV228" s="15">
        <f ca="1">AV51</f>
        <v>2619.1390558413541</v>
      </c>
      <c r="AW228" s="15">
        <f ca="1">AW51</f>
        <v>3643.6201516805736</v>
      </c>
    </row>
    <row r="229" spans="1:49" x14ac:dyDescent="0.25">
      <c r="C229" s="23" t="s">
        <v>499</v>
      </c>
      <c r="D229" s="27"/>
      <c r="E229" s="29">
        <f t="shared" ref="E229:AH229" si="499">SUM(E158,E173)</f>
        <v>5892.1701565200283</v>
      </c>
      <c r="F229" s="29">
        <f t="shared" si="499"/>
        <v>6207.1701565200283</v>
      </c>
      <c r="G229" s="29">
        <f t="shared" si="499"/>
        <v>6207.1701565200283</v>
      </c>
      <c r="H229" s="29">
        <f t="shared" si="499"/>
        <v>6207.1701565200283</v>
      </c>
      <c r="I229" s="29">
        <f t="shared" si="499"/>
        <v>7207.1701565200283</v>
      </c>
      <c r="J229" s="29">
        <f t="shared" si="499"/>
        <v>5612.1701565200283</v>
      </c>
      <c r="K229" s="29">
        <f t="shared" si="499"/>
        <v>5612.1701565200283</v>
      </c>
      <c r="L229" s="29">
        <f t="shared" si="499"/>
        <v>5612.1701565200283</v>
      </c>
      <c r="M229" s="29">
        <f t="shared" si="499"/>
        <v>5612.1701565200283</v>
      </c>
      <c r="N229" s="29">
        <f t="shared" si="499"/>
        <v>5612.1701565200283</v>
      </c>
      <c r="O229" s="29">
        <f t="shared" si="499"/>
        <v>5632.1701565200283</v>
      </c>
      <c r="P229" s="240">
        <f t="shared" si="499"/>
        <v>5632.1701565200283</v>
      </c>
      <c r="Q229" s="29">
        <f t="shared" si="499"/>
        <v>5632.1701565200283</v>
      </c>
      <c r="R229" s="29">
        <f t="shared" si="499"/>
        <v>5632.1701565200283</v>
      </c>
      <c r="S229" s="29">
        <f t="shared" si="499"/>
        <v>5632.1701565200283</v>
      </c>
      <c r="T229" s="29">
        <f t="shared" si="499"/>
        <v>5632.1701565200283</v>
      </c>
      <c r="U229" s="29">
        <f t="shared" si="499"/>
        <v>5632.1701565200283</v>
      </c>
      <c r="V229" s="29">
        <f t="shared" si="499"/>
        <v>5632.1701565200283</v>
      </c>
      <c r="W229" s="29">
        <f t="shared" si="499"/>
        <v>5632.1701565200283</v>
      </c>
      <c r="X229" s="29">
        <f t="shared" si="499"/>
        <v>5632.1701565200283</v>
      </c>
      <c r="Y229" s="29">
        <f t="shared" si="499"/>
        <v>5632.1701565200283</v>
      </c>
      <c r="Z229" s="29">
        <f t="shared" si="499"/>
        <v>5632.1701565200283</v>
      </c>
      <c r="AA229" s="29">
        <f t="shared" si="499"/>
        <v>5632.1701565200283</v>
      </c>
      <c r="AB229" s="29">
        <f t="shared" si="499"/>
        <v>5632.1701565200283</v>
      </c>
      <c r="AC229" s="29">
        <f t="shared" si="499"/>
        <v>5632.1701565200283</v>
      </c>
      <c r="AD229" s="29">
        <f t="shared" si="499"/>
        <v>5632.1701565200283</v>
      </c>
      <c r="AE229" s="29">
        <f t="shared" si="499"/>
        <v>5632.1701565200283</v>
      </c>
      <c r="AF229" s="29">
        <f t="shared" si="499"/>
        <v>5632.1701565200283</v>
      </c>
      <c r="AG229" s="29">
        <f t="shared" si="499"/>
        <v>5632.1701565200283</v>
      </c>
      <c r="AH229" s="29">
        <f t="shared" si="499"/>
        <v>5632.1701565200283</v>
      </c>
      <c r="AJ229" s="29">
        <f t="shared" ref="AJ229:AW229" ca="1" si="500">SUM(AJ158,AJ173)</f>
        <v>6207.1701565200283</v>
      </c>
      <c r="AK229" s="29">
        <f t="shared" ca="1" si="500"/>
        <v>5612.1701565200283</v>
      </c>
      <c r="AL229" s="29">
        <f t="shared" ca="1" si="500"/>
        <v>5612.1701565200283</v>
      </c>
      <c r="AM229" s="240">
        <f t="shared" ca="1" si="500"/>
        <v>5632.1701565200283</v>
      </c>
      <c r="AN229" s="29">
        <f t="shared" ca="1" si="500"/>
        <v>5632.1701565200283</v>
      </c>
      <c r="AO229" s="29">
        <f t="shared" ca="1" si="500"/>
        <v>5632.1701565200283</v>
      </c>
      <c r="AP229" s="29">
        <f t="shared" ca="1" si="500"/>
        <v>5632.1701565200283</v>
      </c>
      <c r="AQ229" s="29">
        <f t="shared" ca="1" si="500"/>
        <v>5632.1701565200283</v>
      </c>
      <c r="AR229" s="29">
        <f t="shared" ca="1" si="500"/>
        <v>5632.1701565200283</v>
      </c>
      <c r="AS229" s="29">
        <f t="shared" ca="1" si="500"/>
        <v>5632.1701565200283</v>
      </c>
      <c r="AU229" s="29">
        <f t="shared" ca="1" si="500"/>
        <v>5612.1701565200283</v>
      </c>
      <c r="AV229" s="29">
        <f t="shared" ca="1" si="500"/>
        <v>5632.1701565200283</v>
      </c>
      <c r="AW229" s="29">
        <f t="shared" ca="1" si="500"/>
        <v>5632.1701565200283</v>
      </c>
    </row>
    <row r="230" spans="1:49" x14ac:dyDescent="0.25">
      <c r="C230" t="s">
        <v>500</v>
      </c>
      <c r="E230" s="13">
        <f>E229-E228</f>
        <v>1998.0723707832121</v>
      </c>
      <c r="F230" s="15">
        <f t="shared" ref="F230:AH230" si="501">F229-F228</f>
        <v>2249.9391855075382</v>
      </c>
      <c r="G230" s="15">
        <f t="shared" si="501"/>
        <v>2645.828824670999</v>
      </c>
      <c r="H230" s="15">
        <f t="shared" si="501"/>
        <v>2777.2417624737514</v>
      </c>
      <c r="I230" s="15">
        <f t="shared" si="501"/>
        <v>2617.0875060746703</v>
      </c>
      <c r="J230" s="15">
        <f t="shared" si="501"/>
        <v>2708.4265091308935</v>
      </c>
      <c r="K230" s="15">
        <f t="shared" si="501"/>
        <v>2298.0305025511666</v>
      </c>
      <c r="L230" s="15">
        <f t="shared" si="501"/>
        <v>2495.2328307940884</v>
      </c>
      <c r="M230" s="15">
        <f t="shared" si="501"/>
        <v>2178.7491668790863</v>
      </c>
      <c r="N230" s="15">
        <f t="shared" si="501"/>
        <v>2712.9820952388131</v>
      </c>
      <c r="O230" s="15">
        <f t="shared" si="501"/>
        <v>2432.4575738408594</v>
      </c>
      <c r="P230" s="16">
        <f t="shared" si="501"/>
        <v>2642.4929922267916</v>
      </c>
      <c r="Q230" s="15">
        <f t="shared" si="501"/>
        <v>2409.8112823782858</v>
      </c>
      <c r="R230" s="15">
        <f t="shared" si="501"/>
        <v>2758.7853139025974</v>
      </c>
      <c r="S230" s="15">
        <f t="shared" si="501"/>
        <v>2672.5785598754464</v>
      </c>
      <c r="T230" s="15">
        <f t="shared" si="501"/>
        <v>2826.7131185684152</v>
      </c>
      <c r="U230" s="15">
        <f t="shared" si="501"/>
        <v>2874.7473339678459</v>
      </c>
      <c r="V230" s="15">
        <f t="shared" si="501"/>
        <v>3013.0311006786742</v>
      </c>
      <c r="W230" s="15">
        <f t="shared" si="501"/>
        <v>2673.1222661678285</v>
      </c>
      <c r="X230" s="15">
        <f t="shared" si="501"/>
        <v>2205.163647830625</v>
      </c>
      <c r="Y230" s="15">
        <f t="shared" si="501"/>
        <v>1871.4146338310193</v>
      </c>
      <c r="Z230" s="15">
        <f t="shared" si="501"/>
        <v>2687.1395732345222</v>
      </c>
      <c r="AA230" s="15">
        <f t="shared" si="501"/>
        <v>2508.6725545818749</v>
      </c>
      <c r="AB230" s="15">
        <f t="shared" si="501"/>
        <v>2025.546909991554</v>
      </c>
      <c r="AC230" s="15">
        <f t="shared" si="501"/>
        <v>1559.4527685720782</v>
      </c>
      <c r="AD230" s="15">
        <f t="shared" si="501"/>
        <v>1850.9373647257371</v>
      </c>
      <c r="AE230" s="15">
        <f t="shared" si="501"/>
        <v>1718.318092331655</v>
      </c>
      <c r="AF230" s="15">
        <f t="shared" si="501"/>
        <v>1851.1977639854927</v>
      </c>
      <c r="AG230" s="15">
        <f t="shared" si="501"/>
        <v>1843.4567610759536</v>
      </c>
      <c r="AH230" s="15">
        <f t="shared" si="501"/>
        <v>1988.5500048394547</v>
      </c>
      <c r="AJ230" s="15">
        <f t="shared" ref="AJ230:AW230" ca="1" si="502">AJ229-AJ228</f>
        <v>2645.828824670999</v>
      </c>
      <c r="AK230" s="15">
        <f t="shared" ca="1" si="502"/>
        <v>2708.4265091308935</v>
      </c>
      <c r="AL230" s="15">
        <f t="shared" ca="1" si="502"/>
        <v>2178.7491668790863</v>
      </c>
      <c r="AM230" s="16">
        <f t="shared" ca="1" si="502"/>
        <v>2642.4929922267916</v>
      </c>
      <c r="AN230" s="15">
        <f t="shared" ca="1" si="502"/>
        <v>2672.5785598754464</v>
      </c>
      <c r="AO230" s="15">
        <f t="shared" ca="1" si="502"/>
        <v>3013.0311006786742</v>
      </c>
      <c r="AP230" s="15">
        <f t="shared" ca="1" si="502"/>
        <v>1871.4146338310193</v>
      </c>
      <c r="AQ230" s="15">
        <f t="shared" ca="1" si="502"/>
        <v>2025.546909991554</v>
      </c>
      <c r="AR230" s="15">
        <f t="shared" ca="1" si="502"/>
        <v>1718.318092331655</v>
      </c>
      <c r="AS230" s="15">
        <f t="shared" ca="1" si="502"/>
        <v>1988.5500048394547</v>
      </c>
      <c r="AU230" s="15">
        <f t="shared" ca="1" si="502"/>
        <v>2708.4265091308935</v>
      </c>
      <c r="AV230" s="15">
        <f t="shared" ca="1" si="502"/>
        <v>3013.0311006786742</v>
      </c>
      <c r="AW230" s="15">
        <f t="shared" ca="1" si="502"/>
        <v>1988.5500048394547</v>
      </c>
    </row>
    <row r="231" spans="1:49" x14ac:dyDescent="0.25">
      <c r="P231" s="8"/>
      <c r="AM231" s="8"/>
    </row>
    <row r="232" spans="1:49" x14ac:dyDescent="0.25">
      <c r="B232" t="s">
        <v>231</v>
      </c>
      <c r="C232" s="30" t="s">
        <v>491</v>
      </c>
      <c r="D232" s="30"/>
      <c r="E232" s="45" t="str">
        <f t="shared" ref="E232:AH232" si="503">E$9</f>
        <v>Jul-20A</v>
      </c>
      <c r="F232" s="45" t="str">
        <f t="shared" si="503"/>
        <v>Aug-20A</v>
      </c>
      <c r="G232" s="45" t="str">
        <f t="shared" si="503"/>
        <v>Sep-20A</v>
      </c>
      <c r="H232" s="45" t="str">
        <f t="shared" si="503"/>
        <v>Oct-20A</v>
      </c>
      <c r="I232" s="45" t="str">
        <f t="shared" si="503"/>
        <v>Nov-20A</v>
      </c>
      <c r="J232" s="45" t="str">
        <f t="shared" si="503"/>
        <v>Dec-20A</v>
      </c>
      <c r="K232" s="45" t="str">
        <f t="shared" si="503"/>
        <v>Jan-21A</v>
      </c>
      <c r="L232" s="45" t="str">
        <f t="shared" si="503"/>
        <v>Feb-21A</v>
      </c>
      <c r="M232" s="45" t="str">
        <f t="shared" si="503"/>
        <v>Mar-21A</v>
      </c>
      <c r="N232" s="45" t="str">
        <f t="shared" si="503"/>
        <v>Apr-21A</v>
      </c>
      <c r="O232" s="45" t="str">
        <f t="shared" si="503"/>
        <v>May-21A</v>
      </c>
      <c r="P232" s="46" t="str">
        <f t="shared" si="503"/>
        <v>Jun-21A</v>
      </c>
      <c r="Q232" s="45" t="str">
        <f t="shared" si="503"/>
        <v>Jul-21F</v>
      </c>
      <c r="R232" s="45" t="str">
        <f t="shared" si="503"/>
        <v>Aug-21F</v>
      </c>
      <c r="S232" s="45" t="str">
        <f t="shared" si="503"/>
        <v>Sep-21F</v>
      </c>
      <c r="T232" s="45" t="str">
        <f t="shared" si="503"/>
        <v>Oct-21F</v>
      </c>
      <c r="U232" s="45" t="str">
        <f t="shared" si="503"/>
        <v>Nov-21F</v>
      </c>
      <c r="V232" s="45" t="str">
        <f t="shared" si="503"/>
        <v>Dec-21F</v>
      </c>
      <c r="W232" s="45" t="str">
        <f t="shared" si="503"/>
        <v>Jan-22F</v>
      </c>
      <c r="X232" s="45" t="str">
        <f t="shared" si="503"/>
        <v>Feb-22F</v>
      </c>
      <c r="Y232" s="45" t="str">
        <f t="shared" si="503"/>
        <v>Mar-22F</v>
      </c>
      <c r="Z232" s="45" t="str">
        <f t="shared" si="503"/>
        <v>Apr-22F</v>
      </c>
      <c r="AA232" s="45" t="str">
        <f t="shared" si="503"/>
        <v>May-22F</v>
      </c>
      <c r="AB232" s="45" t="str">
        <f t="shared" si="503"/>
        <v>Jun-22F</v>
      </c>
      <c r="AC232" s="45" t="str">
        <f t="shared" si="503"/>
        <v>Jul-22F</v>
      </c>
      <c r="AD232" s="45" t="str">
        <f t="shared" si="503"/>
        <v>Aug-22F</v>
      </c>
      <c r="AE232" s="45" t="str">
        <f t="shared" si="503"/>
        <v>Sep-22F</v>
      </c>
      <c r="AF232" s="45" t="str">
        <f t="shared" si="503"/>
        <v>Oct-22F</v>
      </c>
      <c r="AG232" s="45" t="str">
        <f t="shared" si="503"/>
        <v>Nov-22F</v>
      </c>
      <c r="AH232" s="45" t="str">
        <f t="shared" si="503"/>
        <v>Dec-22F</v>
      </c>
      <c r="AJ232" s="45" t="str">
        <f ca="1">AJ$10</f>
        <v>Q3'20A</v>
      </c>
      <c r="AK232" s="45" t="str">
        <f t="shared" ref="AK232:AW232" ca="1" si="504">AK$10</f>
        <v>Q4'20A</v>
      </c>
      <c r="AL232" s="45" t="str">
        <f t="shared" ca="1" si="504"/>
        <v>Q1'21A</v>
      </c>
      <c r="AM232" s="46" t="str">
        <f t="shared" ca="1" si="504"/>
        <v>Q2'21A</v>
      </c>
      <c r="AN232" s="45" t="str">
        <f t="shared" ca="1" si="504"/>
        <v>Q3'21F</v>
      </c>
      <c r="AO232" s="45" t="str">
        <f t="shared" ca="1" si="504"/>
        <v>Q4'21F</v>
      </c>
      <c r="AP232" s="45" t="str">
        <f t="shared" ca="1" si="504"/>
        <v>Q1'22F</v>
      </c>
      <c r="AQ232" s="45" t="str">
        <f t="shared" ca="1" si="504"/>
        <v>Q2'22F</v>
      </c>
      <c r="AR232" s="45" t="str">
        <f t="shared" ca="1" si="504"/>
        <v>Q3'22F</v>
      </c>
      <c r="AS232" s="45" t="str">
        <f t="shared" ca="1" si="504"/>
        <v>Q4'22F</v>
      </c>
      <c r="AU232" s="45" t="str">
        <f t="shared" ca="1" si="504"/>
        <v>FY20</v>
      </c>
      <c r="AV232" s="45" t="str">
        <f t="shared" ca="1" si="504"/>
        <v>FY21</v>
      </c>
      <c r="AW232" s="45" t="str">
        <f t="shared" ca="1" si="504"/>
        <v>FY22</v>
      </c>
    </row>
    <row r="233" spans="1:49" x14ac:dyDescent="0.25">
      <c r="C233" t="s">
        <v>497</v>
      </c>
      <c r="E233" s="265">
        <f t="shared" ref="E233:AH233" si="505">E222/E223</f>
        <v>1.4900803551807349</v>
      </c>
      <c r="F233" s="265">
        <f t="shared" si="505"/>
        <v>1.6286822996453794</v>
      </c>
      <c r="G233" s="265">
        <f t="shared" si="505"/>
        <v>1.6993530036106372</v>
      </c>
      <c r="H233" s="265">
        <f t="shared" si="505"/>
        <v>1.7242758742572213</v>
      </c>
      <c r="I233" s="265">
        <f t="shared" si="505"/>
        <v>1.9991572155692596</v>
      </c>
      <c r="J233" s="265">
        <f t="shared" si="505"/>
        <v>1.5883413936731254</v>
      </c>
      <c r="K233" s="265">
        <f t="shared" si="505"/>
        <v>1.566474222969106</v>
      </c>
      <c r="L233" s="265">
        <f t="shared" si="505"/>
        <v>1.7015828492338902</v>
      </c>
      <c r="M233" s="265">
        <f t="shared" si="505"/>
        <v>1.733733827450703</v>
      </c>
      <c r="N233" s="265">
        <f t="shared" si="505"/>
        <v>1.6255583540116674</v>
      </c>
      <c r="O233" s="265">
        <f t="shared" si="505"/>
        <v>1.5948947087163636</v>
      </c>
      <c r="P233" s="266">
        <f t="shared" si="505"/>
        <v>1.611959240799776</v>
      </c>
      <c r="Q233" s="265">
        <f t="shared" si="505"/>
        <v>1.6412164998696943</v>
      </c>
      <c r="R233" s="265">
        <f t="shared" si="505"/>
        <v>1.815901428398824</v>
      </c>
      <c r="S233" s="265">
        <f t="shared" si="505"/>
        <v>1.8432541434720513</v>
      </c>
      <c r="T233" s="265">
        <f t="shared" si="505"/>
        <v>1.8901410045933773</v>
      </c>
      <c r="U233" s="265">
        <f t="shared" si="505"/>
        <v>1.9329606592349529</v>
      </c>
      <c r="V233" s="265">
        <f t="shared" si="505"/>
        <v>1.8394579356613003</v>
      </c>
      <c r="W233" s="265">
        <f t="shared" si="505"/>
        <v>1.9359299952191198</v>
      </c>
      <c r="X233" s="265">
        <f t="shared" si="505"/>
        <v>1.9563651912526647</v>
      </c>
      <c r="Y233" s="265">
        <f t="shared" si="505"/>
        <v>2.0150133794349774</v>
      </c>
      <c r="Z233" s="265">
        <f t="shared" si="505"/>
        <v>1.8032172243800848</v>
      </c>
      <c r="AA233" s="265">
        <f t="shared" si="505"/>
        <v>1.8775304342768022</v>
      </c>
      <c r="AB233" s="265">
        <f t="shared" si="505"/>
        <v>1.7834916032509083</v>
      </c>
      <c r="AC233" s="265">
        <f t="shared" si="505"/>
        <v>1.816711129436958</v>
      </c>
      <c r="AD233" s="265">
        <f t="shared" si="505"/>
        <v>2.0314543119096466</v>
      </c>
      <c r="AE233" s="265">
        <f t="shared" si="505"/>
        <v>2.0678646747091078</v>
      </c>
      <c r="AF233" s="265">
        <f t="shared" si="505"/>
        <v>2.1231638486962026</v>
      </c>
      <c r="AG233" s="265">
        <f t="shared" si="505"/>
        <v>2.172496617939204</v>
      </c>
      <c r="AH233" s="265">
        <f t="shared" si="505"/>
        <v>2.038856099754196</v>
      </c>
      <c r="AJ233" s="265">
        <f t="shared" ref="AJ233:AW233" ca="1" si="506">AJ222/AJ223</f>
        <v>1.6993530036106372</v>
      </c>
      <c r="AK233" s="265">
        <f t="shared" ca="1" si="506"/>
        <v>1.5883413936731254</v>
      </c>
      <c r="AL233" s="265">
        <f t="shared" ca="1" si="506"/>
        <v>1.733733827450703</v>
      </c>
      <c r="AM233" s="266">
        <f t="shared" ca="1" si="506"/>
        <v>1.611959240799776</v>
      </c>
      <c r="AN233" s="265">
        <f t="shared" ca="1" si="506"/>
        <v>1.8432541434720513</v>
      </c>
      <c r="AO233" s="265">
        <f t="shared" ca="1" si="506"/>
        <v>1.8394579356613003</v>
      </c>
      <c r="AP233" s="265">
        <f t="shared" ca="1" si="506"/>
        <v>2.0150133794349774</v>
      </c>
      <c r="AQ233" s="265">
        <f t="shared" ca="1" si="506"/>
        <v>1.7834916032509083</v>
      </c>
      <c r="AR233" s="265">
        <f t="shared" ca="1" si="506"/>
        <v>2.0678646747091078</v>
      </c>
      <c r="AS233" s="265">
        <f t="shared" ca="1" si="506"/>
        <v>2.038856099754196</v>
      </c>
      <c r="AU233" s="265">
        <f t="shared" ca="1" si="506"/>
        <v>1.5883413936731254</v>
      </c>
      <c r="AV233" s="265">
        <f t="shared" ca="1" si="506"/>
        <v>1.8394579356613003</v>
      </c>
      <c r="AW233" s="265">
        <f t="shared" ca="1" si="506"/>
        <v>2.038856099754196</v>
      </c>
    </row>
    <row r="234" spans="1:49" x14ac:dyDescent="0.25">
      <c r="A234" t="s">
        <v>231</v>
      </c>
      <c r="B234" t="s">
        <v>231</v>
      </c>
      <c r="C234" t="s">
        <v>498</v>
      </c>
      <c r="E234" s="265">
        <f t="shared" ref="E234:AH234" si="507">(E222-E79)/E223</f>
        <v>1.2249622704271041</v>
      </c>
      <c r="F234" s="265">
        <f t="shared" si="507"/>
        <v>1.3462238149293317</v>
      </c>
      <c r="G234" s="265">
        <f t="shared" si="507"/>
        <v>1.4158547621318383</v>
      </c>
      <c r="H234" s="265">
        <f t="shared" si="507"/>
        <v>1.43924142552683</v>
      </c>
      <c r="I234" s="265">
        <f t="shared" si="507"/>
        <v>1.7287979755570781</v>
      </c>
      <c r="J234" s="265">
        <f t="shared" si="507"/>
        <v>1.3046436557970347</v>
      </c>
      <c r="K234" s="265">
        <f t="shared" si="507"/>
        <v>1.2865156304298133</v>
      </c>
      <c r="L234" s="265">
        <f t="shared" si="507"/>
        <v>1.3982895453371849</v>
      </c>
      <c r="M234" s="265">
        <f t="shared" si="507"/>
        <v>1.45461182667154</v>
      </c>
      <c r="N234" s="265">
        <f t="shared" si="507"/>
        <v>1.351000797332047</v>
      </c>
      <c r="O234" s="265">
        <f t="shared" si="507"/>
        <v>1.3280891477686914</v>
      </c>
      <c r="P234" s="266">
        <f t="shared" si="507"/>
        <v>1.3217091411473521</v>
      </c>
      <c r="Q234" s="265">
        <f t="shared" si="507"/>
        <v>1.3543936058300579</v>
      </c>
      <c r="R234" s="265">
        <f t="shared" si="507"/>
        <v>1.4884561727914181</v>
      </c>
      <c r="S234" s="265">
        <f t="shared" si="507"/>
        <v>1.5351828770913878</v>
      </c>
      <c r="T234" s="265">
        <f t="shared" si="507"/>
        <v>1.5719263413638844</v>
      </c>
      <c r="U234" s="265">
        <f t="shared" si="507"/>
        <v>1.6229104655357729</v>
      </c>
      <c r="V234" s="265">
        <f t="shared" si="507"/>
        <v>1.5259242926013252</v>
      </c>
      <c r="W234" s="265">
        <f t="shared" si="507"/>
        <v>1.6106134787659481</v>
      </c>
      <c r="X234" s="265">
        <f t="shared" si="507"/>
        <v>1.6476388404966864</v>
      </c>
      <c r="Y234" s="265">
        <f t="shared" si="507"/>
        <v>1.7178664034389746</v>
      </c>
      <c r="Z234" s="265">
        <f t="shared" si="507"/>
        <v>1.522905390094087</v>
      </c>
      <c r="AA234" s="265">
        <f t="shared" si="507"/>
        <v>1.5787657117086302</v>
      </c>
      <c r="AB234" s="265">
        <f t="shared" si="507"/>
        <v>1.4900296141631062</v>
      </c>
      <c r="AC234" s="265">
        <f t="shared" si="507"/>
        <v>1.5274496432297926</v>
      </c>
      <c r="AD234" s="265">
        <f t="shared" si="507"/>
        <v>1.7030846057727715</v>
      </c>
      <c r="AE234" s="265">
        <f t="shared" si="507"/>
        <v>1.7594421638546758</v>
      </c>
      <c r="AF234" s="265">
        <f t="shared" si="507"/>
        <v>1.8052577445992102</v>
      </c>
      <c r="AG234" s="265">
        <f t="shared" si="507"/>
        <v>1.8627550339354808</v>
      </c>
      <c r="AH234" s="265">
        <f t="shared" si="507"/>
        <v>1.7252138861863191</v>
      </c>
      <c r="AJ234" s="265">
        <f t="shared" ref="AJ234:AS234" ca="1" si="508">(AJ222-AJ79)/AJ223</f>
        <v>1.4158547621318383</v>
      </c>
      <c r="AK234" s="265">
        <f t="shared" ca="1" si="508"/>
        <v>1.3046436557970347</v>
      </c>
      <c r="AL234" s="265">
        <f t="shared" ca="1" si="508"/>
        <v>1.45461182667154</v>
      </c>
      <c r="AM234" s="266">
        <f t="shared" ca="1" si="508"/>
        <v>1.3217091411473521</v>
      </c>
      <c r="AN234" s="265">
        <f t="shared" ca="1" si="508"/>
        <v>1.5351828770913878</v>
      </c>
      <c r="AO234" s="265">
        <f t="shared" ca="1" si="508"/>
        <v>1.5259242926013252</v>
      </c>
      <c r="AP234" s="265">
        <f t="shared" ca="1" si="508"/>
        <v>1.7178664034389746</v>
      </c>
      <c r="AQ234" s="265">
        <f t="shared" ca="1" si="508"/>
        <v>1.4900296141631062</v>
      </c>
      <c r="AR234" s="265">
        <f t="shared" ca="1" si="508"/>
        <v>1.7594421638546758</v>
      </c>
      <c r="AS234" s="265">
        <f t="shared" ca="1" si="508"/>
        <v>1.7252138861863191</v>
      </c>
      <c r="AU234" s="265">
        <f ca="1">(AU222-AU79)/AU223</f>
        <v>1.3046436557970347</v>
      </c>
      <c r="AV234" s="265">
        <f ca="1">(AV222-AV79)/AV223</f>
        <v>1.5259242926013252</v>
      </c>
      <c r="AW234" s="265">
        <f ca="1">(AW222-AW79)/AW223</f>
        <v>1.7252138861863191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17B7-2E7C-4252-8F40-5B322E2A8DE2}">
  <sheetPr>
    <tabColor theme="6"/>
  </sheetPr>
  <dimension ref="A3:BF114"/>
  <sheetViews>
    <sheetView showGridLines="0" zoomScale="85" zoomScaleNormal="85" workbookViewId="0">
      <pane xSplit="3" ySplit="10" topLeftCell="D103" activePane="bottomRight" state="frozen"/>
      <selection pane="topRight" activeCell="D1" sqref="D1"/>
      <selection pane="bottomLeft" activeCell="A11" sqref="A11"/>
      <selection pane="bottomRight" activeCell="E77" sqref="E77"/>
    </sheetView>
  </sheetViews>
  <sheetFormatPr defaultRowHeight="15" outlineLevelRow="1" outlineLevelCol="1" x14ac:dyDescent="0.25"/>
  <cols>
    <col min="1" max="2" width="2.5703125" customWidth="1"/>
    <col min="3" max="3" width="40.42578125" bestFit="1" customWidth="1"/>
    <col min="4" max="4" width="2.5703125" customWidth="1" outlineLevel="1"/>
    <col min="5" max="5" width="10.28515625" customWidth="1" outlineLevel="1"/>
    <col min="6" max="6" width="9.140625" customWidth="1" outlineLevel="1"/>
    <col min="7" max="10" width="9.28515625" customWidth="1" outlineLevel="1"/>
    <col min="11" max="12" width="9.28515625" bestFit="1" customWidth="1"/>
    <col min="13" max="13" width="11.5703125" bestFit="1" customWidth="1"/>
    <col min="14" max="14" width="9.28515625" bestFit="1" customWidth="1"/>
    <col min="15" max="24" width="10.140625" bestFit="1" customWidth="1"/>
    <col min="25" max="25" width="10.28515625" bestFit="1" customWidth="1"/>
    <col min="26" max="26" width="10.140625" bestFit="1" customWidth="1"/>
    <col min="27" max="28" width="9.140625" bestFit="1" customWidth="1"/>
    <col min="29" max="34" width="9.140625" bestFit="1" customWidth="1" outlineLevel="1"/>
    <col min="35" max="35" width="2.5703125" customWidth="1"/>
    <col min="36" max="45" width="8.7109375" outlineLevel="1"/>
    <col min="46" max="46" width="2.5703125" customWidth="1"/>
    <col min="47" max="47" width="8.7109375" outlineLevel="1"/>
    <col min="48" max="49" width="9.140625" bestFit="1" customWidth="1" outlineLevel="1"/>
    <col min="50" max="50" width="2.5703125" customWidth="1"/>
  </cols>
  <sheetData>
    <row r="3" spans="1:58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1:58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1:58" outlineLevel="1" x14ac:dyDescent="0.25">
      <c r="C5" t="s">
        <v>11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1:58" outlineLevel="1" x14ac:dyDescent="0.25">
      <c r="C6" t="s">
        <v>10</v>
      </c>
      <c r="E6" s="5" t="str">
        <f t="shared" ref="E6:AH6" si="1">"Q"&amp;ROUNDUP(E7/3,0)</f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1:58" outlineLevel="1" x14ac:dyDescent="0.25">
      <c r="C7" t="s">
        <v>12</v>
      </c>
      <c r="E7" s="5">
        <f t="shared" ref="E7:AH7" si="2">MONTH(E8)</f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  <c r="AJ7" s="5"/>
      <c r="AM7" s="8"/>
    </row>
    <row r="8" spans="1:58" outlineLevel="1" x14ac:dyDescent="0.25">
      <c r="C8" t="s">
        <v>9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  <c r="AM8" s="8"/>
    </row>
    <row r="9" spans="1:58" outlineLevel="1" x14ac:dyDescent="0.25">
      <c r="C9" t="s">
        <v>17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  <c r="AM9" s="8"/>
      <c r="AU9" s="319" t="str">
        <f ca="1">COUNTIF($E$5:$AH$5,AU$5)&amp;"m"</f>
        <v>6m</v>
      </c>
      <c r="AV9" s="319" t="str">
        <f t="shared" ref="AV9:AW9" ca="1" si="5">COUNTIF($E$5:$AH$5,AV$5)&amp;"m"</f>
        <v>12m</v>
      </c>
      <c r="AW9" s="319" t="str">
        <f t="shared" ca="1" si="5"/>
        <v>12m</v>
      </c>
    </row>
    <row r="10" spans="1:58" x14ac:dyDescent="0.25">
      <c r="E10" s="43" t="str">
        <f t="shared" ref="E10:AH10" si="6">E$9</f>
        <v>Jul-20A</v>
      </c>
      <c r="F10" s="43" t="str">
        <f t="shared" si="6"/>
        <v>Aug-20A</v>
      </c>
      <c r="G10" s="43" t="str">
        <f t="shared" si="6"/>
        <v>Sep-20A</v>
      </c>
      <c r="H10" s="43" t="str">
        <f t="shared" si="6"/>
        <v>Oct-20A</v>
      </c>
      <c r="I10" s="43" t="str">
        <f t="shared" si="6"/>
        <v>Nov-20A</v>
      </c>
      <c r="J10" s="43" t="str">
        <f t="shared" si="6"/>
        <v>Dec-20A</v>
      </c>
      <c r="K10" s="43" t="str">
        <f t="shared" si="6"/>
        <v>Jan-21A</v>
      </c>
      <c r="L10" s="43" t="str">
        <f t="shared" si="6"/>
        <v>Feb-21A</v>
      </c>
      <c r="M10" s="43" t="str">
        <f t="shared" si="6"/>
        <v>Mar-21A</v>
      </c>
      <c r="N10" s="43" t="str">
        <f t="shared" si="6"/>
        <v>Apr-21A</v>
      </c>
      <c r="O10" s="43" t="str">
        <f t="shared" si="6"/>
        <v>May-21A</v>
      </c>
      <c r="P10" s="44" t="str">
        <f t="shared" si="6"/>
        <v>Jun-21A</v>
      </c>
      <c r="Q10" s="43" t="str">
        <f t="shared" si="6"/>
        <v>Jul-21F</v>
      </c>
      <c r="R10" s="43" t="str">
        <f t="shared" si="6"/>
        <v>Aug-21F</v>
      </c>
      <c r="S10" s="43" t="str">
        <f t="shared" si="6"/>
        <v>Sep-21F</v>
      </c>
      <c r="T10" s="43" t="str">
        <f t="shared" si="6"/>
        <v>Oct-21F</v>
      </c>
      <c r="U10" s="43" t="str">
        <f t="shared" si="6"/>
        <v>Nov-21F</v>
      </c>
      <c r="V10" s="43" t="str">
        <f t="shared" si="6"/>
        <v>Dec-21F</v>
      </c>
      <c r="W10" s="43" t="str">
        <f t="shared" si="6"/>
        <v>Jan-22F</v>
      </c>
      <c r="X10" s="43" t="str">
        <f t="shared" si="6"/>
        <v>Feb-22F</v>
      </c>
      <c r="Y10" s="43" t="str">
        <f t="shared" si="6"/>
        <v>Mar-22F</v>
      </c>
      <c r="Z10" s="43" t="str">
        <f t="shared" si="6"/>
        <v>Apr-22F</v>
      </c>
      <c r="AA10" s="43" t="str">
        <f t="shared" si="6"/>
        <v>May-22F</v>
      </c>
      <c r="AB10" s="43" t="str">
        <f t="shared" si="6"/>
        <v>Jun-22F</v>
      </c>
      <c r="AC10" s="43" t="str">
        <f t="shared" si="6"/>
        <v>Jul-22F</v>
      </c>
      <c r="AD10" s="43" t="str">
        <f t="shared" si="6"/>
        <v>Aug-22F</v>
      </c>
      <c r="AE10" s="43" t="str">
        <f t="shared" si="6"/>
        <v>Sep-22F</v>
      </c>
      <c r="AF10" s="43" t="str">
        <f t="shared" si="6"/>
        <v>Oct-22F</v>
      </c>
      <c r="AG10" s="43" t="str">
        <f t="shared" si="6"/>
        <v>Nov-22F</v>
      </c>
      <c r="AH10" s="43" t="str">
        <f t="shared" si="6"/>
        <v>Dec-22F</v>
      </c>
      <c r="AJ10" s="5" t="str">
        <f ca="1">AJ6&amp;"'"&amp;RIGHT(AJ5,2)&amp;LEFT(AJ3,1)</f>
        <v>Q3'20A</v>
      </c>
      <c r="AK10" s="5" t="str">
        <f t="shared" ref="AK10:AS10" ca="1" si="7">AK6&amp;"'"&amp;RIGHT(AK5,2)&amp;LEFT(AK3,1)</f>
        <v>Q4'20A</v>
      </c>
      <c r="AL10" s="5" t="str">
        <f t="shared" ca="1" si="7"/>
        <v>Q1'21A</v>
      </c>
      <c r="AM10" s="9" t="str">
        <f t="shared" ca="1" si="7"/>
        <v>Q2'21A</v>
      </c>
      <c r="AN10" s="5" t="str">
        <f t="shared" ca="1" si="7"/>
        <v>Q3'21F</v>
      </c>
      <c r="AO10" s="5" t="str">
        <f t="shared" ca="1" si="7"/>
        <v>Q4'21F</v>
      </c>
      <c r="AP10" s="5" t="str">
        <f t="shared" ca="1" si="7"/>
        <v>Q1'22F</v>
      </c>
      <c r="AQ10" s="5" t="str">
        <f t="shared" ca="1" si="7"/>
        <v>Q2'22F</v>
      </c>
      <c r="AR10" s="5" t="str">
        <f t="shared" ca="1" si="7"/>
        <v>Q3'22F</v>
      </c>
      <c r="AS10" s="5" t="str">
        <f t="shared" ca="1" si="7"/>
        <v>Q4'22F</v>
      </c>
      <c r="AU10" s="319" t="str">
        <f ca="1">"FY"&amp;RIGHT(AU5,2)</f>
        <v>FY20</v>
      </c>
      <c r="AV10" s="319" t="str">
        <f t="shared" ref="AV10:AW10" ca="1" si="8">"FY"&amp;RIGHT(AV5,2)</f>
        <v>FY21</v>
      </c>
      <c r="AW10" s="319" t="str">
        <f t="shared" ca="1" si="8"/>
        <v>FY22</v>
      </c>
    </row>
    <row r="12" spans="1:58" ht="18.75" x14ac:dyDescent="0.3">
      <c r="A12" t="s">
        <v>231</v>
      </c>
      <c r="B12" t="s">
        <v>231</v>
      </c>
      <c r="C12" s="181" t="s">
        <v>397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</row>
    <row r="13" spans="1:58" x14ac:dyDescent="0.25">
      <c r="C13" s="11"/>
      <c r="D13" s="11"/>
    </row>
    <row r="14" spans="1:58" x14ac:dyDescent="0.25">
      <c r="C14" s="11"/>
      <c r="D14" s="11"/>
      <c r="E14" s="45" t="str">
        <f t="shared" ref="E14:AH14" si="9">E$9</f>
        <v>Jul-20A</v>
      </c>
      <c r="F14" s="45" t="str">
        <f t="shared" si="9"/>
        <v>Aug-20A</v>
      </c>
      <c r="G14" s="45" t="str">
        <f t="shared" si="9"/>
        <v>Sep-20A</v>
      </c>
      <c r="H14" s="45" t="str">
        <f t="shared" si="9"/>
        <v>Oct-20A</v>
      </c>
      <c r="I14" s="45" t="str">
        <f t="shared" si="9"/>
        <v>Nov-20A</v>
      </c>
      <c r="J14" s="45" t="str">
        <f t="shared" si="9"/>
        <v>Dec-20A</v>
      </c>
      <c r="K14" s="45" t="str">
        <f t="shared" si="9"/>
        <v>Jan-21A</v>
      </c>
      <c r="L14" s="45" t="str">
        <f t="shared" si="9"/>
        <v>Feb-21A</v>
      </c>
      <c r="M14" s="45" t="str">
        <f t="shared" si="9"/>
        <v>Mar-21A</v>
      </c>
      <c r="N14" s="45" t="str">
        <f t="shared" si="9"/>
        <v>Apr-21A</v>
      </c>
      <c r="O14" s="45" t="str">
        <f t="shared" si="9"/>
        <v>May-21A</v>
      </c>
      <c r="P14" s="46" t="str">
        <f t="shared" si="9"/>
        <v>Jun-21A</v>
      </c>
      <c r="Q14" s="45" t="str">
        <f t="shared" si="9"/>
        <v>Jul-21F</v>
      </c>
      <c r="R14" s="45" t="str">
        <f t="shared" si="9"/>
        <v>Aug-21F</v>
      </c>
      <c r="S14" s="45" t="str">
        <f t="shared" si="9"/>
        <v>Sep-21F</v>
      </c>
      <c r="T14" s="45" t="str">
        <f t="shared" si="9"/>
        <v>Oct-21F</v>
      </c>
      <c r="U14" s="45" t="str">
        <f t="shared" si="9"/>
        <v>Nov-21F</v>
      </c>
      <c r="V14" s="45" t="str">
        <f t="shared" si="9"/>
        <v>Dec-21F</v>
      </c>
      <c r="W14" s="45" t="str">
        <f t="shared" si="9"/>
        <v>Jan-22F</v>
      </c>
      <c r="X14" s="45" t="str">
        <f t="shared" si="9"/>
        <v>Feb-22F</v>
      </c>
      <c r="Y14" s="45" t="str">
        <f t="shared" si="9"/>
        <v>Mar-22F</v>
      </c>
      <c r="Z14" s="45" t="str">
        <f t="shared" si="9"/>
        <v>Apr-22F</v>
      </c>
      <c r="AA14" s="45" t="str">
        <f t="shared" si="9"/>
        <v>May-22F</v>
      </c>
      <c r="AB14" s="45" t="str">
        <f t="shared" si="9"/>
        <v>Jun-22F</v>
      </c>
      <c r="AC14" s="45" t="str">
        <f t="shared" si="9"/>
        <v>Jul-22F</v>
      </c>
      <c r="AD14" s="45" t="str">
        <f t="shared" si="9"/>
        <v>Aug-22F</v>
      </c>
      <c r="AE14" s="45" t="str">
        <f t="shared" si="9"/>
        <v>Sep-22F</v>
      </c>
      <c r="AF14" s="45" t="str">
        <f t="shared" si="9"/>
        <v>Oct-22F</v>
      </c>
      <c r="AG14" s="45" t="str">
        <f t="shared" si="9"/>
        <v>Nov-22F</v>
      </c>
      <c r="AH14" s="45" t="str">
        <f t="shared" si="9"/>
        <v>Dec-22F</v>
      </c>
      <c r="AJ14" s="45" t="str">
        <f ca="1">AJ$10</f>
        <v>Q3'20A</v>
      </c>
      <c r="AK14" s="45" t="str">
        <f t="shared" ref="AK14:AW14" ca="1" si="10">AK$10</f>
        <v>Q4'20A</v>
      </c>
      <c r="AL14" s="45" t="str">
        <f t="shared" ca="1" si="10"/>
        <v>Q1'21A</v>
      </c>
      <c r="AM14" s="46" t="str">
        <f t="shared" ca="1" si="10"/>
        <v>Q2'21A</v>
      </c>
      <c r="AN14" s="45" t="str">
        <f t="shared" ca="1" si="10"/>
        <v>Q3'21F</v>
      </c>
      <c r="AO14" s="45" t="str">
        <f t="shared" ca="1" si="10"/>
        <v>Q4'21F</v>
      </c>
      <c r="AP14" s="45" t="str">
        <f t="shared" ca="1" si="10"/>
        <v>Q1'22F</v>
      </c>
      <c r="AQ14" s="45" t="str">
        <f t="shared" ca="1" si="10"/>
        <v>Q2'22F</v>
      </c>
      <c r="AR14" s="45" t="str">
        <f t="shared" ca="1" si="10"/>
        <v>Q3'22F</v>
      </c>
      <c r="AS14" s="45" t="str">
        <f t="shared" ca="1" si="10"/>
        <v>Q4'22F</v>
      </c>
      <c r="AU14" s="45" t="str">
        <f t="shared" ca="1" si="10"/>
        <v>FY20</v>
      </c>
      <c r="AV14" s="45" t="str">
        <f t="shared" ca="1" si="10"/>
        <v>FY21</v>
      </c>
      <c r="AW14" s="45" t="str">
        <f t="shared" ca="1" si="10"/>
        <v>FY22</v>
      </c>
      <c r="AZ14" t="s">
        <v>600</v>
      </c>
      <c r="BA14" s="45" t="s">
        <v>594</v>
      </c>
      <c r="BB14" s="45" t="s">
        <v>595</v>
      </c>
      <c r="BC14" s="45" t="s">
        <v>596</v>
      </c>
      <c r="BD14" s="45" t="s">
        <v>597</v>
      </c>
      <c r="BE14" s="45" t="s">
        <v>598</v>
      </c>
      <c r="BF14" s="45" t="s">
        <v>599</v>
      </c>
    </row>
    <row r="15" spans="1:58" x14ac:dyDescent="0.25">
      <c r="C15" t="s">
        <v>191</v>
      </c>
      <c r="E15" s="33">
        <f>Summary_Income_Stmt!E56</f>
        <v>29.125237104659139</v>
      </c>
      <c r="F15" s="33">
        <f>Summary_Income_Stmt!F56</f>
        <v>-82.624194245865795</v>
      </c>
      <c r="G15" s="33">
        <f>Summary_Income_Stmt!G56</f>
        <v>-21.710702552945516</v>
      </c>
      <c r="H15" s="33">
        <f>Summary_Income_Stmt!H56</f>
        <v>26.986821621171551</v>
      </c>
      <c r="I15" s="33">
        <f>Summary_Income_Stmt!I56</f>
        <v>57.953457461618527</v>
      </c>
      <c r="J15" s="56">
        <f>Summary_Income_Stmt!J56</f>
        <v>235.4447518774752</v>
      </c>
      <c r="K15" s="33">
        <f>Summary_Income_Stmt!K56</f>
        <v>54.654992854057717</v>
      </c>
      <c r="L15" s="33">
        <f>Summary_Income_Stmt!L56</f>
        <v>20.343899815251607</v>
      </c>
      <c r="M15" s="33">
        <f>Summary_Income_Stmt!M56</f>
        <v>-271.15692301059426</v>
      </c>
      <c r="N15" s="33">
        <f>Summary_Income_Stmt!N56</f>
        <v>213.57803618904262</v>
      </c>
      <c r="O15" s="33">
        <f>Summary_Income_Stmt!O56</f>
        <v>138.5389775796522</v>
      </c>
      <c r="P15" s="34">
        <f>Summary_Income_Stmt!P56</f>
        <v>120.59405030732998</v>
      </c>
      <c r="Q15" s="33">
        <f>Summary_Income_Stmt!Q56</f>
        <v>81.200688086606505</v>
      </c>
      <c r="R15" s="33">
        <f>Summary_Income_Stmt!R56</f>
        <v>-31.173665531776798</v>
      </c>
      <c r="S15" s="33">
        <f>Summary_Income_Stmt!S56</f>
        <v>-15.110091406378155</v>
      </c>
      <c r="T15" s="33">
        <f>Summary_Income_Stmt!T56</f>
        <v>15.340571690454514</v>
      </c>
      <c r="U15" s="33">
        <f>Summary_Income_Stmt!U56</f>
        <v>54.057078316209406</v>
      </c>
      <c r="V15" s="33">
        <f>Summary_Income_Stmt!V56</f>
        <v>194.50537495823039</v>
      </c>
      <c r="W15" s="33">
        <f>Summary_Income_Stmt!W56</f>
        <v>46.212717877344666</v>
      </c>
      <c r="X15" s="33">
        <f>Summary_Income_Stmt!X56</f>
        <v>-2.930033740955265</v>
      </c>
      <c r="Y15" s="33">
        <f>Summary_Income_Stmt!Y56</f>
        <v>-294.75468644242693</v>
      </c>
      <c r="Z15" s="33">
        <f>Summary_Income_Stmt!Z56</f>
        <v>204.2411705500968</v>
      </c>
      <c r="AA15" s="33">
        <f>Summary_Income_Stmt!AA56</f>
        <v>116.43258315676363</v>
      </c>
      <c r="AB15" s="33">
        <f>Summary_Income_Stmt!AB56</f>
        <v>149.20150943019695</v>
      </c>
      <c r="AC15" s="33">
        <f>Summary_Income_Stmt!AC56</f>
        <v>75.310315180858495</v>
      </c>
      <c r="AD15" s="33">
        <f>Summary_Income_Stmt!AD56</f>
        <v>-35.681259428359056</v>
      </c>
      <c r="AE15" s="33">
        <f>Summary_Income_Stmt!AE56</f>
        <v>-5.3773876435951724</v>
      </c>
      <c r="AF15" s="33">
        <f>Summary_Income_Stmt!AF56</f>
        <v>23.628256871298657</v>
      </c>
      <c r="AG15" s="33">
        <f>Summary_Income_Stmt!AG56</f>
        <v>63.996305277565639</v>
      </c>
      <c r="AH15" s="33">
        <f>Summary_Income_Stmt!AH56</f>
        <v>212.06107516189809</v>
      </c>
      <c r="AJ15" s="13" cm="1">
        <f t="array" aca="1" ref="AJ15" ca="1">SUMPRODUCT(($E15:$AH15)*(AJ$3&amp;AJ$4&amp;AJ$5&amp;AJ$6=$E$3:$AH$3&amp;$E$4:$AH$4&amp;$E$5:$AH$5&amp;$E$6:$AH$6))</f>
        <v>-75.20965969415218</v>
      </c>
      <c r="AK15" s="13" cm="1">
        <f t="array" aca="1" ref="AK15" ca="1">SUMPRODUCT(($E15:$AH15)*(AK$3=$E$3:$AH$3)*(AK$4=$E$4:$AH$4)*(AK$5=$E$5:$AH$5)*(AK$6=$E$6:$AH$6))</f>
        <v>320.38503096026528</v>
      </c>
      <c r="AL15" s="13" cm="1">
        <f t="array" aca="1" ref="AL15" ca="1">SUMPRODUCT(($E15:$AH15)*(AL$3=$E$3:$AH$3)*(AL$4=$E$4:$AH$4)*(AL$5=$E$5:$AH$5)*(AL$6=$E$6:$AH$6))</f>
        <v>-196.15803034128493</v>
      </c>
      <c r="AM15" s="17" cm="1">
        <f t="array" aca="1" ref="AM15" ca="1">SUMPRODUCT(($E15:$AH15)*(AM$3=$E$3:$AH$3)*(AM$4=$E$4:$AH$4)*(AM$5=$E$5:$AH$5)*(AM$6=$E$6:$AH$6))</f>
        <v>472.71106407602485</v>
      </c>
      <c r="AN15" s="13" cm="1">
        <f t="array" aca="1" ref="AN15" ca="1">SUMPRODUCT(($E15:$AH15)*(AN$3=$E$3:$AH$3)*(AN$4=$E$4:$AH$4)*(AN$5=$E$5:$AH$5)*(AN$6=$E$6:$AH$6))</f>
        <v>34.916931148451553</v>
      </c>
      <c r="AO15" s="13" cm="1">
        <f t="array" aca="1" ref="AO15" ca="1">SUMPRODUCT(($E15:$AH15)*(AO$3=$E$3:$AH$3)*(AO$4=$E$4:$AH$4)*(AO$5=$E$5:$AH$5)*(AO$6=$E$6:$AH$6))</f>
        <v>263.90302496489431</v>
      </c>
      <c r="AP15" s="13" cm="1">
        <f t="array" aca="1" ref="AP15" ca="1">SUMPRODUCT(($E15:$AH15)*(AP$3=$E$3:$AH$3)*(AP$4=$E$4:$AH$4)*(AP$5=$E$5:$AH$5)*(AP$6=$E$6:$AH$6))</f>
        <v>-251.47200230603752</v>
      </c>
      <c r="AQ15" s="13" cm="1">
        <f t="array" aca="1" ref="AQ15" ca="1">SUMPRODUCT(($E15:$AH15)*(AQ$3=$E$3:$AH$3)*(AQ$4=$E$4:$AH$4)*(AQ$5=$E$5:$AH$5)*(AQ$6=$E$6:$AH$6))</f>
        <v>469.8752631370574</v>
      </c>
      <c r="AR15" s="13" cm="1">
        <f t="array" aca="1" ref="AR15" ca="1">SUMPRODUCT(($E15:$AH15)*(AR$3=$E$3:$AH$3)*(AR$4=$E$4:$AH$4)*(AR$5=$E$5:$AH$5)*(AR$6=$E$6:$AH$6))</f>
        <v>34.251668108904269</v>
      </c>
      <c r="AS15" s="13" cm="1">
        <f t="array" aca="1" ref="AS15" ca="1">SUMPRODUCT(($E15:$AH15)*(AS$3=$E$3:$AH$3)*(AS$4=$E$4:$AH$4)*(AS$5=$E$5:$AH$5)*(AS$6=$E$6:$AH$6))</f>
        <v>299.68563731076239</v>
      </c>
      <c r="AT15" s="13"/>
      <c r="AU15" s="13" cm="1">
        <f t="array" aca="1" ref="AU15" ca="1">SUMPRODUCT(($E15:$AH15)*(AU$5=$E$5:$AH$5))</f>
        <v>245.1753712661131</v>
      </c>
      <c r="AV15" s="13" cm="1">
        <f t="array" aca="1" ref="AV15" ca="1">SUMPRODUCT(($E15:$AH15)*(AV$5=$E$5:$AH$5))</f>
        <v>575.37298984808581</v>
      </c>
      <c r="AW15" s="13" cm="1">
        <f t="array" aca="1" ref="AW15" ca="1">SUMPRODUCT(($E15:$AH15)*(AW$5=$E$5:$AH$5))</f>
        <v>552.34056625068649</v>
      </c>
      <c r="AZ15" s="5" t="s">
        <v>179</v>
      </c>
      <c r="BA15" s="13">
        <f>INDEX($E$15:$AW$42,MATCH($AZ15,$C$15:$C$42,0),MATCH(BA$14,$E$14:$AW$14,0))</f>
        <v>-155.25372102412547</v>
      </c>
      <c r="BB15" s="13">
        <f t="shared" ref="BB15:BF17" si="11">INDEX($E$15:$AW$42,MATCH($AZ15,$C$15:$C$42,0),MATCH(BB$14,$E$14:$AW$14,0))</f>
        <v>-251.8668147243261</v>
      </c>
      <c r="BC15" s="13">
        <f t="shared" si="11"/>
        <v>-395.88963916346086</v>
      </c>
      <c r="BD15" s="13">
        <f t="shared" si="11"/>
        <v>-131.41293780275237</v>
      </c>
      <c r="BE15" s="13">
        <f t="shared" si="11"/>
        <v>160.15425639908091</v>
      </c>
      <c r="BF15" s="13">
        <f t="shared" si="11"/>
        <v>-91.339003056223305</v>
      </c>
    </row>
    <row r="16" spans="1:58" x14ac:dyDescent="0.25">
      <c r="C16" t="s">
        <v>186</v>
      </c>
      <c r="P16" s="8"/>
      <c r="AM16" s="8"/>
      <c r="AZ16" s="5" t="s">
        <v>182</v>
      </c>
      <c r="BA16" s="13">
        <f t="shared" ref="BA16:BA17" si="12">INDEX($E$15:$AW$42,MATCH($AZ16,$C$15:$C$42,0),MATCH(BA$14,$E$14:$AW$14,0))</f>
        <v>0</v>
      </c>
      <c r="BB16" s="13">
        <f t="shared" si="11"/>
        <v>0</v>
      </c>
      <c r="BC16" s="13">
        <f t="shared" si="11"/>
        <v>0</v>
      </c>
      <c r="BD16" s="13">
        <f t="shared" si="11"/>
        <v>0</v>
      </c>
      <c r="BE16" s="13">
        <f t="shared" si="11"/>
        <v>0</v>
      </c>
      <c r="BF16" s="13">
        <f t="shared" si="11"/>
        <v>0</v>
      </c>
    </row>
    <row r="17" spans="2:58" x14ac:dyDescent="0.25">
      <c r="C17" s="1" t="s">
        <v>81</v>
      </c>
      <c r="E17" s="33">
        <f>Summary_Income_Stmt!E46</f>
        <v>24.922699933540848</v>
      </c>
      <c r="F17" s="33">
        <f>Summary_Income_Stmt!F46</f>
        <v>24.922699933540848</v>
      </c>
      <c r="G17" s="33">
        <f>Summary_Income_Stmt!G46</f>
        <v>24.922699933540848</v>
      </c>
      <c r="H17" s="33">
        <f>Summary_Income_Stmt!H46</f>
        <v>24.922699933540848</v>
      </c>
      <c r="I17" s="33">
        <f>Summary_Income_Stmt!I46</f>
        <v>24.922699933540848</v>
      </c>
      <c r="J17" s="56">
        <f>Summary_Income_Stmt!J46</f>
        <v>24.922699933540848</v>
      </c>
      <c r="K17" s="33">
        <f>Summary_Income_Stmt!K46</f>
        <v>24.922699933540848</v>
      </c>
      <c r="L17" s="33">
        <f>Summary_Income_Stmt!L46</f>
        <v>24.922699933540848</v>
      </c>
      <c r="M17" s="33">
        <f>Summary_Income_Stmt!M46</f>
        <v>24.922699933540848</v>
      </c>
      <c r="N17" s="33">
        <f>Summary_Income_Stmt!N46</f>
        <v>24.922699933540848</v>
      </c>
      <c r="O17" s="33">
        <f>Summary_Income_Stmt!O46</f>
        <v>24.922699933540848</v>
      </c>
      <c r="P17" s="34">
        <f>Summary_Income_Stmt!P46</f>
        <v>24.922699933540848</v>
      </c>
      <c r="Q17" s="33">
        <f>Summary_Income_Stmt!Q46</f>
        <v>24.922699933540848</v>
      </c>
      <c r="R17" s="33">
        <f>Summary_Income_Stmt!R46</f>
        <v>24.922699933540848</v>
      </c>
      <c r="S17" s="33">
        <f>Summary_Income_Stmt!S46</f>
        <v>24.922699933540848</v>
      </c>
      <c r="T17" s="33">
        <f>Summary_Income_Stmt!T46</f>
        <v>24.922699933540848</v>
      </c>
      <c r="U17" s="33">
        <f>Summary_Income_Stmt!U46</f>
        <v>24.922699933540848</v>
      </c>
      <c r="V17" s="33">
        <f>Summary_Income_Stmt!V46</f>
        <v>24.922699933540848</v>
      </c>
      <c r="W17" s="33">
        <f>Summary_Income_Stmt!W46</f>
        <v>24.922699933540848</v>
      </c>
      <c r="X17" s="33">
        <f>Summary_Income_Stmt!X46</f>
        <v>24.922699933540848</v>
      </c>
      <c r="Y17" s="33">
        <f>Summary_Income_Stmt!Y46</f>
        <v>24.922699933540848</v>
      </c>
      <c r="Z17" s="33">
        <f>Summary_Income_Stmt!Z46</f>
        <v>24.922699933540848</v>
      </c>
      <c r="AA17" s="33">
        <f>Summary_Income_Stmt!AA46</f>
        <v>24.922699933540848</v>
      </c>
      <c r="AB17" s="33">
        <f>Summary_Income_Stmt!AB46</f>
        <v>24.922699933540848</v>
      </c>
      <c r="AC17" s="33">
        <f>Summary_Income_Stmt!AC46</f>
        <v>24.922699933540848</v>
      </c>
      <c r="AD17" s="33">
        <f>Summary_Income_Stmt!AD46</f>
        <v>24.922699933540848</v>
      </c>
      <c r="AE17" s="33">
        <f>Summary_Income_Stmt!AE46</f>
        <v>24.922699933540848</v>
      </c>
      <c r="AF17" s="33">
        <f>Summary_Income_Stmt!AF46</f>
        <v>24.922699933540848</v>
      </c>
      <c r="AG17" s="33">
        <f>Summary_Income_Stmt!AG46</f>
        <v>24.922699933540848</v>
      </c>
      <c r="AH17" s="33">
        <f>Summary_Income_Stmt!AH46</f>
        <v>24.922699933540848</v>
      </c>
      <c r="AJ17" s="13" cm="1">
        <f t="array" aca="1" ref="AJ17" ca="1">SUMPRODUCT(($E17:$AH17)*(AJ$3&amp;AJ$4&amp;AJ$5&amp;AJ$6=$E$3:$AH$3&amp;$E$4:$AH$4&amp;$E$5:$AH$5&amp;$E$6:$AH$6))</f>
        <v>74.768099800622537</v>
      </c>
      <c r="AK17" s="13" cm="1">
        <f t="array" aca="1" ref="AK17" ca="1">SUMPRODUCT(($E17:$AH17)*(AK$3=$E$3:$AH$3)*(AK$4=$E$4:$AH$4)*(AK$5=$E$5:$AH$5)*(AK$6=$E$6:$AH$6))</f>
        <v>74.768099800622537</v>
      </c>
      <c r="AL17" s="13" cm="1">
        <f t="array" aca="1" ref="AL17" ca="1">SUMPRODUCT(($E17:$AH17)*(AL$3=$E$3:$AH$3)*(AL$4=$E$4:$AH$4)*(AL$5=$E$5:$AH$5)*(AL$6=$E$6:$AH$6))</f>
        <v>74.768099800622537</v>
      </c>
      <c r="AM17" s="17" cm="1">
        <f t="array" aca="1" ref="AM17" ca="1">SUMPRODUCT(($E17:$AH17)*(AM$3=$E$3:$AH$3)*(AM$4=$E$4:$AH$4)*(AM$5=$E$5:$AH$5)*(AM$6=$E$6:$AH$6))</f>
        <v>74.768099800622537</v>
      </c>
      <c r="AN17" s="13" cm="1">
        <f t="array" aca="1" ref="AN17" ca="1">SUMPRODUCT(($E17:$AH17)*(AN$3=$E$3:$AH$3)*(AN$4=$E$4:$AH$4)*(AN$5=$E$5:$AH$5)*(AN$6=$E$6:$AH$6))</f>
        <v>74.768099800622537</v>
      </c>
      <c r="AO17" s="13" cm="1">
        <f t="array" aca="1" ref="AO17" ca="1">SUMPRODUCT(($E17:$AH17)*(AO$3=$E$3:$AH$3)*(AO$4=$E$4:$AH$4)*(AO$5=$E$5:$AH$5)*(AO$6=$E$6:$AH$6))</f>
        <v>74.768099800622537</v>
      </c>
      <c r="AP17" s="13" cm="1">
        <f t="array" aca="1" ref="AP17" ca="1">SUMPRODUCT(($E17:$AH17)*(AP$3=$E$3:$AH$3)*(AP$4=$E$4:$AH$4)*(AP$5=$E$5:$AH$5)*(AP$6=$E$6:$AH$6))</f>
        <v>74.768099800622537</v>
      </c>
      <c r="AQ17" s="13" cm="1">
        <f t="array" aca="1" ref="AQ17" ca="1">SUMPRODUCT(($E17:$AH17)*(AQ$3=$E$3:$AH$3)*(AQ$4=$E$4:$AH$4)*(AQ$5=$E$5:$AH$5)*(AQ$6=$E$6:$AH$6))</f>
        <v>74.768099800622537</v>
      </c>
      <c r="AR17" s="13" cm="1">
        <f t="array" aca="1" ref="AR17" ca="1">SUMPRODUCT(($E17:$AH17)*(AR$3=$E$3:$AH$3)*(AR$4=$E$4:$AH$4)*(AR$5=$E$5:$AH$5)*(AR$6=$E$6:$AH$6))</f>
        <v>74.768099800622537</v>
      </c>
      <c r="AS17" s="13" cm="1">
        <f t="array" aca="1" ref="AS17" ca="1">SUMPRODUCT(($E17:$AH17)*(AS$3=$E$3:$AH$3)*(AS$4=$E$4:$AH$4)*(AS$5=$E$5:$AH$5)*(AS$6=$E$6:$AH$6))</f>
        <v>74.768099800622537</v>
      </c>
      <c r="AU17" s="13" cm="1">
        <f t="array" aca="1" ref="AU17" ca="1">SUMPRODUCT(($E17:$AH17)*(AU$5=$E$5:$AH$5))</f>
        <v>149.5361996012451</v>
      </c>
      <c r="AV17" s="13" cm="1">
        <f t="array" aca="1" ref="AV17" ca="1">SUMPRODUCT(($E17:$AH17)*(AV$5=$E$5:$AH$5))</f>
        <v>299.0723992024902</v>
      </c>
      <c r="AW17" s="13" cm="1">
        <f t="array" aca="1" ref="AW17" ca="1">SUMPRODUCT(($E17:$AH17)*(AW$5=$E$5:$AH$5))</f>
        <v>299.0723992024902</v>
      </c>
      <c r="AZ17" s="367" t="s">
        <v>187</v>
      </c>
      <c r="BA17" s="368">
        <f t="shared" si="12"/>
        <v>0</v>
      </c>
      <c r="BB17" s="368">
        <f t="shared" si="11"/>
        <v>315</v>
      </c>
      <c r="BC17" s="368">
        <f t="shared" si="11"/>
        <v>0</v>
      </c>
      <c r="BD17" s="368">
        <f t="shared" si="11"/>
        <v>0</v>
      </c>
      <c r="BE17" s="368">
        <f t="shared" si="11"/>
        <v>1000</v>
      </c>
      <c r="BF17" s="368">
        <f t="shared" si="11"/>
        <v>-1595</v>
      </c>
    </row>
    <row r="18" spans="2:58" x14ac:dyDescent="0.25">
      <c r="C18" s="1" t="s">
        <v>152</v>
      </c>
      <c r="E18" s="33">
        <f>Summary_Income_Stmt!E40</f>
        <v>15.229528612992777</v>
      </c>
      <c r="F18" s="33">
        <f>Summary_Income_Stmt!F40</f>
        <v>15.229528612992777</v>
      </c>
      <c r="G18" s="33">
        <f>Summary_Income_Stmt!G40</f>
        <v>15.229528612992777</v>
      </c>
      <c r="H18" s="33">
        <f>Summary_Income_Stmt!H40</f>
        <v>15.229528612992777</v>
      </c>
      <c r="I18" s="33">
        <f>Summary_Income_Stmt!I40</f>
        <v>15.229528612992777</v>
      </c>
      <c r="J18" s="33">
        <f>Summary_Income_Stmt!J40</f>
        <v>15.229528612992777</v>
      </c>
      <c r="K18" s="33">
        <f>Summary_Income_Stmt!K40</f>
        <v>15.229528612992777</v>
      </c>
      <c r="L18" s="33">
        <f>Summary_Income_Stmt!L40</f>
        <v>15.229528612992777</v>
      </c>
      <c r="M18" s="33">
        <f>Summary_Income_Stmt!M40</f>
        <v>15.229528612992777</v>
      </c>
      <c r="N18" s="33">
        <f>Summary_Income_Stmt!N40</f>
        <v>15.229528612992777</v>
      </c>
      <c r="O18" s="33">
        <f>Summary_Income_Stmt!O40</f>
        <v>15.229528612992777</v>
      </c>
      <c r="P18" s="34">
        <f>Summary_Income_Stmt!P40</f>
        <v>15.229528612992777</v>
      </c>
      <c r="Q18" s="33">
        <f>Summary_Income_Stmt!Q40</f>
        <v>15.229528612992777</v>
      </c>
      <c r="R18" s="33">
        <f>Summary_Income_Stmt!R40</f>
        <v>15.229528612992777</v>
      </c>
      <c r="S18" s="33">
        <f>Summary_Income_Stmt!S40</f>
        <v>15.229528612992777</v>
      </c>
      <c r="T18" s="33">
        <f>Summary_Income_Stmt!T40</f>
        <v>15.229528612992777</v>
      </c>
      <c r="U18" s="33">
        <f>Summary_Income_Stmt!U40</f>
        <v>15.229528612992777</v>
      </c>
      <c r="V18" s="33">
        <f>Summary_Income_Stmt!V40</f>
        <v>15.229528612992777</v>
      </c>
      <c r="W18" s="33">
        <f>Summary_Income_Stmt!W40</f>
        <v>15.229528612992777</v>
      </c>
      <c r="X18" s="33">
        <f>Summary_Income_Stmt!X40</f>
        <v>15.229528612992777</v>
      </c>
      <c r="Y18" s="33">
        <f>Summary_Income_Stmt!Y40</f>
        <v>15.229528612992777</v>
      </c>
      <c r="Z18" s="33">
        <f>Summary_Income_Stmt!Z40</f>
        <v>15.229528612992777</v>
      </c>
      <c r="AA18" s="33">
        <f>Summary_Income_Stmt!AA40</f>
        <v>15.229528612992777</v>
      </c>
      <c r="AB18" s="33">
        <f>Summary_Income_Stmt!AB40</f>
        <v>15.229528612992777</v>
      </c>
      <c r="AC18" s="33">
        <f>Summary_Income_Stmt!AC40</f>
        <v>15.229528612992777</v>
      </c>
      <c r="AD18" s="33">
        <f>Summary_Income_Stmt!AD40</f>
        <v>15.229528612992777</v>
      </c>
      <c r="AE18" s="33">
        <f>Summary_Income_Stmt!AE40</f>
        <v>15.229528612992777</v>
      </c>
      <c r="AF18" s="33">
        <f>Summary_Income_Stmt!AF40</f>
        <v>15.229528612992777</v>
      </c>
      <c r="AG18" s="33">
        <f>Summary_Income_Stmt!AG40</f>
        <v>15.229528612992777</v>
      </c>
      <c r="AH18" s="33">
        <f>Summary_Income_Stmt!AH40</f>
        <v>15.229528612992777</v>
      </c>
      <c r="AJ18" s="13" cm="1">
        <f t="array" aca="1" ref="AJ18" ca="1">SUMPRODUCT(($E18:$AH18)*(AJ$3&amp;AJ$4&amp;AJ$5&amp;AJ$6=$E$3:$AH$3&amp;$E$4:$AH$4&amp;$E$5:$AH$5&amp;$E$6:$AH$6))</f>
        <v>45.688585838978327</v>
      </c>
      <c r="AK18" s="13" cm="1">
        <f t="array" aca="1" ref="AK18" ca="1">SUMPRODUCT(($E18:$AH18)*(AK$3=$E$3:$AH$3)*(AK$4=$E$4:$AH$4)*(AK$5=$E$5:$AH$5)*(AK$6=$E$6:$AH$6))</f>
        <v>45.688585838978327</v>
      </c>
      <c r="AL18" s="13" cm="1">
        <f t="array" aca="1" ref="AL18" ca="1">SUMPRODUCT(($E18:$AH18)*(AL$3=$E$3:$AH$3)*(AL$4=$E$4:$AH$4)*(AL$5=$E$5:$AH$5)*(AL$6=$E$6:$AH$6))</f>
        <v>45.688585838978327</v>
      </c>
      <c r="AM18" s="17" cm="1">
        <f t="array" aca="1" ref="AM18" ca="1">SUMPRODUCT(($E18:$AH18)*(AM$3=$E$3:$AH$3)*(AM$4=$E$4:$AH$4)*(AM$5=$E$5:$AH$5)*(AM$6=$E$6:$AH$6))</f>
        <v>45.688585838978327</v>
      </c>
      <c r="AN18" s="13" cm="1">
        <f t="array" aca="1" ref="AN18" ca="1">SUMPRODUCT(($E18:$AH18)*(AN$3=$E$3:$AH$3)*(AN$4=$E$4:$AH$4)*(AN$5=$E$5:$AH$5)*(AN$6=$E$6:$AH$6))</f>
        <v>45.688585838978327</v>
      </c>
      <c r="AO18" s="13" cm="1">
        <f t="array" aca="1" ref="AO18" ca="1">SUMPRODUCT(($E18:$AH18)*(AO$3=$E$3:$AH$3)*(AO$4=$E$4:$AH$4)*(AO$5=$E$5:$AH$5)*(AO$6=$E$6:$AH$6))</f>
        <v>45.688585838978327</v>
      </c>
      <c r="AP18" s="13" cm="1">
        <f t="array" aca="1" ref="AP18" ca="1">SUMPRODUCT(($E18:$AH18)*(AP$3=$E$3:$AH$3)*(AP$4=$E$4:$AH$4)*(AP$5=$E$5:$AH$5)*(AP$6=$E$6:$AH$6))</f>
        <v>45.688585838978327</v>
      </c>
      <c r="AQ18" s="13" cm="1">
        <f t="array" aca="1" ref="AQ18" ca="1">SUMPRODUCT(($E18:$AH18)*(AQ$3=$E$3:$AH$3)*(AQ$4=$E$4:$AH$4)*(AQ$5=$E$5:$AH$5)*(AQ$6=$E$6:$AH$6))</f>
        <v>45.688585838978327</v>
      </c>
      <c r="AR18" s="13" cm="1">
        <f t="array" aca="1" ref="AR18" ca="1">SUMPRODUCT(($E18:$AH18)*(AR$3=$E$3:$AH$3)*(AR$4=$E$4:$AH$4)*(AR$5=$E$5:$AH$5)*(AR$6=$E$6:$AH$6))</f>
        <v>45.688585838978327</v>
      </c>
      <c r="AS18" s="13" cm="1">
        <f t="array" aca="1" ref="AS18" ca="1">SUMPRODUCT(($E18:$AH18)*(AS$3=$E$3:$AH$3)*(AS$4=$E$4:$AH$4)*(AS$5=$E$5:$AH$5)*(AS$6=$E$6:$AH$6))</f>
        <v>45.688585838978327</v>
      </c>
      <c r="AU18" s="13" cm="1">
        <f t="array" aca="1" ref="AU18" ca="1">SUMPRODUCT(($E18:$AH18)*(AU$5=$E$5:$AH$5))</f>
        <v>91.377171677956667</v>
      </c>
      <c r="AV18" s="13" cm="1">
        <f t="array" aca="1" ref="AV18" ca="1">SUMPRODUCT(($E18:$AH18)*(AV$5=$E$5:$AH$5))</f>
        <v>182.75434335591331</v>
      </c>
      <c r="AW18" s="13" cm="1">
        <f t="array" aca="1" ref="AW18" ca="1">SUMPRODUCT(($E18:$AH18)*(AW$5=$E$5:$AH$5))</f>
        <v>182.75434335591331</v>
      </c>
      <c r="AZ18" s="5" t="s">
        <v>188</v>
      </c>
      <c r="BA18" s="15">
        <f>SUM(BA15:BA17)</f>
        <v>-155.25372102412547</v>
      </c>
      <c r="BB18" s="15">
        <f t="shared" ref="BB18:BF18" si="13">SUM(BB15:BB17)</f>
        <v>63.133185275673895</v>
      </c>
      <c r="BC18" s="15">
        <f t="shared" si="13"/>
        <v>-395.88963916346086</v>
      </c>
      <c r="BD18" s="15">
        <f t="shared" si="13"/>
        <v>-131.41293780275237</v>
      </c>
      <c r="BE18" s="15">
        <f t="shared" si="13"/>
        <v>1160.1542563990809</v>
      </c>
      <c r="BF18" s="15">
        <f t="shared" si="13"/>
        <v>-1686.3390030562232</v>
      </c>
    </row>
    <row r="19" spans="2:58" x14ac:dyDescent="0.25">
      <c r="C19" s="2" t="s">
        <v>174</v>
      </c>
      <c r="P19" s="8"/>
      <c r="AM19" s="8"/>
      <c r="AZ19" s="5" t="s">
        <v>601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2:58" x14ac:dyDescent="0.25">
      <c r="C20" s="1" t="s">
        <v>445</v>
      </c>
      <c r="E20" s="13">
        <f>-(Balance_Sheet!E73-Balance_Sheet!D73)</f>
        <v>112.26812011241782</v>
      </c>
      <c r="F20" s="13">
        <f>-(Balance_Sheet!F73-Balance_Sheet!E73)</f>
        <v>450.82646855460962</v>
      </c>
      <c r="G20" s="13">
        <f>-(Balance_Sheet!G73-Balance_Sheet!F73)</f>
        <v>-35.838862142808011</v>
      </c>
      <c r="H20" s="13">
        <f>-(Balance_Sheet!H73-Balance_Sheet!G73)</f>
        <v>-134.6318536550732</v>
      </c>
      <c r="I20" s="13">
        <f>-(Balance_Sheet!I73-Balance_Sheet!H73)</f>
        <v>-47.718594320512011</v>
      </c>
      <c r="J20" s="13">
        <f>-(Balance_Sheet!J73-Balance_Sheet!I73)</f>
        <v>-602.37094501905631</v>
      </c>
      <c r="K20" s="13">
        <f>-(Balance_Sheet!K73-Balance_Sheet!J73)</f>
        <v>50.883479396225994</v>
      </c>
      <c r="L20" s="13">
        <f>-(Balance_Sheet!L73-Balance_Sheet!K73)</f>
        <v>289.47123387932015</v>
      </c>
      <c r="M20" s="13">
        <f>-(Balance_Sheet!M73-Balance_Sheet!L73)</f>
        <v>-142.128095925259</v>
      </c>
      <c r="N20" s="13">
        <f>-(Balance_Sheet!N73-Balance_Sheet!M73)</f>
        <v>-595.40192568116163</v>
      </c>
      <c r="O20" s="13">
        <f>-(Balance_Sheet!O73-Balance_Sheet!N73)</f>
        <v>-396.4894781685407</v>
      </c>
      <c r="P20" s="17">
        <f>-(Balance_Sheet!P73-Balance_Sheet!O73)</f>
        <v>-432.25064142808606</v>
      </c>
      <c r="Q20" s="13">
        <f>-(Balance_Sheet!Q73-Balance_Sheet!P73)</f>
        <v>198.47911525579457</v>
      </c>
      <c r="R20" s="13">
        <f>-(Balance_Sheet!R73-Balance_Sheet!Q73)</f>
        <v>630.17574741270755</v>
      </c>
      <c r="S20" s="13">
        <f>-(Balance_Sheet!S73-Balance_Sheet!R73)</f>
        <v>114.34956200279976</v>
      </c>
      <c r="T20" s="13">
        <f>-(Balance_Sheet!T73-Balance_Sheet!S73)</f>
        <v>-65.357684540518221</v>
      </c>
      <c r="U20" s="13">
        <f>-(Balance_Sheet!U73-Balance_Sheet!T73)</f>
        <v>-110.68897710017245</v>
      </c>
      <c r="V20" s="13">
        <f>-(Balance_Sheet!V73-Balance_Sheet!U73)</f>
        <v>-947.98570944580297</v>
      </c>
      <c r="W20" s="13">
        <f>-(Balance_Sheet!W73-Balance_Sheet!V73)</f>
        <v>543.03317891675488</v>
      </c>
      <c r="X20" s="13">
        <f>-(Balance_Sheet!X73-Balance_Sheet!W73)</f>
        <v>471.95995265556621</v>
      </c>
      <c r="Y20" s="13">
        <f>-(Balance_Sheet!Y73-Balance_Sheet!X73)</f>
        <v>32.072305547113956</v>
      </c>
      <c r="Z20" s="13">
        <f>-(Balance_Sheet!Z73-Balance_Sheet!Y73)</f>
        <v>-1281.1191478400692</v>
      </c>
      <c r="AA20" s="13">
        <f>-(Balance_Sheet!AA73-Balance_Sheet!Z73)</f>
        <v>256.86717418087301</v>
      </c>
      <c r="AB20" s="13">
        <f>-(Balance_Sheet!AB73-Balance_Sheet!AA73)</f>
        <v>-345.88511124091747</v>
      </c>
      <c r="AC20" s="13">
        <f>-(Balance_Sheet!AC73-Balance_Sheet!AB73)</f>
        <v>426.52156484279021</v>
      </c>
      <c r="AD20" s="13">
        <f>-(Balance_Sheet!AD73-Balance_Sheet!AC73)</f>
        <v>713.46217603394598</v>
      </c>
      <c r="AE20" s="13">
        <f>-(Balance_Sheet!AE73-Balance_Sheet!AD73)</f>
        <v>145.89438600691938</v>
      </c>
      <c r="AF20" s="13">
        <f>-(Balance_Sheet!AF73-Balance_Sheet!AE73)</f>
        <v>-56.905953220367337</v>
      </c>
      <c r="AG20" s="13">
        <f>-(Balance_Sheet!AG73-Balance_Sheet!AF73)</f>
        <v>-63.204062067269206</v>
      </c>
      <c r="AH20" s="13">
        <f>-(Balance_Sheet!AH73-Balance_Sheet!AG73)</f>
        <v>-993.11158362765627</v>
      </c>
      <c r="AJ20" s="13" cm="1">
        <f t="array" aca="1" ref="AJ20" ca="1">SUMPRODUCT(($E20:$AH20)*(AJ$3&amp;AJ$4&amp;AJ$5&amp;AJ$6=$E$3:$AH$3&amp;$E$4:$AH$4&amp;$E$5:$AH$5&amp;$E$6:$AH$6))</f>
        <v>527.25572652421943</v>
      </c>
      <c r="AK20" s="13" cm="1">
        <f t="array" aca="1" ref="AK20" ca="1">SUMPRODUCT(($E20:$AH20)*(AK$3=$E$3:$AH$3)*(AK$4=$E$4:$AH$4)*(AK$5=$E$5:$AH$5)*(AK$6=$E$6:$AH$6))</f>
        <v>-784.72139299464152</v>
      </c>
      <c r="AL20" s="13" cm="1">
        <f t="array" aca="1" ref="AL20" ca="1">SUMPRODUCT(($E20:$AH20)*(AL$3=$E$3:$AH$3)*(AL$4=$E$4:$AH$4)*(AL$5=$E$5:$AH$5)*(AL$6=$E$6:$AH$6))</f>
        <v>198.22661735028714</v>
      </c>
      <c r="AM20" s="17" cm="1">
        <f t="array" aca="1" ref="AM20" ca="1">SUMPRODUCT(($E20:$AH20)*(AM$3=$E$3:$AH$3)*(AM$4=$E$4:$AH$4)*(AM$5=$E$5:$AH$5)*(AM$6=$E$6:$AH$6))</f>
        <v>-1424.1420452777884</v>
      </c>
      <c r="AN20" s="13" cm="1">
        <f t="array" aca="1" ref="AN20" ca="1">SUMPRODUCT(($E20:$AH20)*(AN$3=$E$3:$AH$3)*(AN$4=$E$4:$AH$4)*(AN$5=$E$5:$AH$5)*(AN$6=$E$6:$AH$6))</f>
        <v>943.00442467130188</v>
      </c>
      <c r="AO20" s="13" cm="1">
        <f t="array" aca="1" ref="AO20" ca="1">SUMPRODUCT(($E20:$AH20)*(AO$3=$E$3:$AH$3)*(AO$4=$E$4:$AH$4)*(AO$5=$E$5:$AH$5)*(AO$6=$E$6:$AH$6))</f>
        <v>-1124.0323710864936</v>
      </c>
      <c r="AP20" s="13" cm="1">
        <f t="array" aca="1" ref="AP20" ca="1">SUMPRODUCT(($E20:$AH20)*(AP$3=$E$3:$AH$3)*(AP$4=$E$4:$AH$4)*(AP$5=$E$5:$AH$5)*(AP$6=$E$6:$AH$6))</f>
        <v>1047.065437119435</v>
      </c>
      <c r="AQ20" s="13" cm="1">
        <f t="array" aca="1" ref="AQ20" ca="1">SUMPRODUCT(($E20:$AH20)*(AQ$3=$E$3:$AH$3)*(AQ$4=$E$4:$AH$4)*(AQ$5=$E$5:$AH$5)*(AQ$6=$E$6:$AH$6))</f>
        <v>-1370.1370849001137</v>
      </c>
      <c r="AR20" s="13" cm="1">
        <f t="array" aca="1" ref="AR20" ca="1">SUMPRODUCT(($E20:$AH20)*(AR$3=$E$3:$AH$3)*(AR$4=$E$4:$AH$4)*(AR$5=$E$5:$AH$5)*(AR$6=$E$6:$AH$6))</f>
        <v>1285.8781268836556</v>
      </c>
      <c r="AS20" s="13" cm="1">
        <f t="array" aca="1" ref="AS20" ca="1">SUMPRODUCT(($E20:$AH20)*(AS$3=$E$3:$AH$3)*(AS$4=$E$4:$AH$4)*(AS$5=$E$5:$AH$5)*(AS$6=$E$6:$AH$6))</f>
        <v>-1113.2215989152928</v>
      </c>
      <c r="AU20" s="13" cm="1">
        <f t="array" aca="1" ref="AU20" ca="1">SUMPRODUCT(($E20:$AH20)*(AU$5=$E$5:$AH$5))</f>
        <v>-257.46566647042209</v>
      </c>
      <c r="AV20" s="13" cm="1">
        <f t="array" aca="1" ref="AV20" ca="1">SUMPRODUCT(($E20:$AH20)*(AV$5=$E$5:$AH$5))</f>
        <v>-1406.943374342693</v>
      </c>
      <c r="AW20" s="13" cm="1">
        <f t="array" aca="1" ref="AW20" ca="1">SUMPRODUCT(($E20:$AH20)*(AW$5=$E$5:$AH$5))</f>
        <v>-150.41511981231588</v>
      </c>
    </row>
    <row r="21" spans="2:58" x14ac:dyDescent="0.25">
      <c r="C21" s="1" t="s">
        <v>175</v>
      </c>
      <c r="E21" s="13">
        <f>-(Balance_Sheet!E79-Balance_Sheet!D79)</f>
        <v>46.717302489971189</v>
      </c>
      <c r="F21" s="13">
        <f>-(Balance_Sheet!F79-Balance_Sheet!E79)</f>
        <v>121.79999999999995</v>
      </c>
      <c r="G21" s="13">
        <f>-(Balance_Sheet!G79-Balance_Sheet!F79)</f>
        <v>127</v>
      </c>
      <c r="H21" s="13">
        <f>-(Balance_Sheet!H79-Balance_Sheet!G79)</f>
        <v>11.099999999999909</v>
      </c>
      <c r="I21" s="13">
        <f>-(Balance_Sheet!I79-Balance_Sheet!H79)</f>
        <v>34.900000000000091</v>
      </c>
      <c r="J21" s="13">
        <f>-(Balance_Sheet!J79-Balance_Sheet!I79)</f>
        <v>-166.09999999999991</v>
      </c>
      <c r="K21" s="13">
        <f>-(Balance_Sheet!K79-Balance_Sheet!J79)</f>
        <v>-79.100000000000136</v>
      </c>
      <c r="L21" s="13">
        <f>-(Balance_Sheet!L79-Balance_Sheet!K79)</f>
        <v>109.70000000000005</v>
      </c>
      <c r="M21" s="13">
        <f>-(Balance_Sheet!M79-Balance_Sheet!L79)</f>
        <v>46.299999999999955</v>
      </c>
      <c r="N21" s="13">
        <f>-(Balance_Sheet!N79-Balance_Sheet!M79)</f>
        <v>-78.5</v>
      </c>
      <c r="O21" s="13">
        <f>-(Balance_Sheet!O79-Balance_Sheet!N79)</f>
        <v>-126.29999999999995</v>
      </c>
      <c r="P21" s="17">
        <f>-(Balance_Sheet!P79-Balance_Sheet!O79)</f>
        <v>-172</v>
      </c>
      <c r="Q21" s="13">
        <f>-(Balance_Sheet!Q79-Balance_Sheet!P79)</f>
        <v>46.061060764239528</v>
      </c>
      <c r="R21" s="13">
        <f>-(Balance_Sheet!R79-Balance_Sheet!Q79)</f>
        <v>159.17797824036575</v>
      </c>
      <c r="S21" s="13">
        <f>-(Balance_Sheet!S79-Balance_Sheet!R79)</f>
        <v>118.89299179816862</v>
      </c>
      <c r="T21" s="13">
        <f>-(Balance_Sheet!T79-Balance_Sheet!S79)</f>
        <v>7.6901822715697108</v>
      </c>
      <c r="U21" s="13">
        <f>-(Balance_Sheet!U79-Balance_Sheet!T79)</f>
        <v>53.477817407354678</v>
      </c>
      <c r="V21" s="13">
        <f>-(Balance_Sheet!V79-Balance_Sheet!U79)</f>
        <v>-250.16192685686838</v>
      </c>
      <c r="W21" s="13">
        <f>-(Balance_Sheet!W79-Balance_Sheet!V79)</f>
        <v>64.114212181934136</v>
      </c>
      <c r="X21" s="13">
        <f>-(Balance_Sheet!X79-Balance_Sheet!W79)</f>
        <v>94.461818874081018</v>
      </c>
      <c r="Y21" s="13">
        <f>-(Balance_Sheet!Y79-Balance_Sheet!X79)</f>
        <v>40.141626779244007</v>
      </c>
      <c r="Z21" s="13">
        <f>-(Balance_Sheet!Z79-Balance_Sheet!Y79)</f>
        <v>-160.10336870548031</v>
      </c>
      <c r="AA21" s="13">
        <f>-(Balance_Sheet!AA79-Balance_Sheet!Z79)</f>
        <v>-22.314933174115367</v>
      </c>
      <c r="AB21" s="13">
        <f>-(Balance_Sheet!AB79-Balance_Sheet!AA79)</f>
        <v>-218.02068863180421</v>
      </c>
      <c r="AC21" s="13">
        <f>-(Balance_Sheet!AC79-Balance_Sheet!AB79)</f>
        <v>52.566492144239191</v>
      </c>
      <c r="AD21" s="13">
        <f>-(Balance_Sheet!AD79-Balance_Sheet!AC79)</f>
        <v>166.40441396728261</v>
      </c>
      <c r="AE21" s="13">
        <f>-(Balance_Sheet!AE79-Balance_Sheet!AD79)</f>
        <v>124.27903315734807</v>
      </c>
      <c r="AF21" s="13">
        <f>-(Balance_Sheet!AF79-Balance_Sheet!AE79)</f>
        <v>7.7876026098895181</v>
      </c>
      <c r="AG21" s="13">
        <f>-(Balance_Sheet!AG79-Balance_Sheet!AF79)</f>
        <v>55.698639761042159</v>
      </c>
      <c r="AH21" s="13">
        <f>-(Balance_Sheet!AH79-Balance_Sheet!AG79)</f>
        <v>-261.94070231156161</v>
      </c>
      <c r="AJ21" s="13" cm="1">
        <f t="array" aca="1" ref="AJ21" ca="1">SUMPRODUCT(($E21:$AH21)*(AJ$3&amp;AJ$4&amp;AJ$5&amp;AJ$6=$E$3:$AH$3&amp;$E$4:$AH$4&amp;$E$5:$AH$5&amp;$E$6:$AH$6))</f>
        <v>295.51730248997114</v>
      </c>
      <c r="AK21" s="13" cm="1">
        <f t="array" aca="1" ref="AK21" ca="1">SUMPRODUCT(($E21:$AH21)*(AK$3=$E$3:$AH$3)*(AK$4=$E$4:$AH$4)*(AK$5=$E$5:$AH$5)*(AK$6=$E$6:$AH$6))</f>
        <v>-120.09999999999991</v>
      </c>
      <c r="AL21" s="13" cm="1">
        <f t="array" aca="1" ref="AL21" ca="1">SUMPRODUCT(($E21:$AH21)*(AL$3=$E$3:$AH$3)*(AL$4=$E$4:$AH$4)*(AL$5=$E$5:$AH$5)*(AL$6=$E$6:$AH$6))</f>
        <v>76.899999999999864</v>
      </c>
      <c r="AM21" s="17" cm="1">
        <f t="array" aca="1" ref="AM21" ca="1">SUMPRODUCT(($E21:$AH21)*(AM$3=$E$3:$AH$3)*(AM$4=$E$4:$AH$4)*(AM$5=$E$5:$AH$5)*(AM$6=$E$6:$AH$6))</f>
        <v>-376.79999999999995</v>
      </c>
      <c r="AN21" s="13" cm="1">
        <f t="array" aca="1" ref="AN21" ca="1">SUMPRODUCT(($E21:$AH21)*(AN$3=$E$3:$AH$3)*(AN$4=$E$4:$AH$4)*(AN$5=$E$5:$AH$5)*(AN$6=$E$6:$AH$6))</f>
        <v>324.1320308027739</v>
      </c>
      <c r="AO21" s="13" cm="1">
        <f t="array" aca="1" ref="AO21" ca="1">SUMPRODUCT(($E21:$AH21)*(AO$3=$E$3:$AH$3)*(AO$4=$E$4:$AH$4)*(AO$5=$E$5:$AH$5)*(AO$6=$E$6:$AH$6))</f>
        <v>-188.99392717794399</v>
      </c>
      <c r="AP21" s="13" cm="1">
        <f t="array" aca="1" ref="AP21" ca="1">SUMPRODUCT(($E21:$AH21)*(AP$3=$E$3:$AH$3)*(AP$4=$E$4:$AH$4)*(AP$5=$E$5:$AH$5)*(AP$6=$E$6:$AH$6))</f>
        <v>198.71765783525916</v>
      </c>
      <c r="AQ21" s="13" cm="1">
        <f t="array" aca="1" ref="AQ21" ca="1">SUMPRODUCT(($E21:$AH21)*(AQ$3=$E$3:$AH$3)*(AQ$4=$E$4:$AH$4)*(AQ$5=$E$5:$AH$5)*(AQ$6=$E$6:$AH$6))</f>
        <v>-400.43899051139988</v>
      </c>
      <c r="AR21" s="13" cm="1">
        <f t="array" aca="1" ref="AR21" ca="1">SUMPRODUCT(($E21:$AH21)*(AR$3=$E$3:$AH$3)*(AR$4=$E$4:$AH$4)*(AR$5=$E$5:$AH$5)*(AR$6=$E$6:$AH$6))</f>
        <v>343.24993926886987</v>
      </c>
      <c r="AS21" s="13" cm="1">
        <f t="array" aca="1" ref="AS21" ca="1">SUMPRODUCT(($E21:$AH21)*(AS$3=$E$3:$AH$3)*(AS$4=$E$4:$AH$4)*(AS$5=$E$5:$AH$5)*(AS$6=$E$6:$AH$6))</f>
        <v>-198.45445994062993</v>
      </c>
      <c r="AU21" s="13" cm="1">
        <f t="array" aca="1" ref="AU21" ca="1">SUMPRODUCT(($E21:$AH21)*(AU$5=$E$5:$AH$5))</f>
        <v>175.41730248997123</v>
      </c>
      <c r="AV21" s="13" cm="1">
        <f t="array" aca="1" ref="AV21" ca="1">SUMPRODUCT(($E21:$AH21)*(AV$5=$E$5:$AH$5))</f>
        <v>-164.76189637517018</v>
      </c>
      <c r="AW21" s="13" cm="1">
        <f t="array" aca="1" ref="AW21" ca="1">SUMPRODUCT(($E21:$AH21)*(AW$5=$E$5:$AH$5))</f>
        <v>-56.925853347900784</v>
      </c>
    </row>
    <row r="22" spans="2:58" x14ac:dyDescent="0.25">
      <c r="C22" s="1" t="s">
        <v>176</v>
      </c>
      <c r="E22" s="13">
        <f>Balance_Sheet!E136-Balance_Sheet!D136</f>
        <v>-211.79664771000716</v>
      </c>
      <c r="F22" s="13">
        <f>Balance_Sheet!F136-Balance_Sheet!E136</f>
        <v>-614.51486203020954</v>
      </c>
      <c r="G22" s="13">
        <f>Balance_Sheet!G136-Balance_Sheet!F136</f>
        <v>-275.08198918643211</v>
      </c>
      <c r="H22" s="13">
        <f>Balance_Sheet!H136-Balance_Sheet!G136</f>
        <v>57.021249449301195</v>
      </c>
      <c r="I22" s="13">
        <f>Balance_Sheet!I136-Balance_Sheet!H136</f>
        <v>120.73416065841116</v>
      </c>
      <c r="J22" s="13">
        <f>Balance_Sheet!J136-Balance_Sheet!I136</f>
        <v>219.68794014154901</v>
      </c>
      <c r="K22" s="13">
        <f>Balance_Sheet!K136-Balance_Sheet!J136</f>
        <v>266.29485263993229</v>
      </c>
      <c r="L22" s="13">
        <f>Balance_Sheet!L136-Balance_Sheet!K136</f>
        <v>-568.47732687002713</v>
      </c>
      <c r="M22" s="13">
        <f>Balance_Sheet!M136-Balance_Sheet!L136</f>
        <v>187.72675480696876</v>
      </c>
      <c r="N22" s="13">
        <f>Balance_Sheet!N136-Balance_Sheet!M136</f>
        <v>188.57483624253132</v>
      </c>
      <c r="O22" s="13">
        <f>Balance_Sheet!O136-Balance_Sheet!N136</f>
        <v>415.2112754105483</v>
      </c>
      <c r="P22" s="17">
        <f>Balance_Sheet!P136-Balance_Sheet!O136</f>
        <v>-25.874504026557815</v>
      </c>
      <c r="Q22" s="13">
        <f>Balance_Sheet!Q136-Balance_Sheet!P136</f>
        <v>197.37620502541358</v>
      </c>
      <c r="R22" s="13">
        <f>Balance_Sheet!R136-Balance_Sheet!Q136</f>
        <v>-970.42817056669969</v>
      </c>
      <c r="S22" s="13">
        <f>Balance_Sheet!S136-Balance_Sheet!R136</f>
        <v>133.3750119990591</v>
      </c>
      <c r="T22" s="13">
        <f>Balance_Sheet!T136-Balance_Sheet!S136</f>
        <v>-70.823245656963763</v>
      </c>
      <c r="U22" s="13">
        <f>Balance_Sheet!U136-Balance_Sheet!T136</f>
        <v>8.9564075519767812</v>
      </c>
      <c r="V22" s="13">
        <f>Balance_Sheet!V136-Balance_Sheet!U136</f>
        <v>566.68860373530788</v>
      </c>
      <c r="W22" s="13">
        <f>Balance_Sheet!W136-Balance_Sheet!V136</f>
        <v>-624.15180472748602</v>
      </c>
      <c r="X22" s="13">
        <f>Balance_Sheet!X136-Balance_Sheet!W136</f>
        <v>158.39213094285151</v>
      </c>
      <c r="Y22" s="13">
        <f>Balance_Sheet!Y136-Balance_Sheet!X136</f>
        <v>120.17972498881136</v>
      </c>
      <c r="Z22" s="13">
        <f>Balance_Sheet!Z136-Balance_Sheet!Y136</f>
        <v>457.13867220689963</v>
      </c>
      <c r="AA22" s="13">
        <f>Balance_Sheet!AA136-Balance_Sheet!Z136</f>
        <v>-331.70964469358796</v>
      </c>
      <c r="AB22" s="13">
        <f>Balance_Sheet!AB136-Balance_Sheet!AA136</f>
        <v>568.2319856593881</v>
      </c>
      <c r="AC22" s="13">
        <f>Balance_Sheet!AC136-Balance_Sheet!AB136</f>
        <v>36.506683791049909</v>
      </c>
      <c r="AD22" s="13">
        <f>Balance_Sheet!AD136-Balance_Sheet!AC136</f>
        <v>-982.73549394327915</v>
      </c>
      <c r="AE22" s="13">
        <f>Balance_Sheet!AE136-Balance_Sheet!AD136</f>
        <v>139.44212972715309</v>
      </c>
      <c r="AF22" s="13">
        <f>Balance_Sheet!AF136-Balance_Sheet!AE136</f>
        <v>-69.890779279445724</v>
      </c>
      <c r="AG22" s="13">
        <f>Balance_Sheet!AG136-Balance_Sheet!AF136</f>
        <v>8.6912883503453031</v>
      </c>
      <c r="AH22" s="13">
        <f>Balance_Sheet!AH136-Balance_Sheet!AG136</f>
        <v>594.34435534220597</v>
      </c>
      <c r="AJ22" s="13" cm="1">
        <f t="array" aca="1" ref="AJ22" ca="1">SUMPRODUCT(($E22:$AH22)*(AJ$3&amp;AJ$4&amp;AJ$5&amp;AJ$6=$E$3:$AH$3&amp;$E$4:$AH$4&amp;$E$5:$AH$5&amp;$E$6:$AH$6))</f>
        <v>-1101.3934989266488</v>
      </c>
      <c r="AK22" s="13" cm="1">
        <f t="array" aca="1" ref="AK22" ca="1">SUMPRODUCT(($E22:$AH22)*(AK$3=$E$3:$AH$3)*(AK$4=$E$4:$AH$4)*(AK$5=$E$5:$AH$5)*(AK$6=$E$6:$AH$6))</f>
        <v>397.44335024926136</v>
      </c>
      <c r="AL22" s="13" cm="1">
        <f t="array" aca="1" ref="AL22" ca="1">SUMPRODUCT(($E22:$AH22)*(AL$3=$E$3:$AH$3)*(AL$4=$E$4:$AH$4)*(AL$5=$E$5:$AH$5)*(AL$6=$E$6:$AH$6))</f>
        <v>-114.45571942312608</v>
      </c>
      <c r="AM22" s="17" cm="1">
        <f t="array" aca="1" ref="AM22" ca="1">SUMPRODUCT(($E22:$AH22)*(AM$3=$E$3:$AH$3)*(AM$4=$E$4:$AH$4)*(AM$5=$E$5:$AH$5)*(AM$6=$E$6:$AH$6))</f>
        <v>577.9116076265218</v>
      </c>
      <c r="AN22" s="13" cm="1">
        <f t="array" aca="1" ref="AN22" ca="1">SUMPRODUCT(($E22:$AH22)*(AN$3=$E$3:$AH$3)*(AN$4=$E$4:$AH$4)*(AN$5=$E$5:$AH$5)*(AN$6=$E$6:$AH$6))</f>
        <v>-639.67695354222701</v>
      </c>
      <c r="AO22" s="13" cm="1">
        <f t="array" aca="1" ref="AO22" ca="1">SUMPRODUCT(($E22:$AH22)*(AO$3=$E$3:$AH$3)*(AO$4=$E$4:$AH$4)*(AO$5=$E$5:$AH$5)*(AO$6=$E$6:$AH$6))</f>
        <v>504.8217656303209</v>
      </c>
      <c r="AP22" s="13" cm="1">
        <f t="array" aca="1" ref="AP22" ca="1">SUMPRODUCT(($E22:$AH22)*(AP$3=$E$3:$AH$3)*(AP$4=$E$4:$AH$4)*(AP$5=$E$5:$AH$5)*(AP$6=$E$6:$AH$6))</f>
        <v>-345.57994879582316</v>
      </c>
      <c r="AQ22" s="13" cm="1">
        <f t="array" aca="1" ref="AQ22" ca="1">SUMPRODUCT(($E22:$AH22)*(AQ$3=$E$3:$AH$3)*(AQ$4=$E$4:$AH$4)*(AQ$5=$E$5:$AH$5)*(AQ$6=$E$6:$AH$6))</f>
        <v>693.66101317269977</v>
      </c>
      <c r="AR22" s="13" cm="1">
        <f t="array" aca="1" ref="AR22" ca="1">SUMPRODUCT(($E22:$AH22)*(AR$3=$E$3:$AH$3)*(AR$4=$E$4:$AH$4)*(AR$5=$E$5:$AH$5)*(AR$6=$E$6:$AH$6))</f>
        <v>-806.78668042507616</v>
      </c>
      <c r="AS22" s="13" cm="1">
        <f t="array" aca="1" ref="AS22" ca="1">SUMPRODUCT(($E22:$AH22)*(AS$3=$E$3:$AH$3)*(AS$4=$E$4:$AH$4)*(AS$5=$E$5:$AH$5)*(AS$6=$E$6:$AH$6))</f>
        <v>533.14486441310555</v>
      </c>
      <c r="AU22" s="13" cm="1">
        <f t="array" aca="1" ref="AU22" ca="1">SUMPRODUCT(($E22:$AH22)*(AU$5=$E$5:$AH$5))</f>
        <v>-703.95014867738746</v>
      </c>
      <c r="AV22" s="13" cm="1">
        <f t="array" aca="1" ref="AV22" ca="1">SUMPRODUCT(($E22:$AH22)*(AV$5=$E$5:$AH$5))</f>
        <v>328.6007002914896</v>
      </c>
      <c r="AW22" s="13" cm="1">
        <f t="array" aca="1" ref="AW22" ca="1">SUMPRODUCT(($E22:$AH22)*(AW$5=$E$5:$AH$5))</f>
        <v>74.439248364906007</v>
      </c>
    </row>
    <row r="23" spans="2:58" x14ac:dyDescent="0.25">
      <c r="C23" s="1" t="s">
        <v>177</v>
      </c>
      <c r="E23" s="13">
        <f>Balance_Sheet!E144-Balance_Sheet!D144</f>
        <v>26.197525675355337</v>
      </c>
      <c r="F23" s="13">
        <f>Balance_Sheet!F144-Balance_Sheet!E144</f>
        <v>-135.73920112124756</v>
      </c>
      <c r="G23" s="13">
        <f>Balance_Sheet!G144-Balance_Sheet!F144</f>
        <v>-200.99999479827761</v>
      </c>
      <c r="H23" s="13">
        <f>Balance_Sheet!H144-Balance_Sheet!G144</f>
        <v>-128.90060063734791</v>
      </c>
      <c r="I23" s="13">
        <f>Balance_Sheet!I144-Balance_Sheet!H144</f>
        <v>-59.718360723264595</v>
      </c>
      <c r="J23" s="13">
        <f>Balance_Sheet!J144-Balance_Sheet!I144</f>
        <v>174.34702139727506</v>
      </c>
      <c r="K23" s="13">
        <f>Balance_Sheet!K144-Balance_Sheet!J144</f>
        <v>60.010453142977212</v>
      </c>
      <c r="L23" s="13">
        <f>Balance_Sheet!L144-Balance_Sheet!K144</f>
        <v>-155.89236361400003</v>
      </c>
      <c r="M23" s="13">
        <f>Balance_Sheet!M144-Balance_Sheet!L144</f>
        <v>-33.610918948701283</v>
      </c>
      <c r="N23" s="13">
        <f>Balance_Sheet!N144-Balance_Sheet!M144</f>
        <v>151.44058391469753</v>
      </c>
      <c r="O23" s="13">
        <f>Balance_Sheet!O144-Balance_Sheet!N144</f>
        <v>172.30705747421871</v>
      </c>
      <c r="P23" s="17">
        <f>Balance_Sheet!P144-Balance_Sheet!O144</f>
        <v>205.43760255141501</v>
      </c>
      <c r="Q23" s="13">
        <f>Balance_Sheet!Q144-Balance_Sheet!P144</f>
        <v>-230.16314734257389</v>
      </c>
      <c r="R23" s="13">
        <f>Balance_Sheet!R144-Balance_Sheet!Q144</f>
        <v>-186.75547134335352</v>
      </c>
      <c r="S23" s="13">
        <f>Balance_Sheet!S144-Balance_Sheet!R144</f>
        <v>-254.90199510436582</v>
      </c>
      <c r="T23" s="13">
        <f>Balance_Sheet!T144-Balance_Sheet!S144</f>
        <v>-80.19957509992264</v>
      </c>
      <c r="U23" s="13">
        <f>Balance_Sheet!U144-Balance_Sheet!T144</f>
        <v>-108.30766248890302</v>
      </c>
      <c r="V23" s="13">
        <f>Balance_Sheet!V144-Balance_Sheet!U144</f>
        <v>254.0894760323439</v>
      </c>
      <c r="W23" s="13">
        <f>Balance_Sheet!W144-Balance_Sheet!V144</f>
        <v>177.5897416249868</v>
      </c>
      <c r="X23" s="13">
        <f>Balance_Sheet!X144-Balance_Sheet!W144</f>
        <v>-242.11339219317802</v>
      </c>
      <c r="Y23" s="13">
        <f>Balance_Sheet!Y144-Balance_Sheet!X144</f>
        <v>-95.31307020427198</v>
      </c>
      <c r="Z23" s="13">
        <f>Balance_Sheet!Z144-Balance_Sheet!Y144</f>
        <v>269.76766501505404</v>
      </c>
      <c r="AA23" s="13">
        <f>Balance_Sheet!AA144-Balance_Sheet!Z144</f>
        <v>182.18012334254126</v>
      </c>
      <c r="AB23" s="13">
        <f>Balance_Sheet!AB144-Balance_Sheet!AA144</f>
        <v>196.67723693413768</v>
      </c>
      <c r="AC23" s="13">
        <f>Balance_Sheet!AC144-Balance_Sheet!AB144</f>
        <v>-65.523334971034501</v>
      </c>
      <c r="AD23" s="13">
        <f>Balance_Sheet!AD144-Balance_Sheet!AC144</f>
        <v>-192.08539833750024</v>
      </c>
      <c r="AE23" s="13">
        <f>Balance_Sheet!AE144-Balance_Sheet!AD144</f>
        <v>-260.55894734656385</v>
      </c>
      <c r="AF23" s="13">
        <f>Balance_Sheet!AF144-Balance_Sheet!AE144</f>
        <v>-78.656562683172524</v>
      </c>
      <c r="AG23" s="13">
        <f>Balance_Sheet!AG144-Balance_Sheet!AF144</f>
        <v>-112.42014486895346</v>
      </c>
      <c r="AH23" s="13">
        <f>Balance_Sheet!AH144-Balance_Sheet!AG144</f>
        <v>260.23143875659684</v>
      </c>
      <c r="AJ23" s="13" cm="1">
        <f t="array" aca="1" ref="AJ23" ca="1">SUMPRODUCT(($E23:$AH23)*(AJ$3&amp;AJ$4&amp;AJ$5&amp;AJ$6=$E$3:$AH$3&amp;$E$4:$AH$4&amp;$E$5:$AH$5&amp;$E$6:$AH$6))</f>
        <v>-310.54167024416984</v>
      </c>
      <c r="AK23" s="13" cm="1">
        <f t="array" aca="1" ref="AK23" ca="1">SUMPRODUCT(($E23:$AH23)*(AK$3=$E$3:$AH$3)*(AK$4=$E$4:$AH$4)*(AK$5=$E$5:$AH$5)*(AK$6=$E$6:$AH$6))</f>
        <v>-14.271939963337445</v>
      </c>
      <c r="AL23" s="13" cm="1">
        <f t="array" aca="1" ref="AL23" ca="1">SUMPRODUCT(($E23:$AH23)*(AL$3=$E$3:$AH$3)*(AL$4=$E$4:$AH$4)*(AL$5=$E$5:$AH$5)*(AL$6=$E$6:$AH$6))</f>
        <v>-129.4928294197241</v>
      </c>
      <c r="AM23" s="17" cm="1">
        <f t="array" aca="1" ref="AM23" ca="1">SUMPRODUCT(($E23:$AH23)*(AM$3=$E$3:$AH$3)*(AM$4=$E$4:$AH$4)*(AM$5=$E$5:$AH$5)*(AM$6=$E$6:$AH$6))</f>
        <v>529.18524394033125</v>
      </c>
      <c r="AN23" s="13" cm="1">
        <f t="array" aca="1" ref="AN23" ca="1">SUMPRODUCT(($E23:$AH23)*(AN$3=$E$3:$AH$3)*(AN$4=$E$4:$AH$4)*(AN$5=$E$5:$AH$5)*(AN$6=$E$6:$AH$6))</f>
        <v>-671.82061379029324</v>
      </c>
      <c r="AO23" s="13" cm="1">
        <f t="array" aca="1" ref="AO23" ca="1">SUMPRODUCT(($E23:$AH23)*(AO$3=$E$3:$AH$3)*(AO$4=$E$4:$AH$4)*(AO$5=$E$5:$AH$5)*(AO$6=$E$6:$AH$6))</f>
        <v>65.582238443518236</v>
      </c>
      <c r="AP23" s="13" cm="1">
        <f t="array" aca="1" ref="AP23" ca="1">SUMPRODUCT(($E23:$AH23)*(AP$3=$E$3:$AH$3)*(AP$4=$E$4:$AH$4)*(AP$5=$E$5:$AH$5)*(AP$6=$E$6:$AH$6))</f>
        <v>-159.8367207724632</v>
      </c>
      <c r="AQ23" s="13" cm="1">
        <f t="array" aca="1" ref="AQ23" ca="1">SUMPRODUCT(($E23:$AH23)*(AQ$3=$E$3:$AH$3)*(AQ$4=$E$4:$AH$4)*(AQ$5=$E$5:$AH$5)*(AQ$6=$E$6:$AH$6))</f>
        <v>648.62502529173298</v>
      </c>
      <c r="AR23" s="13" cm="1">
        <f t="array" aca="1" ref="AR23" ca="1">SUMPRODUCT(($E23:$AH23)*(AR$3=$E$3:$AH$3)*(AR$4=$E$4:$AH$4)*(AR$5=$E$5:$AH$5)*(AR$6=$E$6:$AH$6))</f>
        <v>-518.16768065509859</v>
      </c>
      <c r="AS23" s="13" cm="1">
        <f t="array" aca="1" ref="AS23" ca="1">SUMPRODUCT(($E23:$AH23)*(AS$3=$E$3:$AH$3)*(AS$4=$E$4:$AH$4)*(AS$5=$E$5:$AH$5)*(AS$6=$E$6:$AH$6))</f>
        <v>69.154731204470863</v>
      </c>
      <c r="AU23" s="13" cm="1">
        <f t="array" aca="1" ref="AU23" ca="1">SUMPRODUCT(($E23:$AH23)*(AU$5=$E$5:$AH$5))</f>
        <v>-324.81361020750728</v>
      </c>
      <c r="AV23" s="13" cm="1">
        <f t="array" aca="1" ref="AV23" ca="1">SUMPRODUCT(($E23:$AH23)*(AV$5=$E$5:$AH$5))</f>
        <v>-206.54596082616786</v>
      </c>
      <c r="AW23" s="13" cm="1">
        <f t="array" aca="1" ref="AW23" ca="1">SUMPRODUCT(($E23:$AH23)*(AW$5=$E$5:$AH$5))</f>
        <v>39.775355068642057</v>
      </c>
    </row>
    <row r="24" spans="2:58" x14ac:dyDescent="0.25">
      <c r="C24" s="1" t="s">
        <v>178</v>
      </c>
      <c r="E24" s="13">
        <f>Balance_Sheet!E152-Balance_Sheet!D152</f>
        <v>-225.77691192089037</v>
      </c>
      <c r="F24" s="13">
        <f>Balance_Sheet!F152-Balance_Sheet!E152</f>
        <v>0</v>
      </c>
      <c r="G24" s="13">
        <f>Balance_Sheet!G152-Balance_Sheet!F152</f>
        <v>0</v>
      </c>
      <c r="H24" s="13">
        <f>Balance_Sheet!H152-Balance_Sheet!G152</f>
        <v>0</v>
      </c>
      <c r="I24" s="13">
        <f>Balance_Sheet!I152-Balance_Sheet!H152</f>
        <v>0</v>
      </c>
      <c r="J24" s="13">
        <f>Balance_Sheet!J152-Balance_Sheet!I152</f>
        <v>0</v>
      </c>
      <c r="K24" s="13">
        <f>Balance_Sheet!K152-Balance_Sheet!J152</f>
        <v>0</v>
      </c>
      <c r="L24" s="13">
        <f>Balance_Sheet!L152-Balance_Sheet!K152</f>
        <v>0</v>
      </c>
      <c r="M24" s="13">
        <f>Balance_Sheet!M152-Balance_Sheet!L152</f>
        <v>389.76</v>
      </c>
      <c r="N24" s="13">
        <f>Balance_Sheet!N152-Balance_Sheet!M152</f>
        <v>-389.76</v>
      </c>
      <c r="O24" s="13">
        <f>Balance_Sheet!O152-Balance_Sheet!N152</f>
        <v>0</v>
      </c>
      <c r="P24" s="17">
        <f>Balance_Sheet!P152-Balance_Sheet!O152</f>
        <v>0</v>
      </c>
      <c r="Q24" s="13">
        <f>Balance_Sheet!Q152-Balance_Sheet!P152</f>
        <v>0</v>
      </c>
      <c r="R24" s="13">
        <f>Balance_Sheet!R152-Balance_Sheet!Q152</f>
        <v>0</v>
      </c>
      <c r="S24" s="13">
        <f>Balance_Sheet!S152-Balance_Sheet!R152</f>
        <v>0</v>
      </c>
      <c r="T24" s="13">
        <f>Balance_Sheet!T152-Balance_Sheet!S152</f>
        <v>0</v>
      </c>
      <c r="U24" s="13">
        <f>Balance_Sheet!U152-Balance_Sheet!T152</f>
        <v>0</v>
      </c>
      <c r="V24" s="13">
        <f>Balance_Sheet!V152-Balance_Sheet!U152</f>
        <v>0</v>
      </c>
      <c r="W24" s="13">
        <f>Balance_Sheet!W152-Balance_Sheet!V152</f>
        <v>0</v>
      </c>
      <c r="X24" s="13">
        <f>Balance_Sheet!X152-Balance_Sheet!W152</f>
        <v>0</v>
      </c>
      <c r="Y24" s="13">
        <f>Balance_Sheet!Y152-Balance_Sheet!X152</f>
        <v>375.14400000000001</v>
      </c>
      <c r="Z24" s="13">
        <f>Balance_Sheet!Z152-Balance_Sheet!Y152</f>
        <v>-375.14400000000001</v>
      </c>
      <c r="AA24" s="13">
        <f>Balance_Sheet!AA152-Balance_Sheet!Z152</f>
        <v>0</v>
      </c>
      <c r="AB24" s="13">
        <f>Balance_Sheet!AB152-Balance_Sheet!AA152</f>
        <v>0</v>
      </c>
      <c r="AC24" s="13">
        <f>Balance_Sheet!AC152-Balance_Sheet!AB152</f>
        <v>0</v>
      </c>
      <c r="AD24" s="13">
        <f>Balance_Sheet!AD152-Balance_Sheet!AC152</f>
        <v>0</v>
      </c>
      <c r="AE24" s="13">
        <f>Balance_Sheet!AE152-Balance_Sheet!AD152</f>
        <v>0</v>
      </c>
      <c r="AF24" s="13">
        <f>Balance_Sheet!AF152-Balance_Sheet!AE152</f>
        <v>0</v>
      </c>
      <c r="AG24" s="13">
        <f>Balance_Sheet!AG152-Balance_Sheet!AF152</f>
        <v>0</v>
      </c>
      <c r="AH24" s="13">
        <f>Balance_Sheet!AH152-Balance_Sheet!AG152</f>
        <v>0</v>
      </c>
      <c r="AJ24" s="13" cm="1">
        <f t="array" aca="1" ref="AJ24" ca="1">SUMPRODUCT(($E24:$AH24)*(AJ$3&amp;AJ$4&amp;AJ$5&amp;AJ$6=$E$3:$AH$3&amp;$E$4:$AH$4&amp;$E$5:$AH$5&amp;$E$6:$AH$6))</f>
        <v>-225.77691192089037</v>
      </c>
      <c r="AK24" s="13" cm="1">
        <f t="array" aca="1" ref="AK24" ca="1">SUMPRODUCT(($E24:$AH24)*(AK$3=$E$3:$AH$3)*(AK$4=$E$4:$AH$4)*(AK$5=$E$5:$AH$5)*(AK$6=$E$6:$AH$6))</f>
        <v>0</v>
      </c>
      <c r="AL24" s="13" cm="1">
        <f t="array" aca="1" ref="AL24" ca="1">SUMPRODUCT(($E24:$AH24)*(AL$3=$E$3:$AH$3)*(AL$4=$E$4:$AH$4)*(AL$5=$E$5:$AH$5)*(AL$6=$E$6:$AH$6))</f>
        <v>389.76</v>
      </c>
      <c r="AM24" s="17" cm="1">
        <f t="array" aca="1" ref="AM24" ca="1">SUMPRODUCT(($E24:$AH24)*(AM$3=$E$3:$AH$3)*(AM$4=$E$4:$AH$4)*(AM$5=$E$5:$AH$5)*(AM$6=$E$6:$AH$6))</f>
        <v>-389.76</v>
      </c>
      <c r="AN24" s="13" cm="1">
        <f t="array" aca="1" ref="AN24" ca="1">SUMPRODUCT(($E24:$AH24)*(AN$3=$E$3:$AH$3)*(AN$4=$E$4:$AH$4)*(AN$5=$E$5:$AH$5)*(AN$6=$E$6:$AH$6))</f>
        <v>0</v>
      </c>
      <c r="AO24" s="13" cm="1">
        <f t="array" aca="1" ref="AO24" ca="1">SUMPRODUCT(($E24:$AH24)*(AO$3=$E$3:$AH$3)*(AO$4=$E$4:$AH$4)*(AO$5=$E$5:$AH$5)*(AO$6=$E$6:$AH$6))</f>
        <v>0</v>
      </c>
      <c r="AP24" s="13" cm="1">
        <f t="array" aca="1" ref="AP24" ca="1">SUMPRODUCT(($E24:$AH24)*(AP$3=$E$3:$AH$3)*(AP$4=$E$4:$AH$4)*(AP$5=$E$5:$AH$5)*(AP$6=$E$6:$AH$6))</f>
        <v>375.14400000000001</v>
      </c>
      <c r="AQ24" s="13" cm="1">
        <f t="array" aca="1" ref="AQ24" ca="1">SUMPRODUCT(($E24:$AH24)*(AQ$3=$E$3:$AH$3)*(AQ$4=$E$4:$AH$4)*(AQ$5=$E$5:$AH$5)*(AQ$6=$E$6:$AH$6))</f>
        <v>-375.14400000000001</v>
      </c>
      <c r="AR24" s="13" cm="1">
        <f t="array" aca="1" ref="AR24" ca="1">SUMPRODUCT(($E24:$AH24)*(AR$3=$E$3:$AH$3)*(AR$4=$E$4:$AH$4)*(AR$5=$E$5:$AH$5)*(AR$6=$E$6:$AH$6))</f>
        <v>0</v>
      </c>
      <c r="AS24" s="13" cm="1">
        <f t="array" aca="1" ref="AS24" ca="1">SUMPRODUCT(($E24:$AH24)*(AS$3=$E$3:$AH$3)*(AS$4=$E$4:$AH$4)*(AS$5=$E$5:$AH$5)*(AS$6=$E$6:$AH$6))</f>
        <v>0</v>
      </c>
      <c r="AU24" s="13" cm="1">
        <f t="array" aca="1" ref="AU24" ca="1">SUMPRODUCT(($E24:$AH24)*(AU$5=$E$5:$AH$5))</f>
        <v>-225.77691192089037</v>
      </c>
      <c r="AV24" s="13" cm="1">
        <f t="array" aca="1" ref="AV24" ca="1">SUMPRODUCT(($E24:$AH24)*(AV$5=$E$5:$AH$5))</f>
        <v>0</v>
      </c>
      <c r="AW24" s="13" cm="1">
        <f t="array" aca="1" ref="AW24" ca="1">SUMPRODUCT(($E24:$AH24)*(AW$5=$E$5:$AH$5))</f>
        <v>0</v>
      </c>
    </row>
    <row r="25" spans="2:58" x14ac:dyDescent="0.25">
      <c r="C25" s="1" t="s">
        <v>220</v>
      </c>
      <c r="E25" s="13">
        <f>Balance_Sheet!E164-Balance_Sheet!D164</f>
        <v>24.5</v>
      </c>
      <c r="F25" s="13">
        <f>Balance_Sheet!F164-Balance_Sheet!E164</f>
        <v>12.5</v>
      </c>
      <c r="G25" s="13">
        <f>Balance_Sheet!G164-Balance_Sheet!F164</f>
        <v>12.5</v>
      </c>
      <c r="H25" s="13">
        <f>Balance_Sheet!H164-Balance_Sheet!G164</f>
        <v>12.5</v>
      </c>
      <c r="I25" s="13">
        <f>Balance_Sheet!I164-Balance_Sheet!H164</f>
        <v>12.5</v>
      </c>
      <c r="J25" s="13">
        <f>Balance_Sheet!J164-Balance_Sheet!I164</f>
        <v>12.5</v>
      </c>
      <c r="K25" s="13">
        <f>Balance_Sheet!K164-Balance_Sheet!J164</f>
        <v>12.5</v>
      </c>
      <c r="L25" s="13">
        <f>Balance_Sheet!L164-Balance_Sheet!K164</f>
        <v>12.5</v>
      </c>
      <c r="M25" s="13">
        <f>Balance_Sheet!M164-Balance_Sheet!L164</f>
        <v>12.5</v>
      </c>
      <c r="N25" s="13">
        <f>Balance_Sheet!N164-Balance_Sheet!M164</f>
        <v>12.5</v>
      </c>
      <c r="O25" s="13">
        <f>Balance_Sheet!O164-Balance_Sheet!N164</f>
        <v>12.5</v>
      </c>
      <c r="P25" s="17">
        <f>Balance_Sheet!P164-Balance_Sheet!O164</f>
        <v>12.5</v>
      </c>
      <c r="Q25" s="13">
        <f>Balance_Sheet!Q164-Balance_Sheet!P164</f>
        <v>-66.258319961614916</v>
      </c>
      <c r="R25" s="13">
        <f>Balance_Sheet!R164-Balance_Sheet!Q164</f>
        <v>44.358366453249573</v>
      </c>
      <c r="S25" s="13">
        <f>Balance_Sheet!S164-Balance_Sheet!R164</f>
        <v>-16.692866329013441</v>
      </c>
      <c r="T25" s="13">
        <f>Balance_Sheet!T164-Balance_Sheet!S164</f>
        <v>5.7071356885701334</v>
      </c>
      <c r="U25" s="13">
        <f>Balance_Sheet!U164-Balance_Sheet!T164</f>
        <v>23.124778951836333</v>
      </c>
      <c r="V25" s="13">
        <f>Balance_Sheet!V164-Balance_Sheet!U164</f>
        <v>-62.663835453468437</v>
      </c>
      <c r="W25" s="13">
        <f>Balance_Sheet!W164-Balance_Sheet!V164</f>
        <v>92.386892522702965</v>
      </c>
      <c r="X25" s="13">
        <f>Balance_Sheet!X164-Balance_Sheet!W164</f>
        <v>-8.2131554637296631</v>
      </c>
      <c r="Y25" s="13">
        <f>Balance_Sheet!Y164-Balance_Sheet!X164</f>
        <v>-8.3263319053735358</v>
      </c>
      <c r="Z25" s="13">
        <f>Balance_Sheet!Z164-Balance_Sheet!Y164</f>
        <v>78.942939227560601</v>
      </c>
      <c r="AA25" s="13">
        <f>Balance_Sheet!AA164-Balance_Sheet!Z164</f>
        <v>-66.903693403171474</v>
      </c>
      <c r="AB25" s="13">
        <f>Balance_Sheet!AB164-Balance_Sheet!AA164</f>
        <v>59.277221189563988</v>
      </c>
      <c r="AC25" s="13">
        <f>Balance_Sheet!AC164-Balance_Sheet!AB164</f>
        <v>-75.437579298785749</v>
      </c>
      <c r="AD25" s="13">
        <f>Balance_Sheet!AD164-Balance_Sheet!AC164</f>
        <v>46.751465136282832</v>
      </c>
      <c r="AE25" s="13">
        <f>Balance_Sheet!AE164-Balance_Sheet!AD164</f>
        <v>-17.396107583300591</v>
      </c>
      <c r="AF25" s="13">
        <f>Balance_Sheet!AF164-Balance_Sheet!AE164</f>
        <v>6.2104233324496363</v>
      </c>
      <c r="AG25" s="13">
        <f>Balance_Sheet!AG164-Balance_Sheet!AF164</f>
        <v>24.278129683539873</v>
      </c>
      <c r="AH25" s="13">
        <f>Balance_Sheet!AH164-Balance_Sheet!AG164</f>
        <v>-65.786842343543412</v>
      </c>
      <c r="AJ25" s="13" cm="1">
        <f t="array" aca="1" ref="AJ25" ca="1">SUMPRODUCT(($E25:$AH25)*(AJ$3&amp;AJ$4&amp;AJ$5&amp;AJ$6=$E$3:$AH$3&amp;$E$4:$AH$4&amp;$E$5:$AH$5&amp;$E$6:$AH$6))</f>
        <v>49.5</v>
      </c>
      <c r="AK25" s="13" cm="1">
        <f t="array" aca="1" ref="AK25" ca="1">SUMPRODUCT(($E25:$AH25)*(AK$3=$E$3:$AH$3)*(AK$4=$E$4:$AH$4)*(AK$5=$E$5:$AH$5)*(AK$6=$E$6:$AH$6))</f>
        <v>37.5</v>
      </c>
      <c r="AL25" s="13" cm="1">
        <f t="array" aca="1" ref="AL25" ca="1">SUMPRODUCT(($E25:$AH25)*(AL$3=$E$3:$AH$3)*(AL$4=$E$4:$AH$4)*(AL$5=$E$5:$AH$5)*(AL$6=$E$6:$AH$6))</f>
        <v>37.5</v>
      </c>
      <c r="AM25" s="17" cm="1">
        <f t="array" aca="1" ref="AM25" ca="1">SUMPRODUCT(($E25:$AH25)*(AM$3=$E$3:$AH$3)*(AM$4=$E$4:$AH$4)*(AM$5=$E$5:$AH$5)*(AM$6=$E$6:$AH$6))</f>
        <v>37.5</v>
      </c>
      <c r="AN25" s="13" cm="1">
        <f t="array" aca="1" ref="AN25" ca="1">SUMPRODUCT(($E25:$AH25)*(AN$3=$E$3:$AH$3)*(AN$4=$E$4:$AH$4)*(AN$5=$E$5:$AH$5)*(AN$6=$E$6:$AH$6))</f>
        <v>-38.592819837378784</v>
      </c>
      <c r="AO25" s="13" cm="1">
        <f t="array" aca="1" ref="AO25" ca="1">SUMPRODUCT(($E25:$AH25)*(AO$3=$E$3:$AH$3)*(AO$4=$E$4:$AH$4)*(AO$5=$E$5:$AH$5)*(AO$6=$E$6:$AH$6))</f>
        <v>-33.83192081306197</v>
      </c>
      <c r="AP25" s="13" cm="1">
        <f t="array" aca="1" ref="AP25" ca="1">SUMPRODUCT(($E25:$AH25)*(AP$3=$E$3:$AH$3)*(AP$4=$E$4:$AH$4)*(AP$5=$E$5:$AH$5)*(AP$6=$E$6:$AH$6))</f>
        <v>75.847405153599766</v>
      </c>
      <c r="AQ25" s="13" cm="1">
        <f t="array" aca="1" ref="AQ25" ca="1">SUMPRODUCT(($E25:$AH25)*(AQ$3=$E$3:$AH$3)*(AQ$4=$E$4:$AH$4)*(AQ$5=$E$5:$AH$5)*(AQ$6=$E$6:$AH$6))</f>
        <v>71.316467013953115</v>
      </c>
      <c r="AR25" s="13" cm="1">
        <f t="array" aca="1" ref="AR25" ca="1">SUMPRODUCT(($E25:$AH25)*(AR$3=$E$3:$AH$3)*(AR$4=$E$4:$AH$4)*(AR$5=$E$5:$AH$5)*(AR$6=$E$6:$AH$6))</f>
        <v>-46.082221745803508</v>
      </c>
      <c r="AS25" s="13" cm="1">
        <f t="array" aca="1" ref="AS25" ca="1">SUMPRODUCT(($E25:$AH25)*(AS$3=$E$3:$AH$3)*(AS$4=$E$4:$AH$4)*(AS$5=$E$5:$AH$5)*(AS$6=$E$6:$AH$6))</f>
        <v>-35.298289327553903</v>
      </c>
      <c r="AU25" s="13" cm="1">
        <f t="array" aca="1" ref="AU25" ca="1">SUMPRODUCT(($E25:$AH25)*(AU$5=$E$5:$AH$5))</f>
        <v>87</v>
      </c>
      <c r="AV25" s="13" cm="1">
        <f t="array" aca="1" ref="AV25" ca="1">SUMPRODUCT(($E25:$AH25)*(AV$5=$E$5:$AH$5))</f>
        <v>2.5752593495592464</v>
      </c>
      <c r="AW25" s="13" cm="1">
        <f t="array" aca="1" ref="AW25" ca="1">SUMPRODUCT(($E25:$AH25)*(AW$5=$E$5:$AH$5))</f>
        <v>65.78336109419547</v>
      </c>
    </row>
    <row r="26" spans="2:58" x14ac:dyDescent="0.25">
      <c r="C26" s="23" t="s">
        <v>221</v>
      </c>
      <c r="D26" s="27"/>
      <c r="E26" s="24">
        <f>Balance_Sheet!E180-Balance_Sheet!D180</f>
        <v>3.3594246778349657</v>
      </c>
      <c r="F26" s="24">
        <f>Balance_Sheet!F180-Balance_Sheet!E180</f>
        <v>-44.26725442814643</v>
      </c>
      <c r="G26" s="24">
        <f>Balance_Sheet!G180-Balance_Sheet!F180</f>
        <v>-41.910319029531252</v>
      </c>
      <c r="H26" s="24">
        <f>Balance_Sheet!H180-Balance_Sheet!G180</f>
        <v>-15.640783127337556</v>
      </c>
      <c r="I26" s="24">
        <f>Balance_Sheet!I180-Balance_Sheet!H180</f>
        <v>1.3513647762941332</v>
      </c>
      <c r="J26" s="24">
        <f>Balance_Sheet!J180-Balance_Sheet!I180</f>
        <v>-5</v>
      </c>
      <c r="K26" s="24">
        <f>Balance_Sheet!K180-Balance_Sheet!J180</f>
        <v>5</v>
      </c>
      <c r="L26" s="24">
        <f>Balance_Sheet!L180-Balance_Sheet!K180</f>
        <v>55</v>
      </c>
      <c r="M26" s="24">
        <f>Balance_Sheet!M180-Balance_Sheet!L180</f>
        <v>86.940618446054145</v>
      </c>
      <c r="N26" s="24">
        <f>Balance_Sheet!N180-Balance_Sheet!M180</f>
        <v>-76.816687571370437</v>
      </c>
      <c r="O26" s="24">
        <f>Balance_Sheet!O180-Balance_Sheet!N180</f>
        <v>24.604460555541777</v>
      </c>
      <c r="P26" s="64">
        <f>Balance_Sheet!P180-Balance_Sheet!O180</f>
        <v>41.40584566343324</v>
      </c>
      <c r="Q26" s="24">
        <f>Balance_Sheet!Q180-Balance_Sheet!P180</f>
        <v>-34.166120525893007</v>
      </c>
      <c r="R26" s="24">
        <f>Balance_Sheet!R180-Balance_Sheet!Q180</f>
        <v>-34.481044735337889</v>
      </c>
      <c r="S26" s="24">
        <f>Balance_Sheet!S180-Balance_Sheet!R180</f>
        <v>-33.858087479652625</v>
      </c>
      <c r="T26" s="24">
        <f>Balance_Sheet!T180-Balance_Sheet!S180</f>
        <v>-6.6441715926919755</v>
      </c>
      <c r="U26" s="24">
        <f>Balance_Sheet!U180-Balance_Sheet!T180</f>
        <v>-8.8058865842659202</v>
      </c>
      <c r="V26" s="24">
        <f>Balance_Sheet!V180-Balance_Sheet!U180</f>
        <v>67.092021772895521</v>
      </c>
      <c r="W26" s="24">
        <f>Balance_Sheet!W180-Balance_Sheet!V180</f>
        <v>0.57166756807464481</v>
      </c>
      <c r="X26" s="24">
        <f>Balance_Sheet!X180-Balance_Sheet!W180</f>
        <v>-43.750931283965883</v>
      </c>
      <c r="Y26" s="24">
        <f>Balance_Sheet!Y180-Balance_Sheet!X180</f>
        <v>124.45321668997502</v>
      </c>
      <c r="Z26" s="24">
        <f>Balance_Sheet!Z180-Balance_Sheet!Y180</f>
        <v>-49.601098404098138</v>
      </c>
      <c r="AA26" s="24">
        <f>Balance_Sheet!AA180-Balance_Sheet!Z180</f>
        <v>3.7631806968107071</v>
      </c>
      <c r="AB26" s="24">
        <f>Balance_Sheet!AB180-Balance_Sheet!AA180</f>
        <v>33.491262703222276</v>
      </c>
      <c r="AC26" s="24">
        <f>Balance_Sheet!AC180-Balance_Sheet!AB180</f>
        <v>-24.002228816175204</v>
      </c>
      <c r="AD26" s="24">
        <f>Balance_Sheet!AD180-Balance_Sheet!AC180</f>
        <v>-47.752728128565707</v>
      </c>
      <c r="AE26" s="24">
        <f>Balance_Sheet!AE180-Balance_Sheet!AD180</f>
        <v>-33.816062470412533</v>
      </c>
      <c r="AF26" s="24">
        <f>Balance_Sheet!AF180-Balance_Sheet!AE180</f>
        <v>-5.2048878310237114</v>
      </c>
      <c r="AG26" s="24">
        <f>Balance_Sheet!AG180-Balance_Sheet!AF180</f>
        <v>-9.4513817732648135</v>
      </c>
      <c r="AH26" s="24">
        <f>Balance_Sheet!AH180-Balance_Sheet!AG180</f>
        <v>68.956786712025632</v>
      </c>
      <c r="AJ26" s="24" cm="1">
        <f t="array" aca="1" ref="AJ26" ca="1">SUMPRODUCT(($E26:$AH26)*(AJ$3&amp;AJ$4&amp;AJ$5&amp;AJ$6=$E$3:$AH$3&amp;$E$4:$AH$4&amp;$E$5:$AH$5&amp;$E$6:$AH$6))</f>
        <v>-82.818148779842716</v>
      </c>
      <c r="AK26" s="24" cm="1">
        <f t="array" aca="1" ref="AK26" ca="1">SUMPRODUCT(($E26:$AH26)*(AK$3=$E$3:$AH$3)*(AK$4=$E$4:$AH$4)*(AK$5=$E$5:$AH$5)*(AK$6=$E$6:$AH$6))</f>
        <v>-19.289418351043423</v>
      </c>
      <c r="AL26" s="24" cm="1">
        <f t="array" aca="1" ref="AL26" ca="1">SUMPRODUCT(($E26:$AH26)*(AL$3=$E$3:$AH$3)*(AL$4=$E$4:$AH$4)*(AL$5=$E$5:$AH$5)*(AL$6=$E$6:$AH$6))</f>
        <v>146.94061844605415</v>
      </c>
      <c r="AM26" s="64" cm="1">
        <f t="array" aca="1" ref="AM26" ca="1">SUMPRODUCT(($E26:$AH26)*(AM$3=$E$3:$AH$3)*(AM$4=$E$4:$AH$4)*(AM$5=$E$5:$AH$5)*(AM$6=$E$6:$AH$6))</f>
        <v>-10.80638135239542</v>
      </c>
      <c r="AN26" s="24" cm="1">
        <f t="array" aca="1" ref="AN26" ca="1">SUMPRODUCT(($E26:$AH26)*(AN$3=$E$3:$AH$3)*(AN$4=$E$4:$AH$4)*(AN$5=$E$5:$AH$5)*(AN$6=$E$6:$AH$6))</f>
        <v>-102.50525274088352</v>
      </c>
      <c r="AO26" s="24" cm="1">
        <f t="array" aca="1" ref="AO26" ca="1">SUMPRODUCT(($E26:$AH26)*(AO$3=$E$3:$AH$3)*(AO$4=$E$4:$AH$4)*(AO$5=$E$5:$AH$5)*(AO$6=$E$6:$AH$6))</f>
        <v>51.641963595937625</v>
      </c>
      <c r="AP26" s="24" cm="1">
        <f t="array" aca="1" ref="AP26" ca="1">SUMPRODUCT(($E26:$AH26)*(AP$3=$E$3:$AH$3)*(AP$4=$E$4:$AH$4)*(AP$5=$E$5:$AH$5)*(AP$6=$E$6:$AH$6))</f>
        <v>81.273952974083784</v>
      </c>
      <c r="AQ26" s="24" cm="1">
        <f t="array" aca="1" ref="AQ26" ca="1">SUMPRODUCT(($E26:$AH26)*(AQ$3=$E$3:$AH$3)*(AQ$4=$E$4:$AH$4)*(AQ$5=$E$5:$AH$5)*(AQ$6=$E$6:$AH$6))</f>
        <v>-12.346655004065155</v>
      </c>
      <c r="AR26" s="24" cm="1">
        <f t="array" aca="1" ref="AR26" ca="1">SUMPRODUCT(($E26:$AH26)*(AR$3=$E$3:$AH$3)*(AR$4=$E$4:$AH$4)*(AR$5=$E$5:$AH$5)*(AR$6=$E$6:$AH$6))</f>
        <v>-105.57101941515344</v>
      </c>
      <c r="AS26" s="24" cm="1">
        <f t="array" aca="1" ref="AS26" ca="1">SUMPRODUCT(($E26:$AH26)*(AS$3=$E$3:$AH$3)*(AS$4=$E$4:$AH$4)*(AS$5=$E$5:$AH$5)*(AS$6=$E$6:$AH$6))</f>
        <v>54.300517107737107</v>
      </c>
      <c r="AU26" s="24" cm="1">
        <f t="array" aca="1" ref="AU26" ca="1">SUMPRODUCT(($E26:$AH26)*(AU$5=$E$5:$AH$5))</f>
        <v>-102.10756713088614</v>
      </c>
      <c r="AV26" s="24" cm="1">
        <f t="array" aca="1" ref="AV26" ca="1">SUMPRODUCT(($E26:$AH26)*(AV$5=$E$5:$AH$5))</f>
        <v>85.270947948712831</v>
      </c>
      <c r="AW26" s="24" cm="1">
        <f t="array" aca="1" ref="AW26" ca="1">SUMPRODUCT(($E26:$AH26)*(AW$5=$E$5:$AH$5))</f>
        <v>17.656795662602292</v>
      </c>
    </row>
    <row r="27" spans="2:58" x14ac:dyDescent="0.25">
      <c r="B27" t="s">
        <v>231</v>
      </c>
      <c r="C27" s="25" t="s">
        <v>179</v>
      </c>
      <c r="D27" s="11"/>
      <c r="E27" s="21">
        <f t="shared" ref="E27:AW27" si="14">SUM(E15:E26)</f>
        <v>-155.25372102412547</v>
      </c>
      <c r="F27" s="21">
        <f t="shared" si="14"/>
        <v>-251.8668147243261</v>
      </c>
      <c r="G27" s="21">
        <f t="shared" si="14"/>
        <v>-395.88963916346086</v>
      </c>
      <c r="H27" s="21">
        <f t="shared" si="14"/>
        <v>-131.41293780275237</v>
      </c>
      <c r="I27" s="21">
        <f t="shared" si="14"/>
        <v>160.15425639908091</v>
      </c>
      <c r="J27" s="21">
        <f t="shared" si="14"/>
        <v>-91.339003056223305</v>
      </c>
      <c r="K27" s="21">
        <f t="shared" si="14"/>
        <v>410.3960065797267</v>
      </c>
      <c r="L27" s="21">
        <f t="shared" si="14"/>
        <v>-197.20232824292174</v>
      </c>
      <c r="M27" s="21">
        <f t="shared" si="14"/>
        <v>316.4836639150019</v>
      </c>
      <c r="N27" s="21">
        <f t="shared" si="14"/>
        <v>-534.23292835972688</v>
      </c>
      <c r="O27" s="21">
        <f t="shared" si="14"/>
        <v>280.52452139795395</v>
      </c>
      <c r="P27" s="22">
        <f t="shared" si="14"/>
        <v>-210.03541838593202</v>
      </c>
      <c r="Q27" s="21">
        <f t="shared" si="14"/>
        <v>232.68170984850599</v>
      </c>
      <c r="R27" s="21">
        <f t="shared" si="14"/>
        <v>-348.97403152431144</v>
      </c>
      <c r="S27" s="21">
        <f t="shared" si="14"/>
        <v>86.206754027151021</v>
      </c>
      <c r="T27" s="21">
        <f t="shared" si="14"/>
        <v>-154.1345586929686</v>
      </c>
      <c r="U27" s="21">
        <f t="shared" si="14"/>
        <v>-48.034215399430565</v>
      </c>
      <c r="V27" s="21">
        <f t="shared" si="14"/>
        <v>-138.2837667108285</v>
      </c>
      <c r="W27" s="21">
        <f t="shared" si="14"/>
        <v>339.90883451084574</v>
      </c>
      <c r="X27" s="21">
        <f t="shared" si="14"/>
        <v>467.95861833720346</v>
      </c>
      <c r="Y27" s="21">
        <f t="shared" si="14"/>
        <v>333.74901399960549</v>
      </c>
      <c r="Z27" s="21">
        <f t="shared" si="14"/>
        <v>-815.72493940350296</v>
      </c>
      <c r="AA27" s="21">
        <f t="shared" si="14"/>
        <v>178.46701865264743</v>
      </c>
      <c r="AB27" s="21">
        <f t="shared" si="14"/>
        <v>483.12564459032097</v>
      </c>
      <c r="AC27" s="21">
        <f t="shared" si="14"/>
        <v>466.09414141947599</v>
      </c>
      <c r="AD27" s="21">
        <f t="shared" si="14"/>
        <v>-291.48459615365908</v>
      </c>
      <c r="AE27" s="21">
        <f t="shared" si="14"/>
        <v>132.61927239408197</v>
      </c>
      <c r="AF27" s="21">
        <f t="shared" si="14"/>
        <v>-132.87967165383787</v>
      </c>
      <c r="AG27" s="21">
        <f t="shared" si="14"/>
        <v>7.7410029095391195</v>
      </c>
      <c r="AH27" s="21">
        <f t="shared" si="14"/>
        <v>-145.09324376350116</v>
      </c>
      <c r="AI27" s="11"/>
      <c r="AJ27" s="21">
        <f t="shared" ca="1" si="14"/>
        <v>-803.01017491191237</v>
      </c>
      <c r="AK27" s="21">
        <f t="shared" ca="1" si="14"/>
        <v>-62.597684459894765</v>
      </c>
      <c r="AL27" s="21">
        <f t="shared" ca="1" si="14"/>
        <v>529.67734225180686</v>
      </c>
      <c r="AM27" s="22">
        <f t="shared" ca="1" si="14"/>
        <v>-463.74382534770507</v>
      </c>
      <c r="AN27" s="21">
        <f t="shared" ca="1" si="14"/>
        <v>-30.085567648654319</v>
      </c>
      <c r="AO27" s="21">
        <f t="shared" ca="1" si="14"/>
        <v>-340.45254080322769</v>
      </c>
      <c r="AP27" s="21">
        <f t="shared" ca="1" si="14"/>
        <v>1141.6164668476547</v>
      </c>
      <c r="AQ27" s="21">
        <f t="shared" ca="1" si="14"/>
        <v>-154.13227616053462</v>
      </c>
      <c r="AR27" s="21">
        <f t="shared" ca="1" si="14"/>
        <v>307.22881765989877</v>
      </c>
      <c r="AS27" s="21">
        <f t="shared" ca="1" si="14"/>
        <v>-270.2319125077999</v>
      </c>
      <c r="AU27" s="21">
        <f t="shared" ca="1" si="14"/>
        <v>-865.60785937180731</v>
      </c>
      <c r="AV27" s="21">
        <f t="shared" ca="1" si="14"/>
        <v>-304.60459154777999</v>
      </c>
      <c r="AW27" s="21">
        <f t="shared" ca="1" si="14"/>
        <v>1024.4810958392191</v>
      </c>
    </row>
    <row r="28" spans="2:58" x14ac:dyDescent="0.25">
      <c r="P28" s="8"/>
      <c r="AM28" s="8"/>
    </row>
    <row r="29" spans="2:58" x14ac:dyDescent="0.25">
      <c r="C29" s="1" t="s">
        <v>192</v>
      </c>
      <c r="E29" s="33">
        <f>-Balance_Sheet!E85</f>
        <v>0</v>
      </c>
      <c r="F29" s="33">
        <f>-Balance_Sheet!F85</f>
        <v>0</v>
      </c>
      <c r="G29" s="33">
        <f>-Balance_Sheet!G85</f>
        <v>0</v>
      </c>
      <c r="H29" s="33">
        <f>-Balance_Sheet!H85</f>
        <v>0</v>
      </c>
      <c r="I29" s="33">
        <f>-Balance_Sheet!I85</f>
        <v>0</v>
      </c>
      <c r="J29" s="33">
        <f>-Balance_Sheet!J85</f>
        <v>0</v>
      </c>
      <c r="K29" s="33">
        <f>-Balance_Sheet!K85</f>
        <v>0</v>
      </c>
      <c r="L29" s="33">
        <f>-Balance_Sheet!L85</f>
        <v>0</v>
      </c>
      <c r="M29" s="33">
        <f>-Balance_Sheet!M85</f>
        <v>0</v>
      </c>
      <c r="N29" s="33">
        <f>-Balance_Sheet!N85</f>
        <v>0</v>
      </c>
      <c r="O29" s="33">
        <f>-Balance_Sheet!O85</f>
        <v>0</v>
      </c>
      <c r="P29" s="34">
        <f>-Balance_Sheet!P85</f>
        <v>0</v>
      </c>
      <c r="Q29" s="33">
        <f>-Balance_Sheet!Q85</f>
        <v>0</v>
      </c>
      <c r="R29" s="33">
        <f>-Balance_Sheet!R85</f>
        <v>0</v>
      </c>
      <c r="S29" s="33">
        <f>-Balance_Sheet!S85</f>
        <v>0</v>
      </c>
      <c r="T29" s="33">
        <f>-Balance_Sheet!T85</f>
        <v>0</v>
      </c>
      <c r="U29" s="33">
        <f>-Balance_Sheet!U85</f>
        <v>0</v>
      </c>
      <c r="V29" s="33">
        <f>-Balance_Sheet!V85</f>
        <v>0</v>
      </c>
      <c r="W29" s="33">
        <f>-Balance_Sheet!W85</f>
        <v>0</v>
      </c>
      <c r="X29" s="33">
        <f>-Balance_Sheet!X85</f>
        <v>0</v>
      </c>
      <c r="Y29" s="33">
        <f>-Balance_Sheet!Y85</f>
        <v>0</v>
      </c>
      <c r="Z29" s="33">
        <f>-Balance_Sheet!Z85</f>
        <v>0</v>
      </c>
      <c r="AA29" s="33">
        <f>-Balance_Sheet!AA85</f>
        <v>0</v>
      </c>
      <c r="AB29" s="33">
        <f>-Balance_Sheet!AB85</f>
        <v>0</v>
      </c>
      <c r="AC29" s="33">
        <f>-Balance_Sheet!AC85</f>
        <v>0</v>
      </c>
      <c r="AD29" s="33">
        <f>-Balance_Sheet!AD85</f>
        <v>0</v>
      </c>
      <c r="AE29" s="33">
        <f>-Balance_Sheet!AE85</f>
        <v>0</v>
      </c>
      <c r="AF29" s="33">
        <f>-Balance_Sheet!AF85</f>
        <v>0</v>
      </c>
      <c r="AG29" s="33">
        <f>-Balance_Sheet!AG85</f>
        <v>0</v>
      </c>
      <c r="AH29" s="33">
        <f>-Balance_Sheet!AH85</f>
        <v>0</v>
      </c>
      <c r="AJ29" s="13" cm="1">
        <f t="array" aca="1" ref="AJ29" ca="1">SUMPRODUCT(($E29:$AH29)*(AJ$3&amp;AJ$4&amp;AJ$5&amp;AJ$6=$E$3:$AH$3&amp;$E$4:$AH$4&amp;$E$5:$AH$5&amp;$E$6:$AH$6))</f>
        <v>0</v>
      </c>
      <c r="AK29" s="13" cm="1">
        <f t="array" aca="1" ref="AK29" ca="1">SUMPRODUCT(($E29:$AH29)*(AK$3=$E$3:$AH$3)*(AK$4=$E$4:$AH$4)*(AK$5=$E$5:$AH$5)*(AK$6=$E$6:$AH$6))</f>
        <v>0</v>
      </c>
      <c r="AL29" s="13" cm="1">
        <f t="array" aca="1" ref="AL29" ca="1">SUMPRODUCT(($E29:$AH29)*(AL$3=$E$3:$AH$3)*(AL$4=$E$4:$AH$4)*(AL$5=$E$5:$AH$5)*(AL$6=$E$6:$AH$6))</f>
        <v>0</v>
      </c>
      <c r="AM29" s="17" cm="1">
        <f t="array" aca="1" ref="AM29" ca="1">SUMPRODUCT(($E29:$AH29)*(AM$3=$E$3:$AH$3)*(AM$4=$E$4:$AH$4)*(AM$5=$E$5:$AH$5)*(AM$6=$E$6:$AH$6))</f>
        <v>0</v>
      </c>
      <c r="AN29" s="13" cm="1">
        <f t="array" aca="1" ref="AN29" ca="1">SUMPRODUCT(($E29:$AH29)*(AN$3=$E$3:$AH$3)*(AN$4=$E$4:$AH$4)*(AN$5=$E$5:$AH$5)*(AN$6=$E$6:$AH$6))</f>
        <v>0</v>
      </c>
      <c r="AO29" s="13" cm="1">
        <f t="array" aca="1" ref="AO29" ca="1">SUMPRODUCT(($E29:$AH29)*(AO$3=$E$3:$AH$3)*(AO$4=$E$4:$AH$4)*(AO$5=$E$5:$AH$5)*(AO$6=$E$6:$AH$6))</f>
        <v>0</v>
      </c>
      <c r="AP29" s="13" cm="1">
        <f t="array" aca="1" ref="AP29" ca="1">SUMPRODUCT(($E29:$AH29)*(AP$3=$E$3:$AH$3)*(AP$4=$E$4:$AH$4)*(AP$5=$E$5:$AH$5)*(AP$6=$E$6:$AH$6))</f>
        <v>0</v>
      </c>
      <c r="AQ29" s="13" cm="1">
        <f t="array" aca="1" ref="AQ29" ca="1">SUMPRODUCT(($E29:$AH29)*(AQ$3=$E$3:$AH$3)*(AQ$4=$E$4:$AH$4)*(AQ$5=$E$5:$AH$5)*(AQ$6=$E$6:$AH$6))</f>
        <v>0</v>
      </c>
      <c r="AR29" s="13" cm="1">
        <f t="array" aca="1" ref="AR29" ca="1">SUMPRODUCT(($E29:$AH29)*(AR$3=$E$3:$AH$3)*(AR$4=$E$4:$AH$4)*(AR$5=$E$5:$AH$5)*(AR$6=$E$6:$AH$6))</f>
        <v>0</v>
      </c>
      <c r="AS29" s="13" cm="1">
        <f t="array" aca="1" ref="AS29" ca="1">SUMPRODUCT(($E29:$AH29)*(AS$3=$E$3:$AH$3)*(AS$4=$E$4:$AH$4)*(AS$5=$E$5:$AH$5)*(AS$6=$E$6:$AH$6))</f>
        <v>0</v>
      </c>
      <c r="AU29" s="13" cm="1">
        <f t="array" aca="1" ref="AU29" ca="1">SUMPRODUCT(($E29:$AH29)*(AU$5=$E$5:$AH$5))</f>
        <v>0</v>
      </c>
      <c r="AV29" s="13" cm="1">
        <f t="array" aca="1" ref="AV29" ca="1">SUMPRODUCT(($E29:$AH29)*(AV$5=$E$5:$AH$5))</f>
        <v>0</v>
      </c>
      <c r="AW29" s="13" cm="1">
        <f t="array" aca="1" ref="AW29" ca="1">SUMPRODUCT(($E29:$AH29)*(AW$5=$E$5:$AH$5))</f>
        <v>0</v>
      </c>
    </row>
    <row r="30" spans="2:58" x14ac:dyDescent="0.25">
      <c r="C30" s="1" t="s">
        <v>193</v>
      </c>
      <c r="E30" s="56">
        <f>Balance_Sheet!E86</f>
        <v>0</v>
      </c>
      <c r="F30" s="56">
        <f>Balance_Sheet!F86</f>
        <v>0</v>
      </c>
      <c r="G30" s="56">
        <f>Balance_Sheet!G86</f>
        <v>0</v>
      </c>
      <c r="H30" s="56">
        <f>Balance_Sheet!H86</f>
        <v>0</v>
      </c>
      <c r="I30" s="56">
        <f>Balance_Sheet!I86</f>
        <v>0</v>
      </c>
      <c r="J30" s="56">
        <f>Balance_Sheet!J86</f>
        <v>0</v>
      </c>
      <c r="K30" s="56">
        <f>Balance_Sheet!K86</f>
        <v>0</v>
      </c>
      <c r="L30" s="56">
        <f>Balance_Sheet!L86</f>
        <v>0</v>
      </c>
      <c r="M30" s="56">
        <f>Balance_Sheet!M86</f>
        <v>0</v>
      </c>
      <c r="N30" s="56">
        <f>Balance_Sheet!N86</f>
        <v>0</v>
      </c>
      <c r="O30" s="56">
        <f>Balance_Sheet!O86</f>
        <v>0</v>
      </c>
      <c r="P30" s="34">
        <f>Balance_Sheet!P86</f>
        <v>0</v>
      </c>
      <c r="Q30" s="56">
        <f>Balance_Sheet!Q86</f>
        <v>0</v>
      </c>
      <c r="R30" s="56">
        <f>Balance_Sheet!R86</f>
        <v>0</v>
      </c>
      <c r="S30" s="56">
        <f>Balance_Sheet!S86</f>
        <v>0</v>
      </c>
      <c r="T30" s="56">
        <f>Balance_Sheet!T86</f>
        <v>0</v>
      </c>
      <c r="U30" s="56">
        <f>Balance_Sheet!U86</f>
        <v>0</v>
      </c>
      <c r="V30" s="56">
        <f>Balance_Sheet!V86</f>
        <v>0</v>
      </c>
      <c r="W30" s="56">
        <f>Balance_Sheet!W86</f>
        <v>0</v>
      </c>
      <c r="X30" s="56">
        <f>Balance_Sheet!X86</f>
        <v>0</v>
      </c>
      <c r="Y30" s="56">
        <f>Balance_Sheet!Y86</f>
        <v>0</v>
      </c>
      <c r="Z30" s="56">
        <f>Balance_Sheet!Z86</f>
        <v>0</v>
      </c>
      <c r="AA30" s="56">
        <f>Balance_Sheet!AA86</f>
        <v>0</v>
      </c>
      <c r="AB30" s="56">
        <f>Balance_Sheet!AB86</f>
        <v>0</v>
      </c>
      <c r="AC30" s="56">
        <f>Balance_Sheet!AC86</f>
        <v>0</v>
      </c>
      <c r="AD30" s="56">
        <f>Balance_Sheet!AD86</f>
        <v>0</v>
      </c>
      <c r="AE30" s="56">
        <f>Balance_Sheet!AE86</f>
        <v>0</v>
      </c>
      <c r="AF30" s="56">
        <f>Balance_Sheet!AF86</f>
        <v>0</v>
      </c>
      <c r="AG30" s="56">
        <f>Balance_Sheet!AG86</f>
        <v>0</v>
      </c>
      <c r="AH30" s="56">
        <f>Balance_Sheet!AH86</f>
        <v>0</v>
      </c>
      <c r="AJ30" s="13" cm="1">
        <f t="array" aca="1" ref="AJ30" ca="1">SUMPRODUCT(($E30:$AH30)*(AJ$3&amp;AJ$4&amp;AJ$5&amp;AJ$6=$E$3:$AH$3&amp;$E$4:$AH$4&amp;$E$5:$AH$5&amp;$E$6:$AH$6))</f>
        <v>0</v>
      </c>
      <c r="AK30" s="13" cm="1">
        <f t="array" aca="1" ref="AK30" ca="1">SUMPRODUCT(($E30:$AH30)*(AK$3=$E$3:$AH$3)*(AK$4=$E$4:$AH$4)*(AK$5=$E$5:$AH$5)*(AK$6=$E$6:$AH$6))</f>
        <v>0</v>
      </c>
      <c r="AL30" s="13" cm="1">
        <f t="array" aca="1" ref="AL30" ca="1">SUMPRODUCT(($E30:$AH30)*(AL$3=$E$3:$AH$3)*(AL$4=$E$4:$AH$4)*(AL$5=$E$5:$AH$5)*(AL$6=$E$6:$AH$6))</f>
        <v>0</v>
      </c>
      <c r="AM30" s="17" cm="1">
        <f t="array" aca="1" ref="AM30" ca="1">SUMPRODUCT(($E30:$AH30)*(AM$3=$E$3:$AH$3)*(AM$4=$E$4:$AH$4)*(AM$5=$E$5:$AH$5)*(AM$6=$E$6:$AH$6))</f>
        <v>0</v>
      </c>
      <c r="AN30" s="13" cm="1">
        <f t="array" aca="1" ref="AN30" ca="1">SUMPRODUCT(($E30:$AH30)*(AN$3=$E$3:$AH$3)*(AN$4=$E$4:$AH$4)*(AN$5=$E$5:$AH$5)*(AN$6=$E$6:$AH$6))</f>
        <v>0</v>
      </c>
      <c r="AO30" s="13" cm="1">
        <f t="array" aca="1" ref="AO30" ca="1">SUMPRODUCT(($E30:$AH30)*(AO$3=$E$3:$AH$3)*(AO$4=$E$4:$AH$4)*(AO$5=$E$5:$AH$5)*(AO$6=$E$6:$AH$6))</f>
        <v>0</v>
      </c>
      <c r="AP30" s="13" cm="1">
        <f t="array" aca="1" ref="AP30" ca="1">SUMPRODUCT(($E30:$AH30)*(AP$3=$E$3:$AH$3)*(AP$4=$E$4:$AH$4)*(AP$5=$E$5:$AH$5)*(AP$6=$E$6:$AH$6))</f>
        <v>0</v>
      </c>
      <c r="AQ30" s="13" cm="1">
        <f t="array" aca="1" ref="AQ30" ca="1">SUMPRODUCT(($E30:$AH30)*(AQ$3=$E$3:$AH$3)*(AQ$4=$E$4:$AH$4)*(AQ$5=$E$5:$AH$5)*(AQ$6=$E$6:$AH$6))</f>
        <v>0</v>
      </c>
      <c r="AR30" s="13" cm="1">
        <f t="array" aca="1" ref="AR30" ca="1">SUMPRODUCT(($E30:$AH30)*(AR$3=$E$3:$AH$3)*(AR$4=$E$4:$AH$4)*(AR$5=$E$5:$AH$5)*(AR$6=$E$6:$AH$6))</f>
        <v>0</v>
      </c>
      <c r="AS30" s="13" cm="1">
        <f t="array" aca="1" ref="AS30" ca="1">SUMPRODUCT(($E30:$AH30)*(AS$3=$E$3:$AH$3)*(AS$4=$E$4:$AH$4)*(AS$5=$E$5:$AH$5)*(AS$6=$E$6:$AH$6))</f>
        <v>0</v>
      </c>
      <c r="AU30" s="13" cm="1">
        <f t="array" aca="1" ref="AU30" ca="1">SUMPRODUCT(($E30:$AH30)*(AU$5=$E$5:$AH$5))</f>
        <v>0</v>
      </c>
      <c r="AV30" s="13" cm="1">
        <f t="array" aca="1" ref="AV30" ca="1">SUMPRODUCT(($E30:$AH30)*(AV$5=$E$5:$AH$5))</f>
        <v>0</v>
      </c>
      <c r="AW30" s="13" cm="1">
        <f t="array" aca="1" ref="AW30" ca="1">SUMPRODUCT(($E30:$AH30)*(AW$5=$E$5:$AH$5))</f>
        <v>0</v>
      </c>
    </row>
    <row r="31" spans="2:58" x14ac:dyDescent="0.25">
      <c r="C31" s="1" t="s">
        <v>276</v>
      </c>
      <c r="E31" s="56">
        <f>-(Balance_Sheet!E106+Balance_Sheet!E122)</f>
        <v>0</v>
      </c>
      <c r="F31" s="56">
        <f>-(Balance_Sheet!F106+Balance_Sheet!F122)</f>
        <v>0</v>
      </c>
      <c r="G31" s="56">
        <f>-(Balance_Sheet!G106+Balance_Sheet!G122)</f>
        <v>0</v>
      </c>
      <c r="H31" s="56">
        <f>-(Balance_Sheet!H106+Balance_Sheet!H122)</f>
        <v>0</v>
      </c>
      <c r="I31" s="56">
        <f>-(Balance_Sheet!I106+Balance_Sheet!I122)</f>
        <v>0</v>
      </c>
      <c r="J31" s="56">
        <f>-(Balance_Sheet!J106+Balance_Sheet!J122)</f>
        <v>0</v>
      </c>
      <c r="K31" s="56">
        <f>-(Balance_Sheet!K106+Balance_Sheet!K122)</f>
        <v>0</v>
      </c>
      <c r="L31" s="56">
        <f>-(Balance_Sheet!L106+Balance_Sheet!L122)</f>
        <v>0</v>
      </c>
      <c r="M31" s="56">
        <f>-(Balance_Sheet!M106+Balance_Sheet!M122)</f>
        <v>0</v>
      </c>
      <c r="N31" s="56">
        <f>-(Balance_Sheet!N106+Balance_Sheet!N122)</f>
        <v>0</v>
      </c>
      <c r="O31" s="56">
        <f>-(Balance_Sheet!O106+Balance_Sheet!O122)</f>
        <v>0</v>
      </c>
      <c r="P31" s="34">
        <f>-(Balance_Sheet!P106+Balance_Sheet!P122)</f>
        <v>0</v>
      </c>
      <c r="Q31" s="56">
        <f>-(Balance_Sheet!Q106+Balance_Sheet!Q122)</f>
        <v>0</v>
      </c>
      <c r="R31" s="56">
        <f>-(Balance_Sheet!R106+Balance_Sheet!R122)</f>
        <v>0</v>
      </c>
      <c r="S31" s="56">
        <f>-(Balance_Sheet!S106+Balance_Sheet!S122)</f>
        <v>0</v>
      </c>
      <c r="T31" s="56">
        <f>-(Balance_Sheet!T106+Balance_Sheet!T122)</f>
        <v>0</v>
      </c>
      <c r="U31" s="56">
        <f>-(Balance_Sheet!U106+Balance_Sheet!U122)</f>
        <v>0</v>
      </c>
      <c r="V31" s="56">
        <f>-(Balance_Sheet!V106+Balance_Sheet!V122)</f>
        <v>0</v>
      </c>
      <c r="W31" s="56">
        <f>-(Balance_Sheet!W106+Balance_Sheet!W122)</f>
        <v>0</v>
      </c>
      <c r="X31" s="56">
        <f>-(Balance_Sheet!X106+Balance_Sheet!X122)</f>
        <v>0</v>
      </c>
      <c r="Y31" s="56">
        <f>-(Balance_Sheet!Y106+Balance_Sheet!Y122)</f>
        <v>0</v>
      </c>
      <c r="Z31" s="56">
        <f>-(Balance_Sheet!Z106+Balance_Sheet!Z122)</f>
        <v>0</v>
      </c>
      <c r="AA31" s="56">
        <f>-(Balance_Sheet!AA106+Balance_Sheet!AA122)</f>
        <v>0</v>
      </c>
      <c r="AB31" s="56">
        <f>-(Balance_Sheet!AB106+Balance_Sheet!AB122)</f>
        <v>0</v>
      </c>
      <c r="AC31" s="56">
        <f>-(Balance_Sheet!AC106+Balance_Sheet!AC122)</f>
        <v>0</v>
      </c>
      <c r="AD31" s="56">
        <f>-(Balance_Sheet!AD106+Balance_Sheet!AD122)</f>
        <v>0</v>
      </c>
      <c r="AE31" s="56">
        <f>-(Balance_Sheet!AE106+Balance_Sheet!AE122)</f>
        <v>0</v>
      </c>
      <c r="AF31" s="56">
        <f>-(Balance_Sheet!AF106+Balance_Sheet!AF122)</f>
        <v>0</v>
      </c>
      <c r="AG31" s="56">
        <f>-(Balance_Sheet!AG106+Balance_Sheet!AG122)</f>
        <v>0</v>
      </c>
      <c r="AH31" s="56">
        <f>-(Balance_Sheet!AH106+Balance_Sheet!AH122)</f>
        <v>0</v>
      </c>
      <c r="AJ31" s="13" cm="1">
        <f t="array" aca="1" ref="AJ31" ca="1">SUMPRODUCT(($E31:$AH31)*(AJ$3&amp;AJ$4&amp;AJ$5&amp;AJ$6=$E$3:$AH$3&amp;$E$4:$AH$4&amp;$E$5:$AH$5&amp;$E$6:$AH$6))</f>
        <v>0</v>
      </c>
      <c r="AK31" s="13" cm="1">
        <f t="array" aca="1" ref="AK31" ca="1">SUMPRODUCT(($E31:$AH31)*(AK$3=$E$3:$AH$3)*(AK$4=$E$4:$AH$4)*(AK$5=$E$5:$AH$5)*(AK$6=$E$6:$AH$6))</f>
        <v>0</v>
      </c>
      <c r="AL31" s="13" cm="1">
        <f t="array" aca="1" ref="AL31" ca="1">SUMPRODUCT(($E31:$AH31)*(AL$3=$E$3:$AH$3)*(AL$4=$E$4:$AH$4)*(AL$5=$E$5:$AH$5)*(AL$6=$E$6:$AH$6))</f>
        <v>0</v>
      </c>
      <c r="AM31" s="17" cm="1">
        <f t="array" aca="1" ref="AM31" ca="1">SUMPRODUCT(($E31:$AH31)*(AM$3=$E$3:$AH$3)*(AM$4=$E$4:$AH$4)*(AM$5=$E$5:$AH$5)*(AM$6=$E$6:$AH$6))</f>
        <v>0</v>
      </c>
      <c r="AN31" s="13" cm="1">
        <f t="array" aca="1" ref="AN31" ca="1">SUMPRODUCT(($E31:$AH31)*(AN$3=$E$3:$AH$3)*(AN$4=$E$4:$AH$4)*(AN$5=$E$5:$AH$5)*(AN$6=$E$6:$AH$6))</f>
        <v>0</v>
      </c>
      <c r="AO31" s="13" cm="1">
        <f t="array" aca="1" ref="AO31" ca="1">SUMPRODUCT(($E31:$AH31)*(AO$3=$E$3:$AH$3)*(AO$4=$E$4:$AH$4)*(AO$5=$E$5:$AH$5)*(AO$6=$E$6:$AH$6))</f>
        <v>0</v>
      </c>
      <c r="AP31" s="13" cm="1">
        <f t="array" aca="1" ref="AP31" ca="1">SUMPRODUCT(($E31:$AH31)*(AP$3=$E$3:$AH$3)*(AP$4=$E$4:$AH$4)*(AP$5=$E$5:$AH$5)*(AP$6=$E$6:$AH$6))</f>
        <v>0</v>
      </c>
      <c r="AQ31" s="13" cm="1">
        <f t="array" aca="1" ref="AQ31" ca="1">SUMPRODUCT(($E31:$AH31)*(AQ$3=$E$3:$AH$3)*(AQ$4=$E$4:$AH$4)*(AQ$5=$E$5:$AH$5)*(AQ$6=$E$6:$AH$6))</f>
        <v>0</v>
      </c>
      <c r="AR31" s="13" cm="1">
        <f t="array" aca="1" ref="AR31" ca="1">SUMPRODUCT(($E31:$AH31)*(AR$3=$E$3:$AH$3)*(AR$4=$E$4:$AH$4)*(AR$5=$E$5:$AH$5)*(AR$6=$E$6:$AH$6))</f>
        <v>0</v>
      </c>
      <c r="AS31" s="13" cm="1">
        <f t="array" aca="1" ref="AS31" ca="1">SUMPRODUCT(($E31:$AH31)*(AS$3=$E$3:$AH$3)*(AS$4=$E$4:$AH$4)*(AS$5=$E$5:$AH$5)*(AS$6=$E$6:$AH$6))</f>
        <v>0</v>
      </c>
      <c r="AU31" s="13" cm="1">
        <f t="array" aca="1" ref="AU31" ca="1">SUMPRODUCT(($E31:$AH31)*(AU$5=$E$5:$AH$5))</f>
        <v>0</v>
      </c>
      <c r="AV31" s="13" cm="1">
        <f t="array" aca="1" ref="AV31" ca="1">SUMPRODUCT(($E31:$AH31)*(AV$5=$E$5:$AH$5))</f>
        <v>0</v>
      </c>
      <c r="AW31" s="13" cm="1">
        <f t="array" aca="1" ref="AW31" ca="1">SUMPRODUCT(($E31:$AH31)*(AW$5=$E$5:$AH$5))</f>
        <v>0</v>
      </c>
    </row>
    <row r="32" spans="2:58" x14ac:dyDescent="0.25">
      <c r="C32" s="23" t="s">
        <v>277</v>
      </c>
      <c r="D32" s="27"/>
      <c r="E32" s="74">
        <f>Balance_Sheet!E107+Balance_Sheet!E123</f>
        <v>0</v>
      </c>
      <c r="F32" s="74">
        <f>Balance_Sheet!F107+Balance_Sheet!F123</f>
        <v>0</v>
      </c>
      <c r="G32" s="74">
        <f>Balance_Sheet!G107+Balance_Sheet!G123</f>
        <v>0</v>
      </c>
      <c r="H32" s="74">
        <f>Balance_Sheet!H107+Balance_Sheet!H123</f>
        <v>0</v>
      </c>
      <c r="I32" s="74">
        <f>Balance_Sheet!I107+Balance_Sheet!I123</f>
        <v>0</v>
      </c>
      <c r="J32" s="74">
        <f>Balance_Sheet!J107+Balance_Sheet!J123</f>
        <v>0</v>
      </c>
      <c r="K32" s="74">
        <f>Balance_Sheet!K107+Balance_Sheet!K123</f>
        <v>0</v>
      </c>
      <c r="L32" s="74">
        <f>Balance_Sheet!L107+Balance_Sheet!L123</f>
        <v>0</v>
      </c>
      <c r="M32" s="74">
        <f>Balance_Sheet!M107+Balance_Sheet!M123</f>
        <v>0</v>
      </c>
      <c r="N32" s="74">
        <f>Balance_Sheet!N107+Balance_Sheet!N123</f>
        <v>0</v>
      </c>
      <c r="O32" s="74">
        <f>Balance_Sheet!O107+Balance_Sheet!O123</f>
        <v>0</v>
      </c>
      <c r="P32" s="75">
        <f>Balance_Sheet!P107+Balance_Sheet!P123</f>
        <v>0</v>
      </c>
      <c r="Q32" s="74">
        <f>Balance_Sheet!Q107+Balance_Sheet!Q123</f>
        <v>0</v>
      </c>
      <c r="R32" s="74">
        <f>Balance_Sheet!R107+Balance_Sheet!R123</f>
        <v>0</v>
      </c>
      <c r="S32" s="74">
        <f>Balance_Sheet!S107+Balance_Sheet!S123</f>
        <v>0</v>
      </c>
      <c r="T32" s="74">
        <f>Balance_Sheet!T107+Balance_Sheet!T123</f>
        <v>0</v>
      </c>
      <c r="U32" s="74">
        <f>Balance_Sheet!U107+Balance_Sheet!U123</f>
        <v>0</v>
      </c>
      <c r="V32" s="74">
        <f>Balance_Sheet!V107+Balance_Sheet!V123</f>
        <v>0</v>
      </c>
      <c r="W32" s="74">
        <f>Balance_Sheet!W107+Balance_Sheet!W123</f>
        <v>0</v>
      </c>
      <c r="X32" s="74">
        <f>Balance_Sheet!X107+Balance_Sheet!X123</f>
        <v>0</v>
      </c>
      <c r="Y32" s="74">
        <f>Balance_Sheet!Y107+Balance_Sheet!Y123</f>
        <v>0</v>
      </c>
      <c r="Z32" s="74">
        <f>Balance_Sheet!Z107+Balance_Sheet!Z123</f>
        <v>0</v>
      </c>
      <c r="AA32" s="74">
        <f>Balance_Sheet!AA107+Balance_Sheet!AA123</f>
        <v>0</v>
      </c>
      <c r="AB32" s="74">
        <f>Balance_Sheet!AB107+Balance_Sheet!AB123</f>
        <v>0</v>
      </c>
      <c r="AC32" s="74">
        <f>Balance_Sheet!AC107+Balance_Sheet!AC123</f>
        <v>0</v>
      </c>
      <c r="AD32" s="74">
        <f>Balance_Sheet!AD107+Balance_Sheet!AD123</f>
        <v>0</v>
      </c>
      <c r="AE32" s="74">
        <f>Balance_Sheet!AE107+Balance_Sheet!AE123</f>
        <v>0</v>
      </c>
      <c r="AF32" s="74">
        <f>Balance_Sheet!AF107+Balance_Sheet!AF123</f>
        <v>0</v>
      </c>
      <c r="AG32" s="74">
        <f>Balance_Sheet!AG107+Balance_Sheet!AG123</f>
        <v>0</v>
      </c>
      <c r="AH32" s="74">
        <f>Balance_Sheet!AH107+Balance_Sheet!AH123</f>
        <v>0</v>
      </c>
      <c r="AJ32" s="24" cm="1">
        <f t="array" aca="1" ref="AJ32" ca="1">SUMPRODUCT(($E32:$AH32)*(AJ$3&amp;AJ$4&amp;AJ$5&amp;AJ$6=$E$3:$AH$3&amp;$E$4:$AH$4&amp;$E$5:$AH$5&amp;$E$6:$AH$6))</f>
        <v>0</v>
      </c>
      <c r="AK32" s="24" cm="1">
        <f t="array" aca="1" ref="AK32" ca="1">SUMPRODUCT(($E32:$AH32)*(AK$3=$E$3:$AH$3)*(AK$4=$E$4:$AH$4)*(AK$5=$E$5:$AH$5)*(AK$6=$E$6:$AH$6))</f>
        <v>0</v>
      </c>
      <c r="AL32" s="24" cm="1">
        <f t="array" aca="1" ref="AL32" ca="1">SUMPRODUCT(($E32:$AH32)*(AL$3=$E$3:$AH$3)*(AL$4=$E$4:$AH$4)*(AL$5=$E$5:$AH$5)*(AL$6=$E$6:$AH$6))</f>
        <v>0</v>
      </c>
      <c r="AM32" s="64" cm="1">
        <f t="array" aca="1" ref="AM32" ca="1">SUMPRODUCT(($E32:$AH32)*(AM$3=$E$3:$AH$3)*(AM$4=$E$4:$AH$4)*(AM$5=$E$5:$AH$5)*(AM$6=$E$6:$AH$6))</f>
        <v>0</v>
      </c>
      <c r="AN32" s="24" cm="1">
        <f t="array" aca="1" ref="AN32" ca="1">SUMPRODUCT(($E32:$AH32)*(AN$3=$E$3:$AH$3)*(AN$4=$E$4:$AH$4)*(AN$5=$E$5:$AH$5)*(AN$6=$E$6:$AH$6))</f>
        <v>0</v>
      </c>
      <c r="AO32" s="24" cm="1">
        <f t="array" aca="1" ref="AO32" ca="1">SUMPRODUCT(($E32:$AH32)*(AO$3=$E$3:$AH$3)*(AO$4=$E$4:$AH$4)*(AO$5=$E$5:$AH$5)*(AO$6=$E$6:$AH$6))</f>
        <v>0</v>
      </c>
      <c r="AP32" s="24" cm="1">
        <f t="array" aca="1" ref="AP32" ca="1">SUMPRODUCT(($E32:$AH32)*(AP$3=$E$3:$AH$3)*(AP$4=$E$4:$AH$4)*(AP$5=$E$5:$AH$5)*(AP$6=$E$6:$AH$6))</f>
        <v>0</v>
      </c>
      <c r="AQ32" s="24" cm="1">
        <f t="array" aca="1" ref="AQ32" ca="1">SUMPRODUCT(($E32:$AH32)*(AQ$3=$E$3:$AH$3)*(AQ$4=$E$4:$AH$4)*(AQ$5=$E$5:$AH$5)*(AQ$6=$E$6:$AH$6))</f>
        <v>0</v>
      </c>
      <c r="AR32" s="24" cm="1">
        <f t="array" aca="1" ref="AR32" ca="1">SUMPRODUCT(($E32:$AH32)*(AR$3=$E$3:$AH$3)*(AR$4=$E$4:$AH$4)*(AR$5=$E$5:$AH$5)*(AR$6=$E$6:$AH$6))</f>
        <v>0</v>
      </c>
      <c r="AS32" s="24" cm="1">
        <f t="array" aca="1" ref="AS32" ca="1">SUMPRODUCT(($E32:$AH32)*(AS$3=$E$3:$AH$3)*(AS$4=$E$4:$AH$4)*(AS$5=$E$5:$AH$5)*(AS$6=$E$6:$AH$6))</f>
        <v>0</v>
      </c>
      <c r="AU32" s="24" cm="1">
        <f t="array" aca="1" ref="AU32" ca="1">SUMPRODUCT(($E32:$AH32)*(AU$5=$E$5:$AH$5))</f>
        <v>0</v>
      </c>
      <c r="AV32" s="24" cm="1">
        <f t="array" aca="1" ref="AV32" ca="1">SUMPRODUCT(($E32:$AH32)*(AV$5=$E$5:$AH$5))</f>
        <v>0</v>
      </c>
      <c r="AW32" s="24" cm="1">
        <f t="array" aca="1" ref="AW32" ca="1">SUMPRODUCT(($E32:$AH32)*(AW$5=$E$5:$AH$5))</f>
        <v>0</v>
      </c>
    </row>
    <row r="33" spans="1:49" x14ac:dyDescent="0.25">
      <c r="B33" t="s">
        <v>231</v>
      </c>
      <c r="C33" s="11" t="s">
        <v>182</v>
      </c>
      <c r="D33" s="11"/>
      <c r="E33" s="14">
        <f>SUM(E29:E30)</f>
        <v>0</v>
      </c>
      <c r="F33" s="21">
        <f t="shared" ref="F33:AW33" si="15">SUM(F29:F30)</f>
        <v>0</v>
      </c>
      <c r="G33" s="21">
        <f t="shared" si="15"/>
        <v>0</v>
      </c>
      <c r="H33" s="21">
        <f t="shared" si="15"/>
        <v>0</v>
      </c>
      <c r="I33" s="21">
        <f t="shared" si="15"/>
        <v>0</v>
      </c>
      <c r="J33" s="21">
        <f t="shared" si="15"/>
        <v>0</v>
      </c>
      <c r="K33" s="21">
        <f t="shared" si="15"/>
        <v>0</v>
      </c>
      <c r="L33" s="21">
        <f t="shared" si="15"/>
        <v>0</v>
      </c>
      <c r="M33" s="21">
        <f t="shared" si="15"/>
        <v>0</v>
      </c>
      <c r="N33" s="21">
        <f t="shared" si="15"/>
        <v>0</v>
      </c>
      <c r="O33" s="21">
        <f t="shared" si="15"/>
        <v>0</v>
      </c>
      <c r="P33" s="22">
        <f t="shared" si="15"/>
        <v>0</v>
      </c>
      <c r="Q33" s="21">
        <f t="shared" si="15"/>
        <v>0</v>
      </c>
      <c r="R33" s="21">
        <f t="shared" si="15"/>
        <v>0</v>
      </c>
      <c r="S33" s="21">
        <f t="shared" si="15"/>
        <v>0</v>
      </c>
      <c r="T33" s="21">
        <f t="shared" si="15"/>
        <v>0</v>
      </c>
      <c r="U33" s="21">
        <f t="shared" si="15"/>
        <v>0</v>
      </c>
      <c r="V33" s="21">
        <f t="shared" si="15"/>
        <v>0</v>
      </c>
      <c r="W33" s="21">
        <f t="shared" si="15"/>
        <v>0</v>
      </c>
      <c r="X33" s="21">
        <f t="shared" si="15"/>
        <v>0</v>
      </c>
      <c r="Y33" s="21">
        <f t="shared" si="15"/>
        <v>0</v>
      </c>
      <c r="Z33" s="21">
        <f t="shared" si="15"/>
        <v>0</v>
      </c>
      <c r="AA33" s="21">
        <f t="shared" si="15"/>
        <v>0</v>
      </c>
      <c r="AB33" s="21">
        <f t="shared" si="15"/>
        <v>0</v>
      </c>
      <c r="AC33" s="21">
        <f t="shared" si="15"/>
        <v>0</v>
      </c>
      <c r="AD33" s="21">
        <f t="shared" si="15"/>
        <v>0</v>
      </c>
      <c r="AE33" s="21">
        <f t="shared" si="15"/>
        <v>0</v>
      </c>
      <c r="AF33" s="21">
        <f t="shared" si="15"/>
        <v>0</v>
      </c>
      <c r="AG33" s="21">
        <f t="shared" si="15"/>
        <v>0</v>
      </c>
      <c r="AH33" s="21">
        <f t="shared" si="15"/>
        <v>0</v>
      </c>
      <c r="AI33" s="11"/>
      <c r="AJ33" s="21">
        <f t="shared" ca="1" si="15"/>
        <v>0</v>
      </c>
      <c r="AK33" s="21">
        <f t="shared" ca="1" si="15"/>
        <v>0</v>
      </c>
      <c r="AL33" s="21">
        <f t="shared" ca="1" si="15"/>
        <v>0</v>
      </c>
      <c r="AM33" s="22">
        <f t="shared" ca="1" si="15"/>
        <v>0</v>
      </c>
      <c r="AN33" s="21">
        <f t="shared" ca="1" si="15"/>
        <v>0</v>
      </c>
      <c r="AO33" s="21">
        <f t="shared" ca="1" si="15"/>
        <v>0</v>
      </c>
      <c r="AP33" s="21">
        <f t="shared" ca="1" si="15"/>
        <v>0</v>
      </c>
      <c r="AQ33" s="21">
        <f t="shared" ca="1" si="15"/>
        <v>0</v>
      </c>
      <c r="AR33" s="21">
        <f t="shared" ca="1" si="15"/>
        <v>0</v>
      </c>
      <c r="AS33" s="21">
        <f t="shared" ca="1" si="15"/>
        <v>0</v>
      </c>
      <c r="AU33" s="21">
        <f t="shared" ca="1" si="15"/>
        <v>0</v>
      </c>
      <c r="AV33" s="21">
        <f t="shared" ca="1" si="15"/>
        <v>0</v>
      </c>
      <c r="AW33" s="21">
        <f t="shared" ca="1" si="15"/>
        <v>0</v>
      </c>
    </row>
    <row r="34" spans="1:49" x14ac:dyDescent="0.25">
      <c r="P34" s="8"/>
      <c r="AM34" s="8"/>
    </row>
    <row r="35" spans="1:49" x14ac:dyDescent="0.25">
      <c r="C35" s="1" t="s">
        <v>180</v>
      </c>
      <c r="E35" s="33">
        <f>Balance_Sheet!E156-Balance_Sheet!E157</f>
        <v>0</v>
      </c>
      <c r="F35" s="33">
        <f>Balance_Sheet!F156-Balance_Sheet!F157</f>
        <v>315</v>
      </c>
      <c r="G35" s="33">
        <f>Balance_Sheet!G156-Balance_Sheet!G157</f>
        <v>0</v>
      </c>
      <c r="H35" s="33">
        <f>Balance_Sheet!H156-Balance_Sheet!H157</f>
        <v>0</v>
      </c>
      <c r="I35" s="33">
        <f>Balance_Sheet!I156-Balance_Sheet!I157</f>
        <v>0</v>
      </c>
      <c r="J35" s="33">
        <f>Balance_Sheet!J156-Balance_Sheet!J157</f>
        <v>-345</v>
      </c>
      <c r="K35" s="33">
        <f>Balance_Sheet!K156-Balance_Sheet!K157</f>
        <v>0</v>
      </c>
      <c r="L35" s="33">
        <f>Balance_Sheet!L156-Balance_Sheet!L157</f>
        <v>0</v>
      </c>
      <c r="M35" s="33">
        <f>Balance_Sheet!M156-Balance_Sheet!M157</f>
        <v>0</v>
      </c>
      <c r="N35" s="33">
        <f>Balance_Sheet!N156-Balance_Sheet!N157</f>
        <v>0</v>
      </c>
      <c r="O35" s="33">
        <f>Balance_Sheet!O156-Balance_Sheet!O157</f>
        <v>20</v>
      </c>
      <c r="P35" s="34">
        <f>Balance_Sheet!P156-Balance_Sheet!P157</f>
        <v>0</v>
      </c>
      <c r="Q35" s="33">
        <f>Balance_Sheet!Q156-Balance_Sheet!Q157</f>
        <v>0</v>
      </c>
      <c r="R35" s="33">
        <f>Balance_Sheet!R156-Balance_Sheet!R157</f>
        <v>0</v>
      </c>
      <c r="S35" s="33">
        <f>Balance_Sheet!S156-Balance_Sheet!S157</f>
        <v>0</v>
      </c>
      <c r="T35" s="33">
        <f>Balance_Sheet!T156-Balance_Sheet!T157</f>
        <v>0</v>
      </c>
      <c r="U35" s="33">
        <f>Balance_Sheet!U156-Balance_Sheet!U157</f>
        <v>0</v>
      </c>
      <c r="V35" s="33">
        <f>Balance_Sheet!V156-Balance_Sheet!V157</f>
        <v>0</v>
      </c>
      <c r="W35" s="33">
        <f>Balance_Sheet!W156-Balance_Sheet!W157</f>
        <v>0</v>
      </c>
      <c r="X35" s="33">
        <f>Balance_Sheet!X156-Balance_Sheet!X157</f>
        <v>0</v>
      </c>
      <c r="Y35" s="33">
        <f>Balance_Sheet!Y156-Balance_Sheet!Y157</f>
        <v>0</v>
      </c>
      <c r="Z35" s="33">
        <f>Balance_Sheet!Z156-Balance_Sheet!Z157</f>
        <v>0</v>
      </c>
      <c r="AA35" s="33">
        <f>Balance_Sheet!AA156-Balance_Sheet!AA157</f>
        <v>0</v>
      </c>
      <c r="AB35" s="33">
        <f>Balance_Sheet!AB156-Balance_Sheet!AB157</f>
        <v>0</v>
      </c>
      <c r="AC35" s="33">
        <f>Balance_Sheet!AC156-Balance_Sheet!AC157</f>
        <v>0</v>
      </c>
      <c r="AD35" s="33">
        <f>Balance_Sheet!AD156-Balance_Sheet!AD157</f>
        <v>0</v>
      </c>
      <c r="AE35" s="33">
        <f>Balance_Sheet!AE156-Balance_Sheet!AE157</f>
        <v>0</v>
      </c>
      <c r="AF35" s="33">
        <f>Balance_Sheet!AF156-Balance_Sheet!AF157</f>
        <v>0</v>
      </c>
      <c r="AG35" s="33">
        <f>Balance_Sheet!AG156-Balance_Sheet!AG157</f>
        <v>0</v>
      </c>
      <c r="AH35" s="33">
        <f>Balance_Sheet!AH156-Balance_Sheet!AH157</f>
        <v>0</v>
      </c>
      <c r="AJ35" s="13" cm="1">
        <f t="array" aca="1" ref="AJ35" ca="1">SUMPRODUCT(($E35:$AH35)*(AJ$3&amp;AJ$4&amp;AJ$5&amp;AJ$6=$E$3:$AH$3&amp;$E$4:$AH$4&amp;$E$5:$AH$5&amp;$E$6:$AH$6))</f>
        <v>315</v>
      </c>
      <c r="AK35" s="13" cm="1">
        <f t="array" aca="1" ref="AK35" ca="1">SUMPRODUCT(($E35:$AH35)*(AK$3=$E$3:$AH$3)*(AK$4=$E$4:$AH$4)*(AK$5=$E$5:$AH$5)*(AK$6=$E$6:$AH$6))</f>
        <v>-345</v>
      </c>
      <c r="AL35" s="13" cm="1">
        <f t="array" aca="1" ref="AL35" ca="1">SUMPRODUCT(($E35:$AH35)*(AL$3=$E$3:$AH$3)*(AL$4=$E$4:$AH$4)*(AL$5=$E$5:$AH$5)*(AL$6=$E$6:$AH$6))</f>
        <v>0</v>
      </c>
      <c r="AM35" s="17" cm="1">
        <f t="array" aca="1" ref="AM35" ca="1">SUMPRODUCT(($E35:$AH35)*(AM$3=$E$3:$AH$3)*(AM$4=$E$4:$AH$4)*(AM$5=$E$5:$AH$5)*(AM$6=$E$6:$AH$6))</f>
        <v>20</v>
      </c>
      <c r="AN35" s="13" cm="1">
        <f t="array" aca="1" ref="AN35" ca="1">SUMPRODUCT(($E35:$AH35)*(AN$3=$E$3:$AH$3)*(AN$4=$E$4:$AH$4)*(AN$5=$E$5:$AH$5)*(AN$6=$E$6:$AH$6))</f>
        <v>0</v>
      </c>
      <c r="AO35" s="13" cm="1">
        <f t="array" aca="1" ref="AO35" ca="1">SUMPRODUCT(($E35:$AH35)*(AO$3=$E$3:$AH$3)*(AO$4=$E$4:$AH$4)*(AO$5=$E$5:$AH$5)*(AO$6=$E$6:$AH$6))</f>
        <v>0</v>
      </c>
      <c r="AP35" s="13" cm="1">
        <f t="array" aca="1" ref="AP35" ca="1">SUMPRODUCT(($E35:$AH35)*(AP$3=$E$3:$AH$3)*(AP$4=$E$4:$AH$4)*(AP$5=$E$5:$AH$5)*(AP$6=$E$6:$AH$6))</f>
        <v>0</v>
      </c>
      <c r="AQ35" s="13" cm="1">
        <f t="array" aca="1" ref="AQ35" ca="1">SUMPRODUCT(($E35:$AH35)*(AQ$3=$E$3:$AH$3)*(AQ$4=$E$4:$AH$4)*(AQ$5=$E$5:$AH$5)*(AQ$6=$E$6:$AH$6))</f>
        <v>0</v>
      </c>
      <c r="AR35" s="13" cm="1">
        <f t="array" aca="1" ref="AR35" ca="1">SUMPRODUCT(($E35:$AH35)*(AR$3=$E$3:$AH$3)*(AR$4=$E$4:$AH$4)*(AR$5=$E$5:$AH$5)*(AR$6=$E$6:$AH$6))</f>
        <v>0</v>
      </c>
      <c r="AS35" s="13" cm="1">
        <f t="array" aca="1" ref="AS35" ca="1">SUMPRODUCT(($E35:$AH35)*(AS$3=$E$3:$AH$3)*(AS$4=$E$4:$AH$4)*(AS$5=$E$5:$AH$5)*(AS$6=$E$6:$AH$6))</f>
        <v>0</v>
      </c>
      <c r="AU35" s="13" cm="1">
        <f t="array" aca="1" ref="AU35" ca="1">SUMPRODUCT(($E35:$AH35)*(AU$5=$E$5:$AH$5))</f>
        <v>-30</v>
      </c>
      <c r="AV35" s="13" cm="1">
        <f t="array" aca="1" ref="AV35" ca="1">SUMPRODUCT(($E35:$AH35)*(AV$5=$E$5:$AH$5))</f>
        <v>20</v>
      </c>
      <c r="AW35" s="13" cm="1">
        <f t="array" aca="1" ref="AW35" ca="1">SUMPRODUCT(($E35:$AH35)*(AW$5=$E$5:$AH$5))</f>
        <v>0</v>
      </c>
    </row>
    <row r="36" spans="1:49" x14ac:dyDescent="0.25">
      <c r="C36" s="1" t="s">
        <v>181</v>
      </c>
      <c r="E36" s="33">
        <f>Balance_Sheet!E171-Balance_Sheet!E172</f>
        <v>0</v>
      </c>
      <c r="F36" s="33">
        <f>Balance_Sheet!F171-Balance_Sheet!F172</f>
        <v>0</v>
      </c>
      <c r="G36" s="33">
        <f>Balance_Sheet!G171-Balance_Sheet!G172</f>
        <v>0</v>
      </c>
      <c r="H36" s="33">
        <f>Balance_Sheet!H171-Balance_Sheet!H172</f>
        <v>0</v>
      </c>
      <c r="I36" s="33">
        <f>Balance_Sheet!I171-Balance_Sheet!I172</f>
        <v>1000</v>
      </c>
      <c r="J36" s="33">
        <f>Balance_Sheet!J171-Balance_Sheet!J172</f>
        <v>-1250</v>
      </c>
      <c r="K36" s="33">
        <f>Balance_Sheet!K171-Balance_Sheet!K172</f>
        <v>0</v>
      </c>
      <c r="L36" s="33">
        <f>Balance_Sheet!L171-Balance_Sheet!L172</f>
        <v>0</v>
      </c>
      <c r="M36" s="33">
        <f>Balance_Sheet!M171-Balance_Sheet!M172</f>
        <v>0</v>
      </c>
      <c r="N36" s="33">
        <f>Balance_Sheet!N171-Balance_Sheet!N172</f>
        <v>0</v>
      </c>
      <c r="O36" s="33">
        <f>Balance_Sheet!O171-Balance_Sheet!O172</f>
        <v>0</v>
      </c>
      <c r="P36" s="34">
        <f>Balance_Sheet!P171-Balance_Sheet!P172</f>
        <v>0</v>
      </c>
      <c r="Q36" s="33">
        <f>Balance_Sheet!Q171-Balance_Sheet!Q172</f>
        <v>0</v>
      </c>
      <c r="R36" s="33">
        <f>Balance_Sheet!R171-Balance_Sheet!R172</f>
        <v>0</v>
      </c>
      <c r="S36" s="33">
        <f>Balance_Sheet!S171-Balance_Sheet!S172</f>
        <v>0</v>
      </c>
      <c r="T36" s="33">
        <f>Balance_Sheet!T171-Balance_Sheet!T172</f>
        <v>0</v>
      </c>
      <c r="U36" s="33">
        <f>Balance_Sheet!U171-Balance_Sheet!U172</f>
        <v>0</v>
      </c>
      <c r="V36" s="33">
        <f>Balance_Sheet!V171-Balance_Sheet!V172</f>
        <v>0</v>
      </c>
      <c r="W36" s="33">
        <f>Balance_Sheet!W171-Balance_Sheet!W172</f>
        <v>0</v>
      </c>
      <c r="X36" s="33">
        <f>Balance_Sheet!X171-Balance_Sheet!X172</f>
        <v>0</v>
      </c>
      <c r="Y36" s="33">
        <f>Balance_Sheet!Y171-Balance_Sheet!Y172</f>
        <v>0</v>
      </c>
      <c r="Z36" s="33">
        <f>Balance_Sheet!Z171-Balance_Sheet!Z172</f>
        <v>0</v>
      </c>
      <c r="AA36" s="33">
        <f>Balance_Sheet!AA171-Balance_Sheet!AA172</f>
        <v>0</v>
      </c>
      <c r="AB36" s="33">
        <f>Balance_Sheet!AB171-Balance_Sheet!AB172</f>
        <v>0</v>
      </c>
      <c r="AC36" s="33">
        <f>Balance_Sheet!AC171-Balance_Sheet!AC172</f>
        <v>0</v>
      </c>
      <c r="AD36" s="33">
        <f>Balance_Sheet!AD171-Balance_Sheet!AD172</f>
        <v>0</v>
      </c>
      <c r="AE36" s="33">
        <f>Balance_Sheet!AE171-Balance_Sheet!AE172</f>
        <v>0</v>
      </c>
      <c r="AF36" s="33">
        <f>Balance_Sheet!AF171-Balance_Sheet!AF172</f>
        <v>0</v>
      </c>
      <c r="AG36" s="33">
        <f>Balance_Sheet!AG171-Balance_Sheet!AG172</f>
        <v>0</v>
      </c>
      <c r="AH36" s="33">
        <f>Balance_Sheet!AH171-Balance_Sheet!AH172</f>
        <v>0</v>
      </c>
      <c r="AJ36" s="13" cm="1">
        <f t="array" aca="1" ref="AJ36" ca="1">SUMPRODUCT(($E36:$AH36)*(AJ$3&amp;AJ$4&amp;AJ$5&amp;AJ$6=$E$3:$AH$3&amp;$E$4:$AH$4&amp;$E$5:$AH$5&amp;$E$6:$AH$6))</f>
        <v>0</v>
      </c>
      <c r="AK36" s="13" cm="1">
        <f t="array" aca="1" ref="AK36" ca="1">SUMPRODUCT(($E36:$AH36)*(AK$3=$E$3:$AH$3)*(AK$4=$E$4:$AH$4)*(AK$5=$E$5:$AH$5)*(AK$6=$E$6:$AH$6))</f>
        <v>-250</v>
      </c>
      <c r="AL36" s="13" cm="1">
        <f t="array" aca="1" ref="AL36" ca="1">SUMPRODUCT(($E36:$AH36)*(AL$3=$E$3:$AH$3)*(AL$4=$E$4:$AH$4)*(AL$5=$E$5:$AH$5)*(AL$6=$E$6:$AH$6))</f>
        <v>0</v>
      </c>
      <c r="AM36" s="17" cm="1">
        <f t="array" aca="1" ref="AM36" ca="1">SUMPRODUCT(($E36:$AH36)*(AM$3=$E$3:$AH$3)*(AM$4=$E$4:$AH$4)*(AM$5=$E$5:$AH$5)*(AM$6=$E$6:$AH$6))</f>
        <v>0</v>
      </c>
      <c r="AN36" s="13" cm="1">
        <f t="array" aca="1" ref="AN36" ca="1">SUMPRODUCT(($E36:$AH36)*(AN$3=$E$3:$AH$3)*(AN$4=$E$4:$AH$4)*(AN$5=$E$5:$AH$5)*(AN$6=$E$6:$AH$6))</f>
        <v>0</v>
      </c>
      <c r="AO36" s="13" cm="1">
        <f t="array" aca="1" ref="AO36" ca="1">SUMPRODUCT(($E36:$AH36)*(AO$3=$E$3:$AH$3)*(AO$4=$E$4:$AH$4)*(AO$5=$E$5:$AH$5)*(AO$6=$E$6:$AH$6))</f>
        <v>0</v>
      </c>
      <c r="AP36" s="13" cm="1">
        <f t="array" aca="1" ref="AP36" ca="1">SUMPRODUCT(($E36:$AH36)*(AP$3=$E$3:$AH$3)*(AP$4=$E$4:$AH$4)*(AP$5=$E$5:$AH$5)*(AP$6=$E$6:$AH$6))</f>
        <v>0</v>
      </c>
      <c r="AQ36" s="13" cm="1">
        <f t="array" aca="1" ref="AQ36" ca="1">SUMPRODUCT(($E36:$AH36)*(AQ$3=$E$3:$AH$3)*(AQ$4=$E$4:$AH$4)*(AQ$5=$E$5:$AH$5)*(AQ$6=$E$6:$AH$6))</f>
        <v>0</v>
      </c>
      <c r="AR36" s="13" cm="1">
        <f t="array" aca="1" ref="AR36" ca="1">SUMPRODUCT(($E36:$AH36)*(AR$3=$E$3:$AH$3)*(AR$4=$E$4:$AH$4)*(AR$5=$E$5:$AH$5)*(AR$6=$E$6:$AH$6))</f>
        <v>0</v>
      </c>
      <c r="AS36" s="13" cm="1">
        <f t="array" aca="1" ref="AS36" ca="1">SUMPRODUCT(($E36:$AH36)*(AS$3=$E$3:$AH$3)*(AS$4=$E$4:$AH$4)*(AS$5=$E$5:$AH$5)*(AS$6=$E$6:$AH$6))</f>
        <v>0</v>
      </c>
      <c r="AU36" s="13" cm="1">
        <f t="array" aca="1" ref="AU36" ca="1">SUMPRODUCT(($E36:$AH36)*(AU$5=$E$5:$AH$5))</f>
        <v>-250</v>
      </c>
      <c r="AV36" s="13" cm="1">
        <f t="array" aca="1" ref="AV36" ca="1">SUMPRODUCT(($E36:$AH36)*(AV$5=$E$5:$AH$5))</f>
        <v>0</v>
      </c>
      <c r="AW36" s="13" cm="1">
        <f t="array" aca="1" ref="AW36" ca="1">SUMPRODUCT(($E36:$AH36)*(AW$5=$E$5:$AH$5))</f>
        <v>0</v>
      </c>
    </row>
    <row r="37" spans="1:49" x14ac:dyDescent="0.25">
      <c r="C37" s="1" t="s">
        <v>183</v>
      </c>
      <c r="E37" s="33">
        <f>Balance_Sheet!E191</f>
        <v>0</v>
      </c>
      <c r="F37" s="33">
        <f>Balance_Sheet!F191</f>
        <v>0</v>
      </c>
      <c r="G37" s="33">
        <f>Balance_Sheet!G191</f>
        <v>0</v>
      </c>
      <c r="H37" s="33">
        <f>Balance_Sheet!H191</f>
        <v>0</v>
      </c>
      <c r="I37" s="33">
        <f>Balance_Sheet!I191</f>
        <v>0</v>
      </c>
      <c r="J37" s="33">
        <f>Balance_Sheet!J191</f>
        <v>0</v>
      </c>
      <c r="K37" s="33">
        <f>Balance_Sheet!K191</f>
        <v>0</v>
      </c>
      <c r="L37" s="33">
        <f>Balance_Sheet!L191</f>
        <v>0</v>
      </c>
      <c r="M37" s="33">
        <f>Balance_Sheet!M191</f>
        <v>0</v>
      </c>
      <c r="N37" s="33">
        <f>Balance_Sheet!N191</f>
        <v>0</v>
      </c>
      <c r="O37" s="33">
        <f>Balance_Sheet!O191</f>
        <v>0</v>
      </c>
      <c r="P37" s="34">
        <f>Balance_Sheet!P191</f>
        <v>0</v>
      </c>
      <c r="Q37" s="33">
        <f>Balance_Sheet!Q191</f>
        <v>0</v>
      </c>
      <c r="R37" s="33">
        <f>Balance_Sheet!R191</f>
        <v>0</v>
      </c>
      <c r="S37" s="33">
        <f>Balance_Sheet!S191</f>
        <v>0</v>
      </c>
      <c r="T37" s="33">
        <f>Balance_Sheet!T191</f>
        <v>0</v>
      </c>
      <c r="U37" s="33">
        <f>Balance_Sheet!U191</f>
        <v>0</v>
      </c>
      <c r="V37" s="33">
        <f>Balance_Sheet!V191</f>
        <v>0</v>
      </c>
      <c r="W37" s="33">
        <f>Balance_Sheet!W191</f>
        <v>0</v>
      </c>
      <c r="X37" s="33">
        <f>Balance_Sheet!X191</f>
        <v>0</v>
      </c>
      <c r="Y37" s="33">
        <f>Balance_Sheet!Y191</f>
        <v>0</v>
      </c>
      <c r="Z37" s="33">
        <f>Balance_Sheet!Z191</f>
        <v>0</v>
      </c>
      <c r="AA37" s="33">
        <f>Balance_Sheet!AA191</f>
        <v>0</v>
      </c>
      <c r="AB37" s="33">
        <f>Balance_Sheet!AB191</f>
        <v>0</v>
      </c>
      <c r="AC37" s="33">
        <f>Balance_Sheet!AC191</f>
        <v>0</v>
      </c>
      <c r="AD37" s="33">
        <f>Balance_Sheet!AD191</f>
        <v>0</v>
      </c>
      <c r="AE37" s="33">
        <f>Balance_Sheet!AE191</f>
        <v>0</v>
      </c>
      <c r="AF37" s="33">
        <f>Balance_Sheet!AF191</f>
        <v>0</v>
      </c>
      <c r="AG37" s="33">
        <f>Balance_Sheet!AG191</f>
        <v>0</v>
      </c>
      <c r="AH37" s="33">
        <f>Balance_Sheet!AH191</f>
        <v>0</v>
      </c>
      <c r="AJ37" s="13" cm="1">
        <f t="array" aca="1" ref="AJ37" ca="1">SUMPRODUCT(($E37:$AH37)*(AJ$3&amp;AJ$4&amp;AJ$5&amp;AJ$6=$E$3:$AH$3&amp;$E$4:$AH$4&amp;$E$5:$AH$5&amp;$E$6:$AH$6))</f>
        <v>0</v>
      </c>
      <c r="AK37" s="13" cm="1">
        <f t="array" aca="1" ref="AK37" ca="1">SUMPRODUCT(($E37:$AH37)*(AK$3=$E$3:$AH$3)*(AK$4=$E$4:$AH$4)*(AK$5=$E$5:$AH$5)*(AK$6=$E$6:$AH$6))</f>
        <v>0</v>
      </c>
      <c r="AL37" s="13" cm="1">
        <f t="array" aca="1" ref="AL37" ca="1">SUMPRODUCT(($E37:$AH37)*(AL$3=$E$3:$AH$3)*(AL$4=$E$4:$AH$4)*(AL$5=$E$5:$AH$5)*(AL$6=$E$6:$AH$6))</f>
        <v>0</v>
      </c>
      <c r="AM37" s="17" cm="1">
        <f t="array" aca="1" ref="AM37" ca="1">SUMPRODUCT(($E37:$AH37)*(AM$3=$E$3:$AH$3)*(AM$4=$E$4:$AH$4)*(AM$5=$E$5:$AH$5)*(AM$6=$E$6:$AH$6))</f>
        <v>0</v>
      </c>
      <c r="AN37" s="13" cm="1">
        <f t="array" aca="1" ref="AN37" ca="1">SUMPRODUCT(($E37:$AH37)*(AN$3=$E$3:$AH$3)*(AN$4=$E$4:$AH$4)*(AN$5=$E$5:$AH$5)*(AN$6=$E$6:$AH$6))</f>
        <v>0</v>
      </c>
      <c r="AO37" s="13" cm="1">
        <f t="array" aca="1" ref="AO37" ca="1">SUMPRODUCT(($E37:$AH37)*(AO$3=$E$3:$AH$3)*(AO$4=$E$4:$AH$4)*(AO$5=$E$5:$AH$5)*(AO$6=$E$6:$AH$6))</f>
        <v>0</v>
      </c>
      <c r="AP37" s="13" cm="1">
        <f t="array" aca="1" ref="AP37" ca="1">SUMPRODUCT(($E37:$AH37)*(AP$3=$E$3:$AH$3)*(AP$4=$E$4:$AH$4)*(AP$5=$E$5:$AH$5)*(AP$6=$E$6:$AH$6))</f>
        <v>0</v>
      </c>
      <c r="AQ37" s="13" cm="1">
        <f t="array" aca="1" ref="AQ37" ca="1">SUMPRODUCT(($E37:$AH37)*(AQ$3=$E$3:$AH$3)*(AQ$4=$E$4:$AH$4)*(AQ$5=$E$5:$AH$5)*(AQ$6=$E$6:$AH$6))</f>
        <v>0</v>
      </c>
      <c r="AR37" s="13" cm="1">
        <f t="array" aca="1" ref="AR37" ca="1">SUMPRODUCT(($E37:$AH37)*(AR$3=$E$3:$AH$3)*(AR$4=$E$4:$AH$4)*(AR$5=$E$5:$AH$5)*(AR$6=$E$6:$AH$6))</f>
        <v>0</v>
      </c>
      <c r="AS37" s="13" cm="1">
        <f t="array" aca="1" ref="AS37" ca="1">SUMPRODUCT(($E37:$AH37)*(AS$3=$E$3:$AH$3)*(AS$4=$E$4:$AH$4)*(AS$5=$E$5:$AH$5)*(AS$6=$E$6:$AH$6))</f>
        <v>0</v>
      </c>
      <c r="AU37" s="13" cm="1">
        <f t="array" aca="1" ref="AU37" ca="1">SUMPRODUCT(($E37:$AH37)*(AU$5=$E$5:$AH$5))</f>
        <v>0</v>
      </c>
      <c r="AV37" s="13" cm="1">
        <f t="array" aca="1" ref="AV37" ca="1">SUMPRODUCT(($E37:$AH37)*(AV$5=$E$5:$AH$5))</f>
        <v>0</v>
      </c>
      <c r="AW37" s="13" cm="1">
        <f t="array" aca="1" ref="AW37" ca="1">SUMPRODUCT(($E37:$AH37)*(AW$5=$E$5:$AH$5))</f>
        <v>0</v>
      </c>
    </row>
    <row r="38" spans="1:49" x14ac:dyDescent="0.25">
      <c r="C38" s="1" t="s">
        <v>184</v>
      </c>
      <c r="E38" s="33">
        <f>-Balance_Sheet!E196+Balance_Sheet!E197</f>
        <v>0</v>
      </c>
      <c r="F38" s="33">
        <f>Balance_Sheet!F196</f>
        <v>0</v>
      </c>
      <c r="G38" s="33">
        <f>Balance_Sheet!G196</f>
        <v>0</v>
      </c>
      <c r="H38" s="33">
        <f>Balance_Sheet!H196</f>
        <v>0</v>
      </c>
      <c r="I38" s="33">
        <f>Balance_Sheet!I196</f>
        <v>0</v>
      </c>
      <c r="J38" s="33">
        <f>Balance_Sheet!J196</f>
        <v>0</v>
      </c>
      <c r="K38" s="33">
        <f>Balance_Sheet!K196</f>
        <v>0</v>
      </c>
      <c r="L38" s="33">
        <f>Balance_Sheet!L196</f>
        <v>0</v>
      </c>
      <c r="M38" s="33">
        <f>Balance_Sheet!M196</f>
        <v>0</v>
      </c>
      <c r="N38" s="33">
        <f>Balance_Sheet!N196</f>
        <v>0</v>
      </c>
      <c r="O38" s="33">
        <f>Balance_Sheet!O196</f>
        <v>0</v>
      </c>
      <c r="P38" s="34">
        <f>Balance_Sheet!P196</f>
        <v>0</v>
      </c>
      <c r="Q38" s="33">
        <f>Balance_Sheet!Q196</f>
        <v>0</v>
      </c>
      <c r="R38" s="33">
        <f>Balance_Sheet!R196</f>
        <v>0</v>
      </c>
      <c r="S38" s="33">
        <f>Balance_Sheet!S196</f>
        <v>0</v>
      </c>
      <c r="T38" s="33">
        <f>Balance_Sheet!T196</f>
        <v>0</v>
      </c>
      <c r="U38" s="33">
        <f>Balance_Sheet!U196</f>
        <v>0</v>
      </c>
      <c r="V38" s="33">
        <f>Balance_Sheet!V196</f>
        <v>0</v>
      </c>
      <c r="W38" s="33">
        <f>Balance_Sheet!W196</f>
        <v>0</v>
      </c>
      <c r="X38" s="33">
        <f>Balance_Sheet!X196</f>
        <v>0</v>
      </c>
      <c r="Y38" s="33">
        <f>Balance_Sheet!Y196</f>
        <v>0</v>
      </c>
      <c r="Z38" s="33">
        <f>Balance_Sheet!Z196</f>
        <v>0</v>
      </c>
      <c r="AA38" s="33">
        <f>Balance_Sheet!AA196</f>
        <v>0</v>
      </c>
      <c r="AB38" s="33">
        <f>Balance_Sheet!AB196</f>
        <v>0</v>
      </c>
      <c r="AC38" s="33">
        <f>Balance_Sheet!AC196</f>
        <v>0</v>
      </c>
      <c r="AD38" s="33">
        <f>Balance_Sheet!AD196</f>
        <v>0</v>
      </c>
      <c r="AE38" s="33">
        <f>Balance_Sheet!AE196</f>
        <v>0</v>
      </c>
      <c r="AF38" s="33">
        <f>Balance_Sheet!AF196</f>
        <v>0</v>
      </c>
      <c r="AG38" s="33">
        <f>Balance_Sheet!AG196</f>
        <v>0</v>
      </c>
      <c r="AH38" s="33">
        <f>Balance_Sheet!AH196</f>
        <v>0</v>
      </c>
      <c r="AJ38" s="13" cm="1">
        <f t="array" aca="1" ref="AJ38" ca="1">SUMPRODUCT(($E38:$AH38)*(AJ$3&amp;AJ$4&amp;AJ$5&amp;AJ$6=$E$3:$AH$3&amp;$E$4:$AH$4&amp;$E$5:$AH$5&amp;$E$6:$AH$6))</f>
        <v>0</v>
      </c>
      <c r="AK38" s="13" cm="1">
        <f t="array" aca="1" ref="AK38" ca="1">SUMPRODUCT(($E38:$AH38)*(AK$3=$E$3:$AH$3)*(AK$4=$E$4:$AH$4)*(AK$5=$E$5:$AH$5)*(AK$6=$E$6:$AH$6))</f>
        <v>0</v>
      </c>
      <c r="AL38" s="13" cm="1">
        <f t="array" aca="1" ref="AL38" ca="1">SUMPRODUCT(($E38:$AH38)*(AL$3=$E$3:$AH$3)*(AL$4=$E$4:$AH$4)*(AL$5=$E$5:$AH$5)*(AL$6=$E$6:$AH$6))</f>
        <v>0</v>
      </c>
      <c r="AM38" s="17" cm="1">
        <f t="array" aca="1" ref="AM38" ca="1">SUMPRODUCT(($E38:$AH38)*(AM$3=$E$3:$AH$3)*(AM$4=$E$4:$AH$4)*(AM$5=$E$5:$AH$5)*(AM$6=$E$6:$AH$6))</f>
        <v>0</v>
      </c>
      <c r="AN38" s="13" cm="1">
        <f t="array" aca="1" ref="AN38" ca="1">SUMPRODUCT(($E38:$AH38)*(AN$3=$E$3:$AH$3)*(AN$4=$E$4:$AH$4)*(AN$5=$E$5:$AH$5)*(AN$6=$E$6:$AH$6))</f>
        <v>0</v>
      </c>
      <c r="AO38" s="13" cm="1">
        <f t="array" aca="1" ref="AO38" ca="1">SUMPRODUCT(($E38:$AH38)*(AO$3=$E$3:$AH$3)*(AO$4=$E$4:$AH$4)*(AO$5=$E$5:$AH$5)*(AO$6=$E$6:$AH$6))</f>
        <v>0</v>
      </c>
      <c r="AP38" s="13" cm="1">
        <f t="array" aca="1" ref="AP38" ca="1">SUMPRODUCT(($E38:$AH38)*(AP$3=$E$3:$AH$3)*(AP$4=$E$4:$AH$4)*(AP$5=$E$5:$AH$5)*(AP$6=$E$6:$AH$6))</f>
        <v>0</v>
      </c>
      <c r="AQ38" s="13" cm="1">
        <f t="array" aca="1" ref="AQ38" ca="1">SUMPRODUCT(($E38:$AH38)*(AQ$3=$E$3:$AH$3)*(AQ$4=$E$4:$AH$4)*(AQ$5=$E$5:$AH$5)*(AQ$6=$E$6:$AH$6))</f>
        <v>0</v>
      </c>
      <c r="AR38" s="13" cm="1">
        <f t="array" aca="1" ref="AR38" ca="1">SUMPRODUCT(($E38:$AH38)*(AR$3=$E$3:$AH$3)*(AR$4=$E$4:$AH$4)*(AR$5=$E$5:$AH$5)*(AR$6=$E$6:$AH$6))</f>
        <v>0</v>
      </c>
      <c r="AS38" s="13" cm="1">
        <f t="array" aca="1" ref="AS38" ca="1">SUMPRODUCT(($E38:$AH38)*(AS$3=$E$3:$AH$3)*(AS$4=$E$4:$AH$4)*(AS$5=$E$5:$AH$5)*(AS$6=$E$6:$AH$6))</f>
        <v>0</v>
      </c>
      <c r="AU38" s="13" cm="1">
        <f t="array" aca="1" ref="AU38" ca="1">SUMPRODUCT(($E38:$AH38)*(AU$5=$E$5:$AH$5))</f>
        <v>0</v>
      </c>
      <c r="AV38" s="13" cm="1">
        <f t="array" aca="1" ref="AV38" ca="1">SUMPRODUCT(($E38:$AH38)*(AV$5=$E$5:$AH$5))</f>
        <v>0</v>
      </c>
      <c r="AW38" s="13" cm="1">
        <f t="array" aca="1" ref="AW38" ca="1">SUMPRODUCT(($E38:$AH38)*(AW$5=$E$5:$AH$5))</f>
        <v>0</v>
      </c>
    </row>
    <row r="39" spans="1:49" x14ac:dyDescent="0.25">
      <c r="C39" s="23" t="s">
        <v>185</v>
      </c>
      <c r="D39" s="27"/>
      <c r="E39" s="74">
        <f>Balance_Sheet!E203</f>
        <v>0</v>
      </c>
      <c r="F39" s="74">
        <f>Balance_Sheet!F203</f>
        <v>0</v>
      </c>
      <c r="G39" s="74">
        <f>Balance_Sheet!G203</f>
        <v>0</v>
      </c>
      <c r="H39" s="74">
        <f>Balance_Sheet!H203</f>
        <v>0</v>
      </c>
      <c r="I39" s="74">
        <f>Balance_Sheet!I203</f>
        <v>0</v>
      </c>
      <c r="J39" s="74">
        <f>Balance_Sheet!J203</f>
        <v>0</v>
      </c>
      <c r="K39" s="74">
        <f>Balance_Sheet!K203</f>
        <v>0</v>
      </c>
      <c r="L39" s="74">
        <f>Balance_Sheet!L203</f>
        <v>0</v>
      </c>
      <c r="M39" s="74">
        <f>Balance_Sheet!M203</f>
        <v>0</v>
      </c>
      <c r="N39" s="74">
        <f>Balance_Sheet!N203</f>
        <v>0</v>
      </c>
      <c r="O39" s="74">
        <f>Balance_Sheet!O203</f>
        <v>0</v>
      </c>
      <c r="P39" s="75">
        <f>Balance_Sheet!P203</f>
        <v>0</v>
      </c>
      <c r="Q39" s="74">
        <f>Balance_Sheet!Q203</f>
        <v>0</v>
      </c>
      <c r="R39" s="74">
        <f>Balance_Sheet!R203</f>
        <v>0</v>
      </c>
      <c r="S39" s="74">
        <f>Balance_Sheet!S203</f>
        <v>0</v>
      </c>
      <c r="T39" s="74">
        <f>Balance_Sheet!T203</f>
        <v>0</v>
      </c>
      <c r="U39" s="74">
        <f>Balance_Sheet!U203</f>
        <v>0</v>
      </c>
      <c r="V39" s="74">
        <f>Balance_Sheet!V203</f>
        <v>0</v>
      </c>
      <c r="W39" s="74">
        <f>Balance_Sheet!W203</f>
        <v>0</v>
      </c>
      <c r="X39" s="74">
        <f>Balance_Sheet!X203</f>
        <v>0</v>
      </c>
      <c r="Y39" s="74">
        <f>Balance_Sheet!Y203</f>
        <v>0</v>
      </c>
      <c r="Z39" s="74">
        <f>Balance_Sheet!Z203</f>
        <v>0</v>
      </c>
      <c r="AA39" s="74">
        <f>Balance_Sheet!AA203</f>
        <v>0</v>
      </c>
      <c r="AB39" s="74">
        <f>Balance_Sheet!AB203</f>
        <v>0</v>
      </c>
      <c r="AC39" s="74">
        <f>Balance_Sheet!AC203</f>
        <v>0</v>
      </c>
      <c r="AD39" s="74">
        <f>Balance_Sheet!AD203</f>
        <v>0</v>
      </c>
      <c r="AE39" s="74">
        <f>Balance_Sheet!AE203</f>
        <v>0</v>
      </c>
      <c r="AF39" s="74">
        <f>Balance_Sheet!AF203</f>
        <v>0</v>
      </c>
      <c r="AG39" s="74">
        <f>Balance_Sheet!AG203</f>
        <v>0</v>
      </c>
      <c r="AH39" s="74">
        <f>Balance_Sheet!AH203</f>
        <v>0</v>
      </c>
      <c r="AJ39" s="24" cm="1">
        <f t="array" aca="1" ref="AJ39" ca="1">SUMPRODUCT(($E39:$AH39)*(AJ$3&amp;AJ$4&amp;AJ$5&amp;AJ$6=$E$3:$AH$3&amp;$E$4:$AH$4&amp;$E$5:$AH$5&amp;$E$6:$AH$6))</f>
        <v>0</v>
      </c>
      <c r="AK39" s="24" cm="1">
        <f t="array" aca="1" ref="AK39" ca="1">SUMPRODUCT(($E39:$AH39)*(AK$3=$E$3:$AH$3)*(AK$4=$E$4:$AH$4)*(AK$5=$E$5:$AH$5)*(AK$6=$E$6:$AH$6))</f>
        <v>0</v>
      </c>
      <c r="AL39" s="24" cm="1">
        <f t="array" aca="1" ref="AL39" ca="1">SUMPRODUCT(($E39:$AH39)*(AL$3=$E$3:$AH$3)*(AL$4=$E$4:$AH$4)*(AL$5=$E$5:$AH$5)*(AL$6=$E$6:$AH$6))</f>
        <v>0</v>
      </c>
      <c r="AM39" s="64" cm="1">
        <f t="array" aca="1" ref="AM39" ca="1">SUMPRODUCT(($E39:$AH39)*(AM$3=$E$3:$AH$3)*(AM$4=$E$4:$AH$4)*(AM$5=$E$5:$AH$5)*(AM$6=$E$6:$AH$6))</f>
        <v>0</v>
      </c>
      <c r="AN39" s="24" cm="1">
        <f t="array" aca="1" ref="AN39" ca="1">SUMPRODUCT(($E39:$AH39)*(AN$3=$E$3:$AH$3)*(AN$4=$E$4:$AH$4)*(AN$5=$E$5:$AH$5)*(AN$6=$E$6:$AH$6))</f>
        <v>0</v>
      </c>
      <c r="AO39" s="24" cm="1">
        <f t="array" aca="1" ref="AO39" ca="1">SUMPRODUCT(($E39:$AH39)*(AO$3=$E$3:$AH$3)*(AO$4=$E$4:$AH$4)*(AO$5=$E$5:$AH$5)*(AO$6=$E$6:$AH$6))</f>
        <v>0</v>
      </c>
      <c r="AP39" s="24" cm="1">
        <f t="array" aca="1" ref="AP39" ca="1">SUMPRODUCT(($E39:$AH39)*(AP$3=$E$3:$AH$3)*(AP$4=$E$4:$AH$4)*(AP$5=$E$5:$AH$5)*(AP$6=$E$6:$AH$6))</f>
        <v>0</v>
      </c>
      <c r="AQ39" s="24" cm="1">
        <f t="array" aca="1" ref="AQ39" ca="1">SUMPRODUCT(($E39:$AH39)*(AQ$3=$E$3:$AH$3)*(AQ$4=$E$4:$AH$4)*(AQ$5=$E$5:$AH$5)*(AQ$6=$E$6:$AH$6))</f>
        <v>0</v>
      </c>
      <c r="AR39" s="24" cm="1">
        <f t="array" aca="1" ref="AR39" ca="1">SUMPRODUCT(($E39:$AH39)*(AR$3=$E$3:$AH$3)*(AR$4=$E$4:$AH$4)*(AR$5=$E$5:$AH$5)*(AR$6=$E$6:$AH$6))</f>
        <v>0</v>
      </c>
      <c r="AS39" s="24" cm="1">
        <f t="array" aca="1" ref="AS39" ca="1">SUMPRODUCT(($E39:$AH39)*(AS$3=$E$3:$AH$3)*(AS$4=$E$4:$AH$4)*(AS$5=$E$5:$AH$5)*(AS$6=$E$6:$AH$6))</f>
        <v>0</v>
      </c>
      <c r="AU39" s="24" cm="1">
        <f t="array" aca="1" ref="AU39" ca="1">SUMPRODUCT(($E39:$AH39)*(AU$5=$E$5:$AH$5))</f>
        <v>0</v>
      </c>
      <c r="AV39" s="24" cm="1">
        <f t="array" aca="1" ref="AV39" ca="1">SUMPRODUCT(($E39:$AH39)*(AV$5=$E$5:$AH$5))</f>
        <v>0</v>
      </c>
      <c r="AW39" s="24" cm="1">
        <f t="array" aca="1" ref="AW39" ca="1">SUMPRODUCT(($E39:$AH39)*(AW$5=$E$5:$AH$5))</f>
        <v>0</v>
      </c>
    </row>
    <row r="40" spans="1:49" x14ac:dyDescent="0.25">
      <c r="B40" t="s">
        <v>231</v>
      </c>
      <c r="C40" s="11" t="s">
        <v>187</v>
      </c>
      <c r="D40" s="11"/>
      <c r="E40" s="14">
        <f>SUM(E35:E39)</f>
        <v>0</v>
      </c>
      <c r="F40" s="21">
        <f t="shared" ref="F40:AH40" si="16">SUM(F35:F39)</f>
        <v>315</v>
      </c>
      <c r="G40" s="21">
        <f t="shared" si="16"/>
        <v>0</v>
      </c>
      <c r="H40" s="21">
        <f t="shared" si="16"/>
        <v>0</v>
      </c>
      <c r="I40" s="21">
        <f t="shared" si="16"/>
        <v>1000</v>
      </c>
      <c r="J40" s="21">
        <f t="shared" si="16"/>
        <v>-1595</v>
      </c>
      <c r="K40" s="21">
        <f t="shared" si="16"/>
        <v>0</v>
      </c>
      <c r="L40" s="21">
        <f t="shared" si="16"/>
        <v>0</v>
      </c>
      <c r="M40" s="21">
        <f t="shared" si="16"/>
        <v>0</v>
      </c>
      <c r="N40" s="21">
        <f t="shared" si="16"/>
        <v>0</v>
      </c>
      <c r="O40" s="21">
        <f t="shared" si="16"/>
        <v>20</v>
      </c>
      <c r="P40" s="22">
        <f t="shared" si="16"/>
        <v>0</v>
      </c>
      <c r="Q40" s="21">
        <f t="shared" si="16"/>
        <v>0</v>
      </c>
      <c r="R40" s="21">
        <f t="shared" si="16"/>
        <v>0</v>
      </c>
      <c r="S40" s="21">
        <f t="shared" si="16"/>
        <v>0</v>
      </c>
      <c r="T40" s="21">
        <f t="shared" si="16"/>
        <v>0</v>
      </c>
      <c r="U40" s="21">
        <f t="shared" si="16"/>
        <v>0</v>
      </c>
      <c r="V40" s="21">
        <f t="shared" si="16"/>
        <v>0</v>
      </c>
      <c r="W40" s="21">
        <f t="shared" si="16"/>
        <v>0</v>
      </c>
      <c r="X40" s="21">
        <f t="shared" si="16"/>
        <v>0</v>
      </c>
      <c r="Y40" s="21">
        <f t="shared" si="16"/>
        <v>0</v>
      </c>
      <c r="Z40" s="21">
        <f t="shared" si="16"/>
        <v>0</v>
      </c>
      <c r="AA40" s="21">
        <f t="shared" si="16"/>
        <v>0</v>
      </c>
      <c r="AB40" s="21">
        <f t="shared" si="16"/>
        <v>0</v>
      </c>
      <c r="AC40" s="21">
        <f t="shared" si="16"/>
        <v>0</v>
      </c>
      <c r="AD40" s="21">
        <f t="shared" si="16"/>
        <v>0</v>
      </c>
      <c r="AE40" s="21">
        <f t="shared" si="16"/>
        <v>0</v>
      </c>
      <c r="AF40" s="21">
        <f t="shared" si="16"/>
        <v>0</v>
      </c>
      <c r="AG40" s="21">
        <f t="shared" si="16"/>
        <v>0</v>
      </c>
      <c r="AH40" s="21">
        <f t="shared" si="16"/>
        <v>0</v>
      </c>
      <c r="AI40" s="11"/>
      <c r="AJ40" s="21">
        <f t="shared" ref="AJ40:AW40" ca="1" si="17">SUM(AJ35:AJ39)</f>
        <v>315</v>
      </c>
      <c r="AK40" s="21">
        <f t="shared" ca="1" si="17"/>
        <v>-595</v>
      </c>
      <c r="AL40" s="21">
        <f t="shared" ca="1" si="17"/>
        <v>0</v>
      </c>
      <c r="AM40" s="22">
        <f t="shared" ca="1" si="17"/>
        <v>20</v>
      </c>
      <c r="AN40" s="21">
        <f t="shared" ca="1" si="17"/>
        <v>0</v>
      </c>
      <c r="AO40" s="21">
        <f t="shared" ca="1" si="17"/>
        <v>0</v>
      </c>
      <c r="AP40" s="21">
        <f t="shared" ca="1" si="17"/>
        <v>0</v>
      </c>
      <c r="AQ40" s="21">
        <f t="shared" ca="1" si="17"/>
        <v>0</v>
      </c>
      <c r="AR40" s="21">
        <f t="shared" ca="1" si="17"/>
        <v>0</v>
      </c>
      <c r="AS40" s="21">
        <f t="shared" ca="1" si="17"/>
        <v>0</v>
      </c>
      <c r="AU40" s="21">
        <f t="shared" ca="1" si="17"/>
        <v>-280</v>
      </c>
      <c r="AV40" s="21">
        <f t="shared" ca="1" si="17"/>
        <v>20</v>
      </c>
      <c r="AW40" s="21">
        <f t="shared" ca="1" si="17"/>
        <v>0</v>
      </c>
    </row>
    <row r="41" spans="1:49" x14ac:dyDescent="0.25">
      <c r="P41" s="8"/>
      <c r="AM41" s="8"/>
    </row>
    <row r="42" spans="1:49" ht="15.75" thickBot="1" x14ac:dyDescent="0.3">
      <c r="B42" t="s">
        <v>231</v>
      </c>
      <c r="C42" s="50" t="s">
        <v>188</v>
      </c>
      <c r="D42" s="53"/>
      <c r="E42" s="359">
        <f t="shared" ref="E42:AH42" si="18">E27+E33+E40</f>
        <v>-155.25372102412547</v>
      </c>
      <c r="F42" s="51">
        <f t="shared" si="18"/>
        <v>63.133185275673895</v>
      </c>
      <c r="G42" s="51">
        <f t="shared" si="18"/>
        <v>-395.88963916346086</v>
      </c>
      <c r="H42" s="51">
        <f t="shared" si="18"/>
        <v>-131.41293780275237</v>
      </c>
      <c r="I42" s="51">
        <f t="shared" si="18"/>
        <v>1160.1542563990809</v>
      </c>
      <c r="J42" s="51">
        <f t="shared" si="18"/>
        <v>-1686.3390030562232</v>
      </c>
      <c r="K42" s="51">
        <f t="shared" si="18"/>
        <v>410.3960065797267</v>
      </c>
      <c r="L42" s="51">
        <f t="shared" si="18"/>
        <v>-197.20232824292174</v>
      </c>
      <c r="M42" s="51">
        <f t="shared" si="18"/>
        <v>316.4836639150019</v>
      </c>
      <c r="N42" s="51">
        <f t="shared" si="18"/>
        <v>-534.23292835972688</v>
      </c>
      <c r="O42" s="51">
        <f t="shared" si="18"/>
        <v>300.52452139795395</v>
      </c>
      <c r="P42" s="52">
        <f t="shared" si="18"/>
        <v>-210.03541838593202</v>
      </c>
      <c r="Q42" s="51">
        <f t="shared" si="18"/>
        <v>232.68170984850599</v>
      </c>
      <c r="R42" s="51">
        <f t="shared" si="18"/>
        <v>-348.97403152431144</v>
      </c>
      <c r="S42" s="51">
        <f t="shared" si="18"/>
        <v>86.206754027151021</v>
      </c>
      <c r="T42" s="51">
        <f t="shared" si="18"/>
        <v>-154.1345586929686</v>
      </c>
      <c r="U42" s="51">
        <f t="shared" si="18"/>
        <v>-48.034215399430565</v>
      </c>
      <c r="V42" s="51">
        <f t="shared" si="18"/>
        <v>-138.2837667108285</v>
      </c>
      <c r="W42" s="51">
        <f t="shared" si="18"/>
        <v>339.90883451084574</v>
      </c>
      <c r="X42" s="51">
        <f t="shared" si="18"/>
        <v>467.95861833720346</v>
      </c>
      <c r="Y42" s="51">
        <f t="shared" si="18"/>
        <v>333.74901399960549</v>
      </c>
      <c r="Z42" s="51">
        <f t="shared" si="18"/>
        <v>-815.72493940350296</v>
      </c>
      <c r="AA42" s="51">
        <f t="shared" si="18"/>
        <v>178.46701865264743</v>
      </c>
      <c r="AB42" s="51">
        <f t="shared" si="18"/>
        <v>483.12564459032097</v>
      </c>
      <c r="AC42" s="51">
        <f t="shared" si="18"/>
        <v>466.09414141947599</v>
      </c>
      <c r="AD42" s="51">
        <f t="shared" si="18"/>
        <v>-291.48459615365908</v>
      </c>
      <c r="AE42" s="51">
        <f t="shared" si="18"/>
        <v>132.61927239408197</v>
      </c>
      <c r="AF42" s="51">
        <f t="shared" si="18"/>
        <v>-132.87967165383787</v>
      </c>
      <c r="AG42" s="51">
        <f t="shared" si="18"/>
        <v>7.7410029095391195</v>
      </c>
      <c r="AH42" s="51">
        <f t="shared" si="18"/>
        <v>-145.09324376350116</v>
      </c>
      <c r="AI42" s="11"/>
      <c r="AJ42" s="51">
        <f t="shared" ref="AJ42:AW42" ca="1" si="19">AJ27+AJ33+AJ40</f>
        <v>-488.01017491191237</v>
      </c>
      <c r="AK42" s="51">
        <f t="shared" ca="1" si="19"/>
        <v>-657.59768445989471</v>
      </c>
      <c r="AL42" s="51">
        <f t="shared" ca="1" si="19"/>
        <v>529.67734225180686</v>
      </c>
      <c r="AM42" s="52">
        <f t="shared" ca="1" si="19"/>
        <v>-443.74382534770507</v>
      </c>
      <c r="AN42" s="51">
        <f t="shared" ca="1" si="19"/>
        <v>-30.085567648654319</v>
      </c>
      <c r="AO42" s="51">
        <f t="shared" ca="1" si="19"/>
        <v>-340.45254080322769</v>
      </c>
      <c r="AP42" s="51">
        <f t="shared" ca="1" si="19"/>
        <v>1141.6164668476547</v>
      </c>
      <c r="AQ42" s="51">
        <f t="shared" ca="1" si="19"/>
        <v>-154.13227616053462</v>
      </c>
      <c r="AR42" s="51">
        <f t="shared" ca="1" si="19"/>
        <v>307.22881765989877</v>
      </c>
      <c r="AS42" s="51">
        <f t="shared" ca="1" si="19"/>
        <v>-270.2319125077999</v>
      </c>
      <c r="AU42" s="51">
        <f t="shared" ca="1" si="19"/>
        <v>-1145.6078593718073</v>
      </c>
      <c r="AV42" s="51">
        <f t="shared" ca="1" si="19"/>
        <v>-284.60459154777999</v>
      </c>
      <c r="AW42" s="51">
        <f t="shared" ca="1" si="19"/>
        <v>1024.4810958392191</v>
      </c>
    </row>
    <row r="43" spans="1:49" ht="15.75" thickTop="1" x14ac:dyDescent="0.25">
      <c r="P43" s="8"/>
      <c r="AM43" s="8"/>
    </row>
    <row r="44" spans="1:49" x14ac:dyDescent="0.25">
      <c r="C44" t="s">
        <v>189</v>
      </c>
      <c r="E44" s="33">
        <f>Balance_Sheet!D51</f>
        <v>4049.3515067609414</v>
      </c>
      <c r="F44" s="33">
        <f>Balance_Sheet!E51</f>
        <v>3894.0977857368161</v>
      </c>
      <c r="G44" s="33">
        <f>Balance_Sheet!F51</f>
        <v>3957.23097101249</v>
      </c>
      <c r="H44" s="33">
        <f>Balance_Sheet!G51</f>
        <v>3561.3413318490293</v>
      </c>
      <c r="I44" s="33">
        <f>Balance_Sheet!H51</f>
        <v>3429.9283940462769</v>
      </c>
      <c r="J44" s="33">
        <f>Balance_Sheet!I51</f>
        <v>4590.082650445358</v>
      </c>
      <c r="K44" s="33">
        <f>Balance_Sheet!J51</f>
        <v>2903.7436473891348</v>
      </c>
      <c r="L44" s="33">
        <f>Balance_Sheet!K51</f>
        <v>3314.1396539688617</v>
      </c>
      <c r="M44" s="33">
        <f>Balance_Sheet!L51</f>
        <v>3116.9373257259399</v>
      </c>
      <c r="N44" s="33">
        <f>Balance_Sheet!M51</f>
        <v>3433.420989640942</v>
      </c>
      <c r="O44" s="33">
        <f>Balance_Sheet!N51</f>
        <v>2899.1880612812151</v>
      </c>
      <c r="P44" s="34">
        <f>Balance_Sheet!O51</f>
        <v>3199.7125826791689</v>
      </c>
      <c r="Q44" s="33">
        <f>Balance_Sheet!P51</f>
        <v>2989.6771642932367</v>
      </c>
      <c r="R44" s="33">
        <f>Balance_Sheet!Q51</f>
        <v>3222.3588741417425</v>
      </c>
      <c r="S44" s="33">
        <f>Balance_Sheet!R51</f>
        <v>2873.3848426174309</v>
      </c>
      <c r="T44" s="33">
        <f>Balance_Sheet!S51</f>
        <v>2959.5915966445818</v>
      </c>
      <c r="U44" s="33">
        <f>Balance_Sheet!T51</f>
        <v>2805.4570379516131</v>
      </c>
      <c r="V44" s="33">
        <f>Balance_Sheet!U51</f>
        <v>2757.4228225521824</v>
      </c>
      <c r="W44" s="33">
        <f>Balance_Sheet!V51</f>
        <v>2619.1390558413541</v>
      </c>
      <c r="X44" s="33">
        <f>Balance_Sheet!W51</f>
        <v>2959.0478903521998</v>
      </c>
      <c r="Y44" s="33">
        <f>Balance_Sheet!X51</f>
        <v>3427.0065086894033</v>
      </c>
      <c r="Z44" s="33">
        <f>Balance_Sheet!Y51</f>
        <v>3760.755522689009</v>
      </c>
      <c r="AA44" s="33">
        <f>Balance_Sheet!Z51</f>
        <v>2945.0305832855061</v>
      </c>
      <c r="AB44" s="33">
        <f>Balance_Sheet!AA51</f>
        <v>3123.4976019381534</v>
      </c>
      <c r="AC44" s="33">
        <f>Balance_Sheet!AB51</f>
        <v>3606.6232465284743</v>
      </c>
      <c r="AD44" s="33">
        <f>Balance_Sheet!AC51</f>
        <v>4072.7173879479501</v>
      </c>
      <c r="AE44" s="33">
        <f>Balance_Sheet!AD51</f>
        <v>3781.2327917942912</v>
      </c>
      <c r="AF44" s="33">
        <f>Balance_Sheet!AE51</f>
        <v>3913.8520641883733</v>
      </c>
      <c r="AG44" s="33">
        <f>Balance_Sheet!AF51</f>
        <v>3780.9723925345356</v>
      </c>
      <c r="AH44" s="33">
        <f>Balance_Sheet!AG51</f>
        <v>3788.7133954440746</v>
      </c>
      <c r="AJ44" s="13">
        <f ca="1">AJ45-AJ42</f>
        <v>4049.3515067609414</v>
      </c>
      <c r="AK44" s="13">
        <f t="shared" ref="AK44:AS44" ca="1" si="20">AK45-AK42</f>
        <v>3561.3413318490293</v>
      </c>
      <c r="AL44" s="13">
        <f t="shared" ca="1" si="20"/>
        <v>2903.7436473891353</v>
      </c>
      <c r="AM44" s="17">
        <f t="shared" ca="1" si="20"/>
        <v>3433.420989640942</v>
      </c>
      <c r="AN44" s="13">
        <f t="shared" ca="1" si="20"/>
        <v>2989.6771642932363</v>
      </c>
      <c r="AO44" s="13">
        <f t="shared" ca="1" si="20"/>
        <v>2959.5915966445818</v>
      </c>
      <c r="AP44" s="13">
        <f t="shared" ca="1" si="20"/>
        <v>2619.1390558413541</v>
      </c>
      <c r="AQ44" s="13">
        <f t="shared" ca="1" si="20"/>
        <v>3760.755522689009</v>
      </c>
      <c r="AR44" s="13">
        <f t="shared" ca="1" si="20"/>
        <v>3606.6232465284747</v>
      </c>
      <c r="AS44" s="13">
        <f t="shared" ca="1" si="20"/>
        <v>3913.8520641883733</v>
      </c>
      <c r="AU44" s="13">
        <f t="shared" ref="AU44" ca="1" si="21">AU45-AU42</f>
        <v>4049.3515067609424</v>
      </c>
      <c r="AV44" s="13">
        <f t="shared" ref="AV44" ca="1" si="22">AV45-AV42</f>
        <v>2903.7436473891339</v>
      </c>
      <c r="AW44" s="13">
        <f t="shared" ref="AW44" ca="1" si="23">AW45-AW42</f>
        <v>2619.1390558413545</v>
      </c>
    </row>
    <row r="45" spans="1:49" x14ac:dyDescent="0.25">
      <c r="C45" t="s">
        <v>190</v>
      </c>
      <c r="E45" s="13">
        <f>E42+E44</f>
        <v>3894.0977857368161</v>
      </c>
      <c r="F45" s="15">
        <f t="shared" ref="F45:AH45" si="24">F42+F44</f>
        <v>3957.23097101249</v>
      </c>
      <c r="G45" s="15">
        <f t="shared" si="24"/>
        <v>3561.3413318490293</v>
      </c>
      <c r="H45" s="15">
        <f t="shared" si="24"/>
        <v>3429.9283940462769</v>
      </c>
      <c r="I45" s="15">
        <f t="shared" si="24"/>
        <v>4590.082650445358</v>
      </c>
      <c r="J45" s="15">
        <f t="shared" si="24"/>
        <v>2903.7436473891348</v>
      </c>
      <c r="K45" s="15">
        <f t="shared" si="24"/>
        <v>3314.1396539688617</v>
      </c>
      <c r="L45" s="15">
        <f t="shared" si="24"/>
        <v>3116.9373257259399</v>
      </c>
      <c r="M45" s="15">
        <f t="shared" si="24"/>
        <v>3433.420989640942</v>
      </c>
      <c r="N45" s="15">
        <f t="shared" si="24"/>
        <v>2899.1880612812151</v>
      </c>
      <c r="O45" s="15">
        <f t="shared" si="24"/>
        <v>3199.7125826791689</v>
      </c>
      <c r="P45" s="16">
        <f t="shared" si="24"/>
        <v>2989.6771642932367</v>
      </c>
      <c r="Q45" s="15">
        <f t="shared" si="24"/>
        <v>3222.3588741417425</v>
      </c>
      <c r="R45" s="15">
        <f t="shared" si="24"/>
        <v>2873.3848426174309</v>
      </c>
      <c r="S45" s="15">
        <f t="shared" si="24"/>
        <v>2959.5915966445818</v>
      </c>
      <c r="T45" s="15">
        <f t="shared" si="24"/>
        <v>2805.4570379516131</v>
      </c>
      <c r="U45" s="15">
        <f t="shared" si="24"/>
        <v>2757.4228225521824</v>
      </c>
      <c r="V45" s="15">
        <f t="shared" si="24"/>
        <v>2619.1390558413541</v>
      </c>
      <c r="W45" s="15">
        <f t="shared" si="24"/>
        <v>2959.0478903521998</v>
      </c>
      <c r="X45" s="15">
        <f t="shared" si="24"/>
        <v>3427.0065086894033</v>
      </c>
      <c r="Y45" s="15">
        <f t="shared" si="24"/>
        <v>3760.755522689009</v>
      </c>
      <c r="Z45" s="15">
        <f t="shared" si="24"/>
        <v>2945.0305832855061</v>
      </c>
      <c r="AA45" s="15">
        <f t="shared" si="24"/>
        <v>3123.4976019381534</v>
      </c>
      <c r="AB45" s="15">
        <f t="shared" si="24"/>
        <v>3606.6232465284743</v>
      </c>
      <c r="AC45" s="15">
        <f t="shared" si="24"/>
        <v>4072.7173879479501</v>
      </c>
      <c r="AD45" s="15">
        <f t="shared" si="24"/>
        <v>3781.2327917942912</v>
      </c>
      <c r="AE45" s="15">
        <f t="shared" si="24"/>
        <v>3913.8520641883733</v>
      </c>
      <c r="AF45" s="15">
        <f t="shared" si="24"/>
        <v>3780.9723925345356</v>
      </c>
      <c r="AG45" s="15">
        <f t="shared" si="24"/>
        <v>3788.7133954440746</v>
      </c>
      <c r="AH45" s="15">
        <f t="shared" si="24"/>
        <v>3643.6201516805736</v>
      </c>
      <c r="AJ45" s="13" cm="1">
        <f t="array" aca="1" ref="AJ45" ca="1">INDEX($E45:$AH45,1,MATCH(AJ$3&amp;AJ$4&amp;AJ$5&amp;AJ$6,$E$3:$AH$3&amp;$E$4:$AH$4&amp;$E$5:$AH$5&amp;$E$6:$AH$6,1))</f>
        <v>3561.3413318490293</v>
      </c>
      <c r="AK45" s="13" cm="1">
        <f t="array" aca="1" ref="AK45" ca="1">INDEX($E45:$AH45,1,MATCH(AK$3&amp;AK$4&amp;AK$5&amp;AK$6,$E$3:$AH$3&amp;$E$4:$AH$4&amp;$E$5:$AH$5&amp;$E$6:$AH$6,1))</f>
        <v>2903.7436473891348</v>
      </c>
      <c r="AL45" s="13" cm="1">
        <f t="array" aca="1" ref="AL45" ca="1">INDEX($E45:$AH45,1,MATCH(AL$3&amp;AL$4&amp;AL$5&amp;AL$6,$E$3:$AH$3&amp;$E$4:$AH$4&amp;$E$5:$AH$5&amp;$E$6:$AH$6,1))</f>
        <v>3433.420989640942</v>
      </c>
      <c r="AM45" s="17" cm="1">
        <f t="array" aca="1" ref="AM45" ca="1">INDEX($E45:$AH45,1,MATCH(AM$3&amp;AM$4&amp;AM$5&amp;AM$6,$E$3:$AH$3&amp;$E$4:$AH$4&amp;$E$5:$AH$5&amp;$E$6:$AH$6,1))</f>
        <v>2989.6771642932367</v>
      </c>
      <c r="AN45" s="13" cm="1">
        <f t="array" aca="1" ref="AN45" ca="1">INDEX($E45:$AH45,1,MATCH(AN$3&amp;AN$4&amp;AN$5&amp;AN$6,$E$3:$AH$3&amp;$E$4:$AH$4&amp;$E$5:$AH$5&amp;$E$6:$AH$6,1))</f>
        <v>2959.5915966445818</v>
      </c>
      <c r="AO45" s="13" cm="1">
        <f t="array" aca="1" ref="AO45" ca="1">INDEX($E45:$AH45,1,MATCH(AO$3&amp;AO$4&amp;AO$5&amp;AO$6,$E$3:$AH$3&amp;$E$4:$AH$4&amp;$E$5:$AH$5&amp;$E$6:$AH$6,1))</f>
        <v>2619.1390558413541</v>
      </c>
      <c r="AP45" s="13" cm="1">
        <f t="array" aca="1" ref="AP45" ca="1">INDEX($E45:$AH45,1,MATCH(AP$3&amp;AP$4&amp;AP$5&amp;AP$6,$E$3:$AH$3&amp;$E$4:$AH$4&amp;$E$5:$AH$5&amp;$E$6:$AH$6,1))</f>
        <v>3760.755522689009</v>
      </c>
      <c r="AQ45" s="13" cm="1">
        <f t="array" aca="1" ref="AQ45" ca="1">INDEX($E45:$AH45,1,MATCH(AQ$3&amp;AQ$4&amp;AQ$5&amp;AQ$6,$E$3:$AH$3&amp;$E$4:$AH$4&amp;$E$5:$AH$5&amp;$E$6:$AH$6,1))</f>
        <v>3606.6232465284743</v>
      </c>
      <c r="AR45" s="13" cm="1">
        <f t="array" aca="1" ref="AR45" ca="1">INDEX($E45:$AH45,1,MATCH(AR$3&amp;AR$4&amp;AR$5&amp;AR$6,$E$3:$AH$3&amp;$E$4:$AH$4&amp;$E$5:$AH$5&amp;$E$6:$AH$6,1))</f>
        <v>3913.8520641883733</v>
      </c>
      <c r="AS45" s="13" cm="1">
        <f t="array" aca="1" ref="AS45" ca="1">INDEX($E45:$AH45,1,MATCH(AS$3&amp;AS$4&amp;AS$5&amp;AS$6,$E$3:$AH$3&amp;$E$4:$AH$4&amp;$E$5:$AH$5&amp;$E$6:$AH$6,1))</f>
        <v>3643.6201516805736</v>
      </c>
      <c r="AU45" s="13">
        <f t="shared" ref="AU45:AW45" ca="1" si="25">INDEX($E45:$AH45,MATCH(AU$5,$E$5:$AH$5,1))</f>
        <v>2903.7436473891348</v>
      </c>
      <c r="AV45" s="13">
        <f t="shared" ca="1" si="25"/>
        <v>2619.1390558413541</v>
      </c>
      <c r="AW45" s="13">
        <f t="shared" ca="1" si="25"/>
        <v>3643.6201516805736</v>
      </c>
    </row>
    <row r="46" spans="1:49" x14ac:dyDescent="0.25">
      <c r="P46" s="8"/>
    </row>
    <row r="47" spans="1:49" ht="18.75" x14ac:dyDescent="0.3">
      <c r="A47" t="s">
        <v>231</v>
      </c>
      <c r="B47" t="s">
        <v>231</v>
      </c>
      <c r="C47" s="181" t="s">
        <v>447</v>
      </c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</row>
    <row r="48" spans="1:49" x14ac:dyDescent="0.25">
      <c r="C48" s="11"/>
      <c r="D48" s="11"/>
    </row>
    <row r="49" spans="2:49" x14ac:dyDescent="0.25">
      <c r="C49" s="11"/>
      <c r="D49" s="11"/>
      <c r="E49" s="45" t="str">
        <f t="shared" ref="E49:AH49" si="26">E$9</f>
        <v>Jul-20A</v>
      </c>
      <c r="F49" s="45" t="str">
        <f t="shared" si="26"/>
        <v>Aug-20A</v>
      </c>
      <c r="G49" s="45" t="str">
        <f t="shared" si="26"/>
        <v>Sep-20A</v>
      </c>
      <c r="H49" s="45" t="str">
        <f t="shared" si="26"/>
        <v>Oct-20A</v>
      </c>
      <c r="I49" s="45" t="str">
        <f t="shared" si="26"/>
        <v>Nov-20A</v>
      </c>
      <c r="J49" s="45" t="str">
        <f t="shared" si="26"/>
        <v>Dec-20A</v>
      </c>
      <c r="K49" s="45" t="str">
        <f t="shared" si="26"/>
        <v>Jan-21A</v>
      </c>
      <c r="L49" s="45" t="str">
        <f t="shared" si="26"/>
        <v>Feb-21A</v>
      </c>
      <c r="M49" s="45" t="str">
        <f t="shared" si="26"/>
        <v>Mar-21A</v>
      </c>
      <c r="N49" s="45" t="str">
        <f t="shared" si="26"/>
        <v>Apr-21A</v>
      </c>
      <c r="O49" s="45" t="str">
        <f t="shared" si="26"/>
        <v>May-21A</v>
      </c>
      <c r="P49" s="46" t="str">
        <f t="shared" si="26"/>
        <v>Jun-21A</v>
      </c>
      <c r="Q49" s="45" t="str">
        <f t="shared" si="26"/>
        <v>Jul-21F</v>
      </c>
      <c r="R49" s="45" t="str">
        <f t="shared" si="26"/>
        <v>Aug-21F</v>
      </c>
      <c r="S49" s="45" t="str">
        <f t="shared" si="26"/>
        <v>Sep-21F</v>
      </c>
      <c r="T49" s="45" t="str">
        <f t="shared" si="26"/>
        <v>Oct-21F</v>
      </c>
      <c r="U49" s="45" t="str">
        <f t="shared" si="26"/>
        <v>Nov-21F</v>
      </c>
      <c r="V49" s="45" t="str">
        <f t="shared" si="26"/>
        <v>Dec-21F</v>
      </c>
      <c r="W49" s="45" t="str">
        <f t="shared" si="26"/>
        <v>Jan-22F</v>
      </c>
      <c r="X49" s="45" t="str">
        <f t="shared" si="26"/>
        <v>Feb-22F</v>
      </c>
      <c r="Y49" s="45" t="str">
        <f t="shared" si="26"/>
        <v>Mar-22F</v>
      </c>
      <c r="Z49" s="45" t="str">
        <f t="shared" si="26"/>
        <v>Apr-22F</v>
      </c>
      <c r="AA49" s="45" t="str">
        <f t="shared" si="26"/>
        <v>May-22F</v>
      </c>
      <c r="AB49" s="45" t="str">
        <f t="shared" si="26"/>
        <v>Jun-22F</v>
      </c>
      <c r="AC49" s="45" t="str">
        <f t="shared" si="26"/>
        <v>Jul-22F</v>
      </c>
      <c r="AD49" s="45" t="str">
        <f t="shared" si="26"/>
        <v>Aug-22F</v>
      </c>
      <c r="AE49" s="45" t="str">
        <f t="shared" si="26"/>
        <v>Sep-22F</v>
      </c>
      <c r="AF49" s="45" t="str">
        <f t="shared" si="26"/>
        <v>Oct-22F</v>
      </c>
      <c r="AG49" s="45" t="str">
        <f t="shared" si="26"/>
        <v>Nov-22F</v>
      </c>
      <c r="AH49" s="45" t="str">
        <f t="shared" si="26"/>
        <v>Dec-22F</v>
      </c>
      <c r="AJ49" s="45" t="str">
        <f ca="1">AJ$10</f>
        <v>Q3'20A</v>
      </c>
      <c r="AK49" s="45" t="str">
        <f t="shared" ref="AK49:AW49" ca="1" si="27">AK$10</f>
        <v>Q4'20A</v>
      </c>
      <c r="AL49" s="45" t="str">
        <f t="shared" ca="1" si="27"/>
        <v>Q1'21A</v>
      </c>
      <c r="AM49" s="46" t="str">
        <f t="shared" ca="1" si="27"/>
        <v>Q2'21A</v>
      </c>
      <c r="AN49" s="45" t="str">
        <f t="shared" ca="1" si="27"/>
        <v>Q3'21F</v>
      </c>
      <c r="AO49" s="45" t="str">
        <f t="shared" ca="1" si="27"/>
        <v>Q4'21F</v>
      </c>
      <c r="AP49" s="45" t="str">
        <f t="shared" ca="1" si="27"/>
        <v>Q1'22F</v>
      </c>
      <c r="AQ49" s="45" t="str">
        <f t="shared" ca="1" si="27"/>
        <v>Q2'22F</v>
      </c>
      <c r="AR49" s="45" t="str">
        <f t="shared" ca="1" si="27"/>
        <v>Q3'22F</v>
      </c>
      <c r="AS49" s="45" t="str">
        <f t="shared" ca="1" si="27"/>
        <v>Q4'22F</v>
      </c>
      <c r="AU49" s="45" t="str">
        <f t="shared" ca="1" si="27"/>
        <v>FY20</v>
      </c>
      <c r="AV49" s="45" t="str">
        <f t="shared" ca="1" si="27"/>
        <v>FY21</v>
      </c>
      <c r="AW49" s="45" t="str">
        <f t="shared" ca="1" si="27"/>
        <v>FY22</v>
      </c>
    </row>
    <row r="50" spans="2:49" x14ac:dyDescent="0.25">
      <c r="C50" s="1" t="s">
        <v>398</v>
      </c>
      <c r="E50" s="33">
        <f>E86</f>
        <v>1212.7926832396081</v>
      </c>
      <c r="F50" s="33">
        <f t="shared" ref="F50:AH50" si="28">F86</f>
        <v>1322.595668663987</v>
      </c>
      <c r="G50" s="33">
        <f t="shared" si="28"/>
        <v>813.18361885585762</v>
      </c>
      <c r="H50" s="33">
        <f t="shared" si="28"/>
        <v>734.21167750707696</v>
      </c>
      <c r="I50" s="33">
        <f t="shared" si="28"/>
        <v>832.74542002499891</v>
      </c>
      <c r="J50" s="56">
        <f t="shared" si="28"/>
        <v>612.85261755042211</v>
      </c>
      <c r="K50" s="33">
        <f t="shared" si="28"/>
        <v>1062.6867556698612</v>
      </c>
      <c r="L50" s="33">
        <f t="shared" si="28"/>
        <v>1173.8561434945057</v>
      </c>
      <c r="M50" s="33">
        <f t="shared" si="28"/>
        <v>743.1464733620769</v>
      </c>
      <c r="N50" s="33">
        <f t="shared" si="28"/>
        <v>614.25434400918698</v>
      </c>
      <c r="O50" s="33">
        <f t="shared" si="28"/>
        <v>799.48860593438462</v>
      </c>
      <c r="P50" s="34">
        <f t="shared" si="28"/>
        <v>830.43655081365682</v>
      </c>
      <c r="Q50" s="33">
        <f t="shared" si="28"/>
        <v>1265.0289122285926</v>
      </c>
      <c r="R50" s="33">
        <f t="shared" si="28"/>
        <v>1598.8240071717426</v>
      </c>
      <c r="S50" s="33">
        <f t="shared" si="28"/>
        <v>979.14282591845267</v>
      </c>
      <c r="T50" s="33">
        <f t="shared" si="28"/>
        <v>838.11489959131279</v>
      </c>
      <c r="U50" s="33">
        <f t="shared" si="28"/>
        <v>828.5960567663335</v>
      </c>
      <c r="V50" s="33">
        <f t="shared" si="28"/>
        <v>194.26681420078557</v>
      </c>
      <c r="W50" s="33">
        <f t="shared" si="28"/>
        <v>1692.5512063338128</v>
      </c>
      <c r="X50" s="33">
        <f t="shared" si="28"/>
        <v>1373.0842411739659</v>
      </c>
      <c r="Y50" s="33">
        <f t="shared" si="28"/>
        <v>921.1524469882728</v>
      </c>
      <c r="Z50" s="33">
        <f t="shared" si="28"/>
        <v>82.866150414811273</v>
      </c>
      <c r="AA50" s="33">
        <f t="shared" si="28"/>
        <v>1395.8770279737148</v>
      </c>
      <c r="AB50" s="33">
        <f t="shared" si="28"/>
        <v>1026.3947004975926</v>
      </c>
      <c r="AC50" s="33">
        <f t="shared" si="28"/>
        <v>1536.146941605155</v>
      </c>
      <c r="AD50" s="33">
        <f t="shared" si="28"/>
        <v>1727.3585032235258</v>
      </c>
      <c r="AE50" s="33">
        <f t="shared" si="28"/>
        <v>1050.8977982382842</v>
      </c>
      <c r="AF50" s="33">
        <f t="shared" si="28"/>
        <v>888.88603245873287</v>
      </c>
      <c r="AG50" s="33">
        <f t="shared" si="28"/>
        <v>919.9544995092233</v>
      </c>
      <c r="AH50" s="33">
        <f t="shared" si="28"/>
        <v>202.03152492567506</v>
      </c>
      <c r="AJ50" s="13" cm="1">
        <f t="array" aca="1" ref="AJ50" ca="1">SUMPRODUCT(($E50:$AH50)*(AJ$3&amp;AJ$4&amp;AJ$5&amp;AJ$6=$E$3:$AH$3&amp;$E$4:$AH$4&amp;$E$5:$AH$5&amp;$E$6:$AH$6))</f>
        <v>3348.5719707594531</v>
      </c>
      <c r="AK50" s="13" cm="1">
        <f t="array" aca="1" ref="AK50" ca="1">SUMPRODUCT(($E50:$AH50)*(AK$3=$E$3:$AH$3)*(AK$4=$E$4:$AH$4)*(AK$5=$E$5:$AH$5)*(AK$6=$E$6:$AH$6))</f>
        <v>2179.8097150824979</v>
      </c>
      <c r="AL50" s="13" cm="1">
        <f t="array" aca="1" ref="AL50" ca="1">SUMPRODUCT(($E50:$AH50)*(AL$3=$E$3:$AH$3)*(AL$4=$E$4:$AH$4)*(AL$5=$E$5:$AH$5)*(AL$6=$E$6:$AH$6))</f>
        <v>2979.6893725264435</v>
      </c>
      <c r="AM50" s="17" cm="1">
        <f t="array" aca="1" ref="AM50" ca="1">SUMPRODUCT(($E50:$AH50)*(AM$3=$E$3:$AH$3)*(AM$4=$E$4:$AH$4)*(AM$5=$E$5:$AH$5)*(AM$6=$E$6:$AH$6))</f>
        <v>2244.1795007572282</v>
      </c>
      <c r="AN50" s="13" cm="1">
        <f t="array" aca="1" ref="AN50" ca="1">SUMPRODUCT(($E50:$AH50)*(AN$3=$E$3:$AH$3)*(AN$4=$E$4:$AH$4)*(AN$5=$E$5:$AH$5)*(AN$6=$E$6:$AH$6))</f>
        <v>3842.9957453187876</v>
      </c>
      <c r="AO50" s="13" cm="1">
        <f t="array" aca="1" ref="AO50" ca="1">SUMPRODUCT(($E50:$AH50)*(AO$3=$E$3:$AH$3)*(AO$4=$E$4:$AH$4)*(AO$5=$E$5:$AH$5)*(AO$6=$E$6:$AH$6))</f>
        <v>1860.977770558432</v>
      </c>
      <c r="AP50" s="13" cm="1">
        <f t="array" aca="1" ref="AP50" ca="1">SUMPRODUCT(($E50:$AH50)*(AP$3=$E$3:$AH$3)*(AP$4=$E$4:$AH$4)*(AP$5=$E$5:$AH$5)*(AP$6=$E$6:$AH$6))</f>
        <v>3986.7878944960516</v>
      </c>
      <c r="AQ50" s="13" cm="1">
        <f t="array" aca="1" ref="AQ50" ca="1">SUMPRODUCT(($E50:$AH50)*(AQ$3=$E$3:$AH$3)*(AQ$4=$E$4:$AH$4)*(AQ$5=$E$5:$AH$5)*(AQ$6=$E$6:$AH$6))</f>
        <v>2505.1378788861184</v>
      </c>
      <c r="AR50" s="13" cm="1">
        <f t="array" aca="1" ref="AR50" ca="1">SUMPRODUCT(($E50:$AH50)*(AR$3=$E$3:$AH$3)*(AR$4=$E$4:$AH$4)*(AR$5=$E$5:$AH$5)*(AR$6=$E$6:$AH$6))</f>
        <v>4314.4032430669649</v>
      </c>
      <c r="AS50" s="13" cm="1">
        <f t="array" aca="1" ref="AS50" ca="1">SUMPRODUCT(($E50:$AH50)*(AS$3=$E$3:$AH$3)*(AS$4=$E$4:$AH$4)*(AS$5=$E$5:$AH$5)*(AS$6=$E$6:$AH$6))</f>
        <v>2010.8720568936312</v>
      </c>
      <c r="AT50" s="13"/>
      <c r="AU50" s="13" cm="1">
        <f t="array" aca="1" ref="AU50" ca="1">SUMPRODUCT(($E50:$AH50)*(AU$5=$E$5:$AH$5))</f>
        <v>5528.3816858419505</v>
      </c>
      <c r="AV50" s="13" cm="1">
        <f t="array" aca="1" ref="AV50" ca="1">SUMPRODUCT(($E50:$AH50)*(AV$5=$E$5:$AH$5))</f>
        <v>10927.842389160893</v>
      </c>
      <c r="AW50" s="13" cm="1">
        <f t="array" aca="1" ref="AW50" ca="1">SUMPRODUCT(($E50:$AH50)*(AW$5=$E$5:$AH$5))</f>
        <v>12817.201073342767</v>
      </c>
    </row>
    <row r="51" spans="2:49" x14ac:dyDescent="0.25">
      <c r="C51" s="1" t="s">
        <v>399</v>
      </c>
      <c r="E51" s="33">
        <f>E94+E106</f>
        <v>-347.24278460572731</v>
      </c>
      <c r="F51" s="33">
        <f t="shared" ref="F51:AH51" si="29">F94+F106</f>
        <v>-702.34324036001783</v>
      </c>
      <c r="G51" s="33">
        <f t="shared" si="29"/>
        <v>-339.77835696471777</v>
      </c>
      <c r="H51" s="33">
        <f t="shared" si="29"/>
        <v>-97.788542937007605</v>
      </c>
      <c r="I51" s="33">
        <f t="shared" si="29"/>
        <v>6.8681964567363138</v>
      </c>
      <c r="J51" s="56">
        <f t="shared" si="29"/>
        <v>-132.91907279230594</v>
      </c>
      <c r="K51" s="33">
        <f t="shared" si="29"/>
        <v>-3.1929201999151928</v>
      </c>
      <c r="L51" s="33">
        <f t="shared" si="29"/>
        <v>-575.30183020178515</v>
      </c>
      <c r="M51" s="33">
        <f t="shared" si="29"/>
        <v>157.84855948033606</v>
      </c>
      <c r="N51" s="33">
        <f t="shared" si="29"/>
        <v>-175.39738606685586</v>
      </c>
      <c r="O51" s="33">
        <f t="shared" si="29"/>
        <v>103.2504270816388</v>
      </c>
      <c r="P51" s="34">
        <f t="shared" si="29"/>
        <v>-374.62267024048879</v>
      </c>
      <c r="Q51" s="33">
        <f t="shared" si="29"/>
        <v>6.6598052586112146</v>
      </c>
      <c r="R51" s="33">
        <f t="shared" si="29"/>
        <v>-1022.8189720949147</v>
      </c>
      <c r="S51" s="33">
        <f t="shared" si="29"/>
        <v>55.689624355859763</v>
      </c>
      <c r="T51" s="33">
        <f t="shared" si="29"/>
        <v>-233.62534489956755</v>
      </c>
      <c r="U51" s="33">
        <f t="shared" si="29"/>
        <v>-107.88951442941379</v>
      </c>
      <c r="V51" s="33">
        <f t="shared" si="29"/>
        <v>177.74316371213098</v>
      </c>
      <c r="W51" s="33">
        <f t="shared" si="29"/>
        <v>-758.57752651333374</v>
      </c>
      <c r="X51" s="33">
        <f t="shared" si="29"/>
        <v>31.810207413977196</v>
      </c>
      <c r="Y51" s="33">
        <f t="shared" si="29"/>
        <v>115.07363331534094</v>
      </c>
      <c r="Z51" s="33">
        <f t="shared" si="29"/>
        <v>17.057022113535197</v>
      </c>
      <c r="AA51" s="33">
        <f t="shared" si="29"/>
        <v>-564.2208986825276</v>
      </c>
      <c r="AB51" s="33">
        <f t="shared" si="29"/>
        <v>155.54411427263989</v>
      </c>
      <c r="AC51" s="33">
        <f t="shared" si="29"/>
        <v>-146.24437804366607</v>
      </c>
      <c r="AD51" s="33">
        <f t="shared" si="29"/>
        <v>-1048.733537016027</v>
      </c>
      <c r="AE51" s="33">
        <f t="shared" si="29"/>
        <v>60.28091770793381</v>
      </c>
      <c r="AF51" s="33">
        <f t="shared" si="29"/>
        <v>-238.13510093264128</v>
      </c>
      <c r="AG51" s="33">
        <f t="shared" si="29"/>
        <v>-113.45725605284446</v>
      </c>
      <c r="AH51" s="33">
        <f t="shared" si="29"/>
        <v>186.56548902530051</v>
      </c>
      <c r="AJ51" s="13" cm="1">
        <f t="array" aca="1" ref="AJ51" ca="1">SUMPRODUCT(($E51:$AH51)*(AJ$3&amp;AJ$4&amp;AJ$5&amp;AJ$6=$E$3:$AH$3&amp;$E$4:$AH$4&amp;$E$5:$AH$5&amp;$E$6:$AH$6))</f>
        <v>-1389.364381930463</v>
      </c>
      <c r="AK51" s="13" cm="1">
        <f t="array" aca="1" ref="AK51" ca="1">SUMPRODUCT(($E51:$AH51)*(AK$3=$E$3:$AH$3)*(AK$4=$E$4:$AH$4)*(AK$5=$E$5:$AH$5)*(AK$6=$E$6:$AH$6))</f>
        <v>-223.83941927257723</v>
      </c>
      <c r="AL51" s="13" cm="1">
        <f t="array" aca="1" ref="AL51" ca="1">SUMPRODUCT(($E51:$AH51)*(AL$3=$E$3:$AH$3)*(AL$4=$E$4:$AH$4)*(AL$5=$E$5:$AH$5)*(AL$6=$E$6:$AH$6))</f>
        <v>-420.64619092136428</v>
      </c>
      <c r="AM51" s="17" cm="1">
        <f t="array" aca="1" ref="AM51" ca="1">SUMPRODUCT(($E51:$AH51)*(AM$3=$E$3:$AH$3)*(AM$4=$E$4:$AH$4)*(AM$5=$E$5:$AH$5)*(AM$6=$E$6:$AH$6))</f>
        <v>-446.76962922570584</v>
      </c>
      <c r="AN51" s="13" cm="1">
        <f t="array" aca="1" ref="AN51" ca="1">SUMPRODUCT(($E51:$AH51)*(AN$3=$E$3:$AH$3)*(AN$4=$E$4:$AH$4)*(AN$5=$E$5:$AH$5)*(AN$6=$E$6:$AH$6))</f>
        <v>-960.46954248044369</v>
      </c>
      <c r="AO51" s="13" cm="1">
        <f t="array" aca="1" ref="AO51" ca="1">SUMPRODUCT(($E51:$AH51)*(AO$3=$E$3:$AH$3)*(AO$4=$E$4:$AH$4)*(AO$5=$E$5:$AH$5)*(AO$6=$E$6:$AH$6))</f>
        <v>-163.77169561685037</v>
      </c>
      <c r="AP51" s="13" cm="1">
        <f t="array" aca="1" ref="AP51" ca="1">SUMPRODUCT(($E51:$AH51)*(AP$3=$E$3:$AH$3)*(AP$4=$E$4:$AH$4)*(AP$5=$E$5:$AH$5)*(AP$6=$E$6:$AH$6))</f>
        <v>-611.69368578401554</v>
      </c>
      <c r="AQ51" s="13" cm="1">
        <f t="array" aca="1" ref="AQ51" ca="1">SUMPRODUCT(($E51:$AH51)*(AQ$3=$E$3:$AH$3)*(AQ$4=$E$4:$AH$4)*(AQ$5=$E$5:$AH$5)*(AQ$6=$E$6:$AH$6))</f>
        <v>-391.61976229635258</v>
      </c>
      <c r="AR51" s="13" cm="1">
        <f t="array" aca="1" ref="AR51" ca="1">SUMPRODUCT(($E51:$AH51)*(AR$3=$E$3:$AH$3)*(AR$4=$E$4:$AH$4)*(AR$5=$E$5:$AH$5)*(AR$6=$E$6:$AH$6))</f>
        <v>-1134.6969973517591</v>
      </c>
      <c r="AS51" s="13" cm="1">
        <f t="array" aca="1" ref="AS51" ca="1">SUMPRODUCT(($E51:$AH51)*(AS$3=$E$3:$AH$3)*(AS$4=$E$4:$AH$4)*(AS$5=$E$5:$AH$5)*(AS$6=$E$6:$AH$6))</f>
        <v>-165.0268679601852</v>
      </c>
      <c r="AT51" s="13"/>
      <c r="AU51" s="13" cm="1">
        <f t="array" aca="1" ref="AU51" ca="1">SUMPRODUCT(($E51:$AH51)*(AU$5=$E$5:$AH$5))</f>
        <v>-1613.2038012030403</v>
      </c>
      <c r="AV51" s="13" cm="1">
        <f t="array" aca="1" ref="AV51" ca="1">SUMPRODUCT(($E51:$AH51)*(AV$5=$E$5:$AH$5))</f>
        <v>-1991.657058244364</v>
      </c>
      <c r="AW51" s="13" cm="1">
        <f t="array" aca="1" ref="AW51" ca="1">SUMPRODUCT(($E51:$AH51)*(AW$5=$E$5:$AH$5))</f>
        <v>-2303.0373133923126</v>
      </c>
    </row>
    <row r="52" spans="2:49" x14ac:dyDescent="0.25">
      <c r="C52" s="1" t="s">
        <v>400</v>
      </c>
      <c r="E52" s="33">
        <f>SUM(E95,E96,E97,E101)</f>
        <v>-556.27365986188829</v>
      </c>
      <c r="F52" s="33">
        <f t="shared" ref="F52:AH52" si="30">SUM(F95,F96,F97,F101)</f>
        <v>-330.30868239394488</v>
      </c>
      <c r="G52" s="33">
        <f t="shared" si="30"/>
        <v>-331.07649688034064</v>
      </c>
      <c r="H52" s="33">
        <f t="shared" si="30"/>
        <v>-330.77427022027132</v>
      </c>
      <c r="I52" s="33">
        <f t="shared" si="30"/>
        <v>-330.57633551106539</v>
      </c>
      <c r="J52" s="56">
        <f t="shared" si="30"/>
        <v>-331.14226235741148</v>
      </c>
      <c r="K52" s="33">
        <f t="shared" si="30"/>
        <v>-330.68119161038157</v>
      </c>
      <c r="L52" s="33">
        <f t="shared" si="30"/>
        <v>-330.71385873747408</v>
      </c>
      <c r="M52" s="33">
        <f t="shared" si="30"/>
        <v>-330.33166836137997</v>
      </c>
      <c r="N52" s="33">
        <f t="shared" si="30"/>
        <v>-720.44871609832296</v>
      </c>
      <c r="O52" s="33">
        <f t="shared" si="30"/>
        <v>-330.92090182765537</v>
      </c>
      <c r="P52" s="34">
        <f t="shared" si="30"/>
        <v>-330.22143491955575</v>
      </c>
      <c r="Q52" s="33">
        <f t="shared" si="30"/>
        <v>-338.42492642794997</v>
      </c>
      <c r="R52" s="33">
        <f t="shared" si="30"/>
        <v>-346.8384293332594</v>
      </c>
      <c r="S52" s="33">
        <f t="shared" si="30"/>
        <v>-364.6142160356759</v>
      </c>
      <c r="T52" s="33">
        <f t="shared" si="30"/>
        <v>-362.32113502353752</v>
      </c>
      <c r="U52" s="33">
        <f t="shared" si="30"/>
        <v>-362.30831858537698</v>
      </c>
      <c r="V52" s="33">
        <f t="shared" si="30"/>
        <v>-362.26054812359979</v>
      </c>
      <c r="W52" s="33">
        <f t="shared" si="30"/>
        <v>-362.27134150511608</v>
      </c>
      <c r="X52" s="33">
        <f t="shared" si="30"/>
        <v>-362.26903502959323</v>
      </c>
      <c r="Y52" s="33">
        <f t="shared" si="30"/>
        <v>-377.56575612460813</v>
      </c>
      <c r="Z52" s="33">
        <f t="shared" si="30"/>
        <v>-752.71678456934637</v>
      </c>
      <c r="AA52" s="33">
        <f t="shared" si="30"/>
        <v>-377.56346989680668</v>
      </c>
      <c r="AB52" s="33">
        <f t="shared" si="30"/>
        <v>-377.55289968425194</v>
      </c>
      <c r="AC52" s="33">
        <f t="shared" si="30"/>
        <v>-377.57268809352161</v>
      </c>
      <c r="AD52" s="33">
        <f t="shared" si="30"/>
        <v>-377.57000214863552</v>
      </c>
      <c r="AE52" s="33">
        <f t="shared" si="30"/>
        <v>-377.56780812465161</v>
      </c>
      <c r="AF52" s="33">
        <f t="shared" si="30"/>
        <v>-377.56564478093492</v>
      </c>
      <c r="AG52" s="33">
        <f t="shared" si="30"/>
        <v>-377.56333463370152</v>
      </c>
      <c r="AH52" s="33">
        <f t="shared" si="30"/>
        <v>-377.56243394985012</v>
      </c>
      <c r="AJ52" s="13" cm="1">
        <f t="array" aca="1" ref="AJ52" ca="1">SUMPRODUCT(($E52:$AH52)*(AJ$3&amp;AJ$4&amp;AJ$5&amp;AJ$6=$E$3:$AH$3&amp;$E$4:$AH$4&amp;$E$5:$AH$5&amp;$E$6:$AH$6))</f>
        <v>-1217.6588391361738</v>
      </c>
      <c r="AK52" s="13" cm="1">
        <f t="array" aca="1" ref="AK52" ca="1">SUMPRODUCT(($E52:$AH52)*(AK$3=$E$3:$AH$3)*(AK$4=$E$4:$AH$4)*(AK$5=$E$5:$AH$5)*(AK$6=$E$6:$AH$6))</f>
        <v>-992.4928680887482</v>
      </c>
      <c r="AL52" s="13" cm="1">
        <f t="array" aca="1" ref="AL52" ca="1">SUMPRODUCT(($E52:$AH52)*(AL$3=$E$3:$AH$3)*(AL$4=$E$4:$AH$4)*(AL$5=$E$5:$AH$5)*(AL$6=$E$6:$AH$6))</f>
        <v>-991.72671870923568</v>
      </c>
      <c r="AM52" s="17" cm="1">
        <f t="array" aca="1" ref="AM52" ca="1">SUMPRODUCT(($E52:$AH52)*(AM$3=$E$3:$AH$3)*(AM$4=$E$4:$AH$4)*(AM$5=$E$5:$AH$5)*(AM$6=$E$6:$AH$6))</f>
        <v>-1381.591052845534</v>
      </c>
      <c r="AN52" s="13" cm="1">
        <f t="array" aca="1" ref="AN52" ca="1">SUMPRODUCT(($E52:$AH52)*(AN$3=$E$3:$AH$3)*(AN$4=$E$4:$AH$4)*(AN$5=$E$5:$AH$5)*(AN$6=$E$6:$AH$6))</f>
        <v>-1049.8775717968851</v>
      </c>
      <c r="AO52" s="13" cm="1">
        <f t="array" aca="1" ref="AO52" ca="1">SUMPRODUCT(($E52:$AH52)*(AO$3=$E$3:$AH$3)*(AO$4=$E$4:$AH$4)*(AO$5=$E$5:$AH$5)*(AO$6=$E$6:$AH$6))</f>
        <v>-1086.8900017325143</v>
      </c>
      <c r="AP52" s="13" cm="1">
        <f t="array" aca="1" ref="AP52" ca="1">SUMPRODUCT(($E52:$AH52)*(AP$3=$E$3:$AH$3)*(AP$4=$E$4:$AH$4)*(AP$5=$E$5:$AH$5)*(AP$6=$E$6:$AH$6))</f>
        <v>-1102.1061326593176</v>
      </c>
      <c r="AQ52" s="13" cm="1">
        <f t="array" aca="1" ref="AQ52" ca="1">SUMPRODUCT(($E52:$AH52)*(AQ$3=$E$3:$AH$3)*(AQ$4=$E$4:$AH$4)*(AQ$5=$E$5:$AH$5)*(AQ$6=$E$6:$AH$6))</f>
        <v>-1507.8331541504051</v>
      </c>
      <c r="AR52" s="13" cm="1">
        <f t="array" aca="1" ref="AR52" ca="1">SUMPRODUCT(($E52:$AH52)*(AR$3=$E$3:$AH$3)*(AR$4=$E$4:$AH$4)*(AR$5=$E$5:$AH$5)*(AR$6=$E$6:$AH$6))</f>
        <v>-1132.7104983668087</v>
      </c>
      <c r="AS52" s="13" cm="1">
        <f t="array" aca="1" ref="AS52" ca="1">SUMPRODUCT(($E52:$AH52)*(AS$3=$E$3:$AH$3)*(AS$4=$E$4:$AH$4)*(AS$5=$E$5:$AH$5)*(AS$6=$E$6:$AH$6))</f>
        <v>-1132.6914133644866</v>
      </c>
      <c r="AT52" s="13"/>
      <c r="AU52" s="13" cm="1">
        <f t="array" aca="1" ref="AU52" ca="1">SUMPRODUCT(($E52:$AH52)*(AU$5=$E$5:$AH$5))</f>
        <v>-2210.1517072249217</v>
      </c>
      <c r="AV52" s="13" cm="1">
        <f t="array" aca="1" ref="AV52" ca="1">SUMPRODUCT(($E52:$AH52)*(AV$5=$E$5:$AH$5))</f>
        <v>-4510.0853450841687</v>
      </c>
      <c r="AW52" s="13" cm="1">
        <f t="array" aca="1" ref="AW52" ca="1">SUMPRODUCT(($E52:$AH52)*(AW$5=$E$5:$AH$5))</f>
        <v>-4875.3411985410175</v>
      </c>
    </row>
    <row r="53" spans="2:49" x14ac:dyDescent="0.25">
      <c r="C53" s="1" t="s">
        <v>403</v>
      </c>
      <c r="E53" s="33">
        <f>E105</f>
        <v>-440.1329919840361</v>
      </c>
      <c r="F53" s="33">
        <f t="shared" ref="F53:AH53" si="31">F105</f>
        <v>-546.98975976395946</v>
      </c>
      <c r="G53" s="33">
        <f t="shared" si="31"/>
        <v>-526.43114529727836</v>
      </c>
      <c r="H53" s="33">
        <f t="shared" si="31"/>
        <v>-411.99972375361023</v>
      </c>
      <c r="I53" s="33">
        <f t="shared" si="31"/>
        <v>-315.47979801583773</v>
      </c>
      <c r="J53" s="56">
        <f t="shared" si="31"/>
        <v>-156.97095728699884</v>
      </c>
      <c r="K53" s="33">
        <f t="shared" si="31"/>
        <v>-287.2427721494517</v>
      </c>
      <c r="L53" s="33">
        <f t="shared" si="31"/>
        <v>-443.33158464138671</v>
      </c>
      <c r="M53" s="33">
        <f t="shared" si="31"/>
        <v>-309.79172763372333</v>
      </c>
      <c r="N53" s="33">
        <f t="shared" si="31"/>
        <v>-179.66333690875257</v>
      </c>
      <c r="O53" s="33">
        <f t="shared" si="31"/>
        <v>-237.81767391754386</v>
      </c>
      <c r="P53" s="34">
        <f t="shared" si="31"/>
        <v>-287.120035808583</v>
      </c>
      <c r="Q53" s="33">
        <f t="shared" si="31"/>
        <v>-662.37087671301151</v>
      </c>
      <c r="R53" s="33">
        <f t="shared" si="31"/>
        <v>-569.99499781509417</v>
      </c>
      <c r="S53" s="33">
        <f t="shared" si="31"/>
        <v>-571.30496505774511</v>
      </c>
      <c r="T53" s="33">
        <f t="shared" si="31"/>
        <v>-375.57382210541027</v>
      </c>
      <c r="U53" s="33">
        <f t="shared" si="31"/>
        <v>-375.28310782025198</v>
      </c>
      <c r="V53" s="33">
        <f t="shared" si="31"/>
        <v>-79.509479321370065</v>
      </c>
      <c r="W53" s="33">
        <f t="shared" si="31"/>
        <v>-202.5741172256175</v>
      </c>
      <c r="X53" s="33">
        <f t="shared" si="31"/>
        <v>-558.7939290927477</v>
      </c>
      <c r="Y53" s="33">
        <f t="shared" si="31"/>
        <v>-387.00205142363563</v>
      </c>
      <c r="Z53" s="33">
        <f t="shared" si="31"/>
        <v>-92.655724470603332</v>
      </c>
      <c r="AA53" s="33">
        <f t="shared" si="31"/>
        <v>-228.01179029813648</v>
      </c>
      <c r="AB53" s="33">
        <f t="shared" si="31"/>
        <v>-265.08441533036489</v>
      </c>
      <c r="AC53" s="33">
        <f t="shared" si="31"/>
        <v>-510.10444661532739</v>
      </c>
      <c r="AD53" s="33">
        <f t="shared" si="31"/>
        <v>-586.30077401695758</v>
      </c>
      <c r="AE53" s="33">
        <f t="shared" si="31"/>
        <v>-586.45448581343646</v>
      </c>
      <c r="AF53" s="33">
        <f t="shared" si="31"/>
        <v>-383.92796364511338</v>
      </c>
      <c r="AG53" s="33">
        <f t="shared" si="31"/>
        <v>-388.21443105484178</v>
      </c>
      <c r="AH53" s="33">
        <f t="shared" si="31"/>
        <v>-83.796810279164333</v>
      </c>
      <c r="AJ53" s="13" cm="1">
        <f t="array" aca="1" ref="AJ53" ca="1">SUMPRODUCT(($E53:$AH53)*(AJ$3&amp;AJ$4&amp;AJ$5&amp;AJ$6=$E$3:$AH$3&amp;$E$4:$AH$4&amp;$E$5:$AH$5&amp;$E$6:$AH$6))</f>
        <v>-1513.553897045274</v>
      </c>
      <c r="AK53" s="13" cm="1">
        <f t="array" aca="1" ref="AK53" ca="1">SUMPRODUCT(($E53:$AH53)*(AK$3=$E$3:$AH$3)*(AK$4=$E$4:$AH$4)*(AK$5=$E$5:$AH$5)*(AK$6=$E$6:$AH$6))</f>
        <v>-884.45047905644674</v>
      </c>
      <c r="AL53" s="13" cm="1">
        <f t="array" aca="1" ref="AL53" ca="1">SUMPRODUCT(($E53:$AH53)*(AL$3=$E$3:$AH$3)*(AL$4=$E$4:$AH$4)*(AL$5=$E$5:$AH$5)*(AL$6=$E$6:$AH$6))</f>
        <v>-1040.3660844245619</v>
      </c>
      <c r="AM53" s="17" cm="1">
        <f t="array" aca="1" ref="AM53" ca="1">SUMPRODUCT(($E53:$AH53)*(AM$3=$E$3:$AH$3)*(AM$4=$E$4:$AH$4)*(AM$5=$E$5:$AH$5)*(AM$6=$E$6:$AH$6))</f>
        <v>-704.60104663487937</v>
      </c>
      <c r="AN53" s="13" cm="1">
        <f t="array" aca="1" ref="AN53" ca="1">SUMPRODUCT(($E53:$AH53)*(AN$3=$E$3:$AH$3)*(AN$4=$E$4:$AH$4)*(AN$5=$E$5:$AH$5)*(AN$6=$E$6:$AH$6))</f>
        <v>-1803.6708395858509</v>
      </c>
      <c r="AO53" s="13" cm="1">
        <f t="array" aca="1" ref="AO53" ca="1">SUMPRODUCT(($E53:$AH53)*(AO$3=$E$3:$AH$3)*(AO$4=$E$4:$AH$4)*(AO$5=$E$5:$AH$5)*(AO$6=$E$6:$AH$6))</f>
        <v>-830.36640924703238</v>
      </c>
      <c r="AP53" s="13" cm="1">
        <f t="array" aca="1" ref="AP53" ca="1">SUMPRODUCT(($E53:$AH53)*(AP$3=$E$3:$AH$3)*(AP$4=$E$4:$AH$4)*(AP$5=$E$5:$AH$5)*(AP$6=$E$6:$AH$6))</f>
        <v>-1148.3700977420008</v>
      </c>
      <c r="AQ53" s="13" cm="1">
        <f t="array" aca="1" ref="AQ53" ca="1">SUMPRODUCT(($E53:$AH53)*(AQ$3=$E$3:$AH$3)*(AQ$4=$E$4:$AH$4)*(AQ$5=$E$5:$AH$5)*(AQ$6=$E$6:$AH$6))</f>
        <v>-585.7519300991047</v>
      </c>
      <c r="AR53" s="13" cm="1">
        <f t="array" aca="1" ref="AR53" ca="1">SUMPRODUCT(($E53:$AH53)*(AR$3=$E$3:$AH$3)*(AR$4=$E$4:$AH$4)*(AR$5=$E$5:$AH$5)*(AR$6=$E$6:$AH$6))</f>
        <v>-1682.8597064457213</v>
      </c>
      <c r="AS53" s="13" cm="1">
        <f t="array" aca="1" ref="AS53" ca="1">SUMPRODUCT(($E53:$AH53)*(AS$3=$E$3:$AH$3)*(AS$4=$E$4:$AH$4)*(AS$5=$E$5:$AH$5)*(AS$6=$E$6:$AH$6))</f>
        <v>-855.93920497911949</v>
      </c>
      <c r="AT53" s="13"/>
      <c r="AU53" s="13" cm="1">
        <f t="array" aca="1" ref="AU53" ca="1">SUMPRODUCT(($E53:$AH53)*(AU$5=$E$5:$AH$5))</f>
        <v>-2398.0043761017205</v>
      </c>
      <c r="AV53" s="13" cm="1">
        <f t="array" aca="1" ref="AV53" ca="1">SUMPRODUCT(($E53:$AH53)*(AV$5=$E$5:$AH$5))</f>
        <v>-4379.0043798923243</v>
      </c>
      <c r="AW53" s="13" cm="1">
        <f t="array" aca="1" ref="AW53" ca="1">SUMPRODUCT(($E53:$AH53)*(AW$5=$E$5:$AH$5))</f>
        <v>-4272.9209392659468</v>
      </c>
    </row>
    <row r="54" spans="2:49" x14ac:dyDescent="0.25">
      <c r="C54" s="1" t="s">
        <v>515</v>
      </c>
      <c r="E54" s="33">
        <f>E107</f>
        <v>3.3744595889674516</v>
      </c>
      <c r="F54" s="33">
        <f t="shared" ref="F54:AH54" si="32">F107</f>
        <v>3.2450814881140135</v>
      </c>
      <c r="G54" s="33">
        <f t="shared" si="32"/>
        <v>3.2976924758437418</v>
      </c>
      <c r="H54" s="33">
        <f t="shared" si="32"/>
        <v>2.9677844432075244</v>
      </c>
      <c r="I54" s="33">
        <f t="shared" si="32"/>
        <v>2.8582736617052311</v>
      </c>
      <c r="J54" s="33">
        <f t="shared" si="32"/>
        <v>3.8250688753711319</v>
      </c>
      <c r="K54" s="33">
        <f t="shared" si="32"/>
        <v>2.4197863728242792</v>
      </c>
      <c r="L54" s="33">
        <f t="shared" si="32"/>
        <v>2.7617830449740515</v>
      </c>
      <c r="M54" s="33">
        <f t="shared" si="32"/>
        <v>2.5974477714382833</v>
      </c>
      <c r="N54" s="33">
        <f t="shared" si="32"/>
        <v>2.8611841580341184</v>
      </c>
      <c r="O54" s="33">
        <f t="shared" si="32"/>
        <v>2.4159900510676793</v>
      </c>
      <c r="P54" s="34">
        <f t="shared" si="32"/>
        <v>2.6664271522326408</v>
      </c>
      <c r="Q54" s="33">
        <f t="shared" si="32"/>
        <v>2.4913976369110307</v>
      </c>
      <c r="R54" s="33">
        <f t="shared" si="32"/>
        <v>2.6852990617847854</v>
      </c>
      <c r="S54" s="33">
        <f t="shared" si="32"/>
        <v>2.3944873688478592</v>
      </c>
      <c r="T54" s="33">
        <f t="shared" si="32"/>
        <v>2.4663263305371519</v>
      </c>
      <c r="U54" s="33">
        <f t="shared" si="32"/>
        <v>2.3378808649596778</v>
      </c>
      <c r="V54" s="33">
        <f t="shared" si="32"/>
        <v>2.297852352126819</v>
      </c>
      <c r="W54" s="33">
        <f t="shared" si="32"/>
        <v>2.1826158798677953</v>
      </c>
      <c r="X54" s="33">
        <f t="shared" si="32"/>
        <v>2.4658732419601668</v>
      </c>
      <c r="Y54" s="33">
        <f t="shared" si="32"/>
        <v>2.8558387572411696</v>
      </c>
      <c r="Z54" s="33">
        <f t="shared" si="32"/>
        <v>3.1339629355741745</v>
      </c>
      <c r="AA54" s="33">
        <f t="shared" si="32"/>
        <v>2.4541921527379218</v>
      </c>
      <c r="AB54" s="33">
        <f t="shared" si="32"/>
        <v>2.6029146682817945</v>
      </c>
      <c r="AC54" s="33">
        <f t="shared" si="32"/>
        <v>3.0055193721070621</v>
      </c>
      <c r="AD54" s="33">
        <f t="shared" si="32"/>
        <v>3.3939311566232919</v>
      </c>
      <c r="AE54" s="33">
        <f t="shared" si="32"/>
        <v>3.1510273264952429</v>
      </c>
      <c r="AF54" s="33">
        <f t="shared" si="32"/>
        <v>3.2615433868236448</v>
      </c>
      <c r="AG54" s="33">
        <f t="shared" si="32"/>
        <v>3.1508103271121133</v>
      </c>
      <c r="AH54" s="33">
        <f t="shared" si="32"/>
        <v>3.1572611628700624</v>
      </c>
      <c r="AJ54" s="13" cm="1">
        <f t="array" aca="1" ref="AJ54" ca="1">SUMPRODUCT(($E54:$AH54)*(AJ$3&amp;AJ$4&amp;AJ$5&amp;AJ$6=$E$3:$AH$3&amp;$E$4:$AH$4&amp;$E$5:$AH$5&amp;$E$6:$AH$6))</f>
        <v>9.9172335529252074</v>
      </c>
      <c r="AK54" s="13" cm="1">
        <f t="array" aca="1" ref="AK54" ca="1">SUMPRODUCT(($E54:$AH54)*(AK$3=$E$3:$AH$3)*(AK$4=$E$4:$AH$4)*(AK$5=$E$5:$AH$5)*(AK$6=$E$6:$AH$6))</f>
        <v>9.6511269802838875</v>
      </c>
      <c r="AL54" s="13" cm="1">
        <f t="array" aca="1" ref="AL54" ca="1">SUMPRODUCT(($E54:$AH54)*(AL$3=$E$3:$AH$3)*(AL$4=$E$4:$AH$4)*(AL$5=$E$5:$AH$5)*(AL$6=$E$6:$AH$6))</f>
        <v>7.7790171892366136</v>
      </c>
      <c r="AM54" s="17" cm="1">
        <f t="array" aca="1" ref="AM54" ca="1">SUMPRODUCT(($E54:$AH54)*(AM$3=$E$3:$AH$3)*(AM$4=$E$4:$AH$4)*(AM$5=$E$5:$AH$5)*(AM$6=$E$6:$AH$6))</f>
        <v>7.9436013613344389</v>
      </c>
      <c r="AN54" s="13" cm="1">
        <f t="array" aca="1" ref="AN54" ca="1">SUMPRODUCT(($E54:$AH54)*(AN$3=$E$3:$AH$3)*(AN$4=$E$4:$AH$4)*(AN$5=$E$5:$AH$5)*(AN$6=$E$6:$AH$6))</f>
        <v>7.5711840675436743</v>
      </c>
      <c r="AO54" s="13" cm="1">
        <f t="array" aca="1" ref="AO54" ca="1">SUMPRODUCT(($E54:$AH54)*(AO$3=$E$3:$AH$3)*(AO$4=$E$4:$AH$4)*(AO$5=$E$5:$AH$5)*(AO$6=$E$6:$AH$6))</f>
        <v>7.1020595476236483</v>
      </c>
      <c r="AP54" s="13" cm="1">
        <f t="array" aca="1" ref="AP54" ca="1">SUMPRODUCT(($E54:$AH54)*(AP$3=$E$3:$AH$3)*(AP$4=$E$4:$AH$4)*(AP$5=$E$5:$AH$5)*(AP$6=$E$6:$AH$6))</f>
        <v>7.5043278790691321</v>
      </c>
      <c r="AQ54" s="13" cm="1">
        <f t="array" aca="1" ref="AQ54" ca="1">SUMPRODUCT(($E54:$AH54)*(AQ$3=$E$3:$AH$3)*(AQ$4=$E$4:$AH$4)*(AQ$5=$E$5:$AH$5)*(AQ$6=$E$6:$AH$6))</f>
        <v>8.1910697565938904</v>
      </c>
      <c r="AR54" s="13" cm="1">
        <f t="array" aca="1" ref="AR54" ca="1">SUMPRODUCT(($E54:$AH54)*(AR$3=$E$3:$AH$3)*(AR$4=$E$4:$AH$4)*(AR$5=$E$5:$AH$5)*(AR$6=$E$6:$AH$6))</f>
        <v>9.550477855225596</v>
      </c>
      <c r="AS54" s="13" cm="1">
        <f t="array" aca="1" ref="AS54" ca="1">SUMPRODUCT(($E54:$AH54)*(AS$3=$E$3:$AH$3)*(AS$4=$E$4:$AH$4)*(AS$5=$E$5:$AH$5)*(AS$6=$E$6:$AH$6))</f>
        <v>9.5696148768058205</v>
      </c>
      <c r="AT54" s="13"/>
      <c r="AU54" s="13" cm="1">
        <f t="array" aca="1" ref="AU54" ca="1">SUMPRODUCT(($E54:$AH54)*(AU$5=$E$5:$AH$5))</f>
        <v>19.568360533209095</v>
      </c>
      <c r="AV54" s="13" cm="1">
        <f t="array" aca="1" ref="AV54" ca="1">SUMPRODUCT(($E54:$AH54)*(AV$5=$E$5:$AH$5))</f>
        <v>30.395862165738379</v>
      </c>
      <c r="AW54" s="13" cm="1">
        <f t="array" aca="1" ref="AW54" ca="1">SUMPRODUCT(($E54:$AH54)*(AW$5=$E$5:$AH$5))</f>
        <v>34.815490367694444</v>
      </c>
    </row>
    <row r="55" spans="2:49" x14ac:dyDescent="0.25">
      <c r="C55" s="1" t="s">
        <v>402</v>
      </c>
      <c r="E55" s="33">
        <f>E108</f>
        <v>-20.029275765633791</v>
      </c>
      <c r="F55" s="33">
        <f t="shared" ref="F55:AH55" si="33">F108</f>
        <v>-20.029275765633791</v>
      </c>
      <c r="G55" s="33">
        <f t="shared" si="33"/>
        <v>-20.856150765633792</v>
      </c>
      <c r="H55" s="33">
        <f t="shared" si="33"/>
        <v>-20.856150765633792</v>
      </c>
      <c r="I55" s="33">
        <f t="shared" si="33"/>
        <v>-20.856150765633792</v>
      </c>
      <c r="J55" s="33">
        <f t="shared" si="33"/>
        <v>-24.39781743230046</v>
      </c>
      <c r="K55" s="33">
        <f t="shared" si="33"/>
        <v>-19.065109098967124</v>
      </c>
      <c r="L55" s="33">
        <f t="shared" si="33"/>
        <v>-19.065109098967124</v>
      </c>
      <c r="M55" s="33">
        <f t="shared" si="33"/>
        <v>-19.065109098967124</v>
      </c>
      <c r="N55" s="33">
        <f t="shared" si="33"/>
        <v>-19.065109098967124</v>
      </c>
      <c r="O55" s="33">
        <f t="shared" si="33"/>
        <v>-19.065109098967124</v>
      </c>
      <c r="P55" s="34">
        <f t="shared" si="33"/>
        <v>-19.117609098967126</v>
      </c>
      <c r="Q55" s="33">
        <f t="shared" si="33"/>
        <v>-19.117609098967126</v>
      </c>
      <c r="R55" s="33">
        <f t="shared" si="33"/>
        <v>-19.117609098967126</v>
      </c>
      <c r="S55" s="33">
        <f t="shared" si="33"/>
        <v>-19.117609098967126</v>
      </c>
      <c r="T55" s="33">
        <f t="shared" si="33"/>
        <v>-19.117609098967126</v>
      </c>
      <c r="U55" s="33">
        <f t="shared" si="33"/>
        <v>-19.117609098967126</v>
      </c>
      <c r="V55" s="33">
        <f t="shared" si="33"/>
        <v>-19.117609098967126</v>
      </c>
      <c r="W55" s="33">
        <f t="shared" si="33"/>
        <v>-19.117609098967126</v>
      </c>
      <c r="X55" s="33">
        <f t="shared" si="33"/>
        <v>-19.117609098967126</v>
      </c>
      <c r="Y55" s="33">
        <f t="shared" si="33"/>
        <v>-19.117609098967126</v>
      </c>
      <c r="Z55" s="33">
        <f t="shared" si="33"/>
        <v>-19.117609098967126</v>
      </c>
      <c r="AA55" s="33">
        <f t="shared" si="33"/>
        <v>-19.117609098967126</v>
      </c>
      <c r="AB55" s="33">
        <f t="shared" si="33"/>
        <v>-19.117609098967126</v>
      </c>
      <c r="AC55" s="33">
        <f t="shared" si="33"/>
        <v>-19.117609098967126</v>
      </c>
      <c r="AD55" s="33">
        <f t="shared" si="33"/>
        <v>-19.117609098967126</v>
      </c>
      <c r="AE55" s="33">
        <f t="shared" si="33"/>
        <v>-19.117609098967126</v>
      </c>
      <c r="AF55" s="33">
        <f t="shared" si="33"/>
        <v>-19.117609098967126</v>
      </c>
      <c r="AG55" s="33">
        <f t="shared" si="33"/>
        <v>-19.117609098967126</v>
      </c>
      <c r="AH55" s="33">
        <f t="shared" si="33"/>
        <v>-19.117609098967126</v>
      </c>
      <c r="AJ55" s="13" cm="1">
        <f t="array" aca="1" ref="AJ55" ca="1">SUMPRODUCT(($E55:$AH55)*(AJ$3&amp;AJ$4&amp;AJ$5&amp;AJ$6=$E$3:$AH$3&amp;$E$4:$AH$4&amp;$E$5:$AH$5&amp;$E$6:$AH$6))</f>
        <v>-60.914702296901375</v>
      </c>
      <c r="AK55" s="13" cm="1">
        <f t="array" aca="1" ref="AK55" ca="1">SUMPRODUCT(($E55:$AH55)*(AK$3=$E$3:$AH$3)*(AK$4=$E$4:$AH$4)*(AK$5=$E$5:$AH$5)*(AK$6=$E$6:$AH$6))</f>
        <v>-66.110118963568041</v>
      </c>
      <c r="AL55" s="13" cm="1">
        <f t="array" aca="1" ref="AL55" ca="1">SUMPRODUCT(($E55:$AH55)*(AL$3=$E$3:$AH$3)*(AL$4=$E$4:$AH$4)*(AL$5=$E$5:$AH$5)*(AL$6=$E$6:$AH$6))</f>
        <v>-57.195327296901368</v>
      </c>
      <c r="AM55" s="17" cm="1">
        <f t="array" aca="1" ref="AM55" ca="1">SUMPRODUCT(($E55:$AH55)*(AM$3=$E$3:$AH$3)*(AM$4=$E$4:$AH$4)*(AM$5=$E$5:$AH$5)*(AM$6=$E$6:$AH$6))</f>
        <v>-57.247827296901377</v>
      </c>
      <c r="AN55" s="13" cm="1">
        <f t="array" aca="1" ref="AN55" ca="1">SUMPRODUCT(($E55:$AH55)*(AN$3=$E$3:$AH$3)*(AN$4=$E$4:$AH$4)*(AN$5=$E$5:$AH$5)*(AN$6=$E$6:$AH$6))</f>
        <v>-57.352827296901381</v>
      </c>
      <c r="AO55" s="13" cm="1">
        <f t="array" aca="1" ref="AO55" ca="1">SUMPRODUCT(($E55:$AH55)*(AO$3=$E$3:$AH$3)*(AO$4=$E$4:$AH$4)*(AO$5=$E$5:$AH$5)*(AO$6=$E$6:$AH$6))</f>
        <v>-57.352827296901381</v>
      </c>
      <c r="AP55" s="13" cm="1">
        <f t="array" aca="1" ref="AP55" ca="1">SUMPRODUCT(($E55:$AH55)*(AP$3=$E$3:$AH$3)*(AP$4=$E$4:$AH$4)*(AP$5=$E$5:$AH$5)*(AP$6=$E$6:$AH$6))</f>
        <v>-57.352827296901381</v>
      </c>
      <c r="AQ55" s="13" cm="1">
        <f t="array" aca="1" ref="AQ55" ca="1">SUMPRODUCT(($E55:$AH55)*(AQ$3=$E$3:$AH$3)*(AQ$4=$E$4:$AH$4)*(AQ$5=$E$5:$AH$5)*(AQ$6=$E$6:$AH$6))</f>
        <v>-57.352827296901381</v>
      </c>
      <c r="AR55" s="13" cm="1">
        <f t="array" aca="1" ref="AR55" ca="1">SUMPRODUCT(($E55:$AH55)*(AR$3=$E$3:$AH$3)*(AR$4=$E$4:$AH$4)*(AR$5=$E$5:$AH$5)*(AR$6=$E$6:$AH$6))</f>
        <v>-57.352827296901381</v>
      </c>
      <c r="AS55" s="13" cm="1">
        <f t="array" aca="1" ref="AS55" ca="1">SUMPRODUCT(($E55:$AH55)*(AS$3=$E$3:$AH$3)*(AS$4=$E$4:$AH$4)*(AS$5=$E$5:$AH$5)*(AS$6=$E$6:$AH$6))</f>
        <v>-57.352827296901381</v>
      </c>
      <c r="AT55" s="13"/>
      <c r="AU55" s="13" cm="1">
        <f t="array" aca="1" ref="AU55" ca="1">SUMPRODUCT(($E55:$AH55)*(AU$5=$E$5:$AH$5))</f>
        <v>-127.02482126046942</v>
      </c>
      <c r="AV55" s="13" cm="1">
        <f t="array" aca="1" ref="AV55" ca="1">SUMPRODUCT(($E55:$AH55)*(AV$5=$E$5:$AH$5))</f>
        <v>-229.14880918760556</v>
      </c>
      <c r="AW55" s="13" cm="1">
        <f t="array" aca="1" ref="AW55" ca="1">SUMPRODUCT(($E55:$AH55)*(AW$5=$E$5:$AH$5))</f>
        <v>-229.41130918760555</v>
      </c>
    </row>
    <row r="56" spans="2:49" x14ac:dyDescent="0.25">
      <c r="C56" s="23" t="s">
        <v>401</v>
      </c>
      <c r="D56" s="27"/>
      <c r="E56" s="74">
        <f>E109</f>
        <v>-7.7421516354157198</v>
      </c>
      <c r="F56" s="74">
        <f t="shared" ref="F56:AH56" si="34">F109</f>
        <v>21.963393407128883</v>
      </c>
      <c r="G56" s="74">
        <f t="shared" si="34"/>
        <v>5.7711994128083015</v>
      </c>
      <c r="H56" s="74">
        <f t="shared" si="34"/>
        <v>-7.1737120765139561</v>
      </c>
      <c r="I56" s="74">
        <f t="shared" si="34"/>
        <v>-15.405349451822646</v>
      </c>
      <c r="J56" s="74">
        <f t="shared" si="34"/>
        <v>-62.586579612999735</v>
      </c>
      <c r="K56" s="74">
        <f t="shared" si="34"/>
        <v>-14.52854240424319</v>
      </c>
      <c r="L56" s="74">
        <f t="shared" si="34"/>
        <v>-5.407872102788402</v>
      </c>
      <c r="M56" s="74">
        <f t="shared" si="34"/>
        <v>72.079688395221268</v>
      </c>
      <c r="N56" s="74">
        <f t="shared" si="34"/>
        <v>-56.773908354049304</v>
      </c>
      <c r="O56" s="74">
        <f t="shared" si="34"/>
        <v>-36.826816824970841</v>
      </c>
      <c r="P56" s="75">
        <f t="shared" si="34"/>
        <v>-32.056646284226957</v>
      </c>
      <c r="Q56" s="74">
        <f t="shared" si="34"/>
        <v>-21.58499303568021</v>
      </c>
      <c r="R56" s="74">
        <f t="shared" si="34"/>
        <v>8.2866705843963633</v>
      </c>
      <c r="S56" s="74">
        <f t="shared" si="34"/>
        <v>4.0166065763790026</v>
      </c>
      <c r="T56" s="74">
        <f t="shared" si="34"/>
        <v>-4.0778734873360101</v>
      </c>
      <c r="U56" s="74">
        <f t="shared" si="34"/>
        <v>-14.369603096713893</v>
      </c>
      <c r="V56" s="74">
        <f t="shared" si="34"/>
        <v>-51.703960431934661</v>
      </c>
      <c r="W56" s="74">
        <f t="shared" si="34"/>
        <v>-12.284393359800481</v>
      </c>
      <c r="X56" s="74">
        <f t="shared" si="34"/>
        <v>0.77886972860836157</v>
      </c>
      <c r="Y56" s="74">
        <f t="shared" si="34"/>
        <v>78.352511585961579</v>
      </c>
      <c r="Z56" s="74">
        <f t="shared" si="34"/>
        <v>-54.291956728506747</v>
      </c>
      <c r="AA56" s="74">
        <f t="shared" si="34"/>
        <v>-30.950433497367548</v>
      </c>
      <c r="AB56" s="74">
        <f t="shared" si="34"/>
        <v>-39.661160734609318</v>
      </c>
      <c r="AC56" s="74">
        <f t="shared" si="34"/>
        <v>-20.019197706304155</v>
      </c>
      <c r="AD56" s="74">
        <f t="shared" si="34"/>
        <v>9.4848917467789899</v>
      </c>
      <c r="AE56" s="74">
        <f t="shared" si="34"/>
        <v>1.429432158424033</v>
      </c>
      <c r="AF56" s="74">
        <f t="shared" si="34"/>
        <v>-6.2809290417376173</v>
      </c>
      <c r="AG56" s="74">
        <f t="shared" si="34"/>
        <v>-17.011676086441497</v>
      </c>
      <c r="AH56" s="74">
        <f t="shared" si="34"/>
        <v>-56.370665549365306</v>
      </c>
      <c r="AJ56" s="24" cm="1">
        <f t="array" aca="1" ref="AJ56" ca="1">SUMPRODUCT(($E56:$AH56)*(AJ$3&amp;AJ$4&amp;AJ$5&amp;AJ$6=$E$3:$AH$3&amp;$E$4:$AH$4&amp;$E$5:$AH$5&amp;$E$6:$AH$6))</f>
        <v>19.992441184521464</v>
      </c>
      <c r="AK56" s="24" cm="1">
        <f t="array" aca="1" ref="AK56" ca="1">SUMPRODUCT(($E56:$AH56)*(AK$3=$E$3:$AH$3)*(AK$4=$E$4:$AH$4)*(AK$5=$E$5:$AH$5)*(AK$6=$E$6:$AH$6))</f>
        <v>-85.165641141336337</v>
      </c>
      <c r="AL56" s="24" cm="1">
        <f t="array" aca="1" ref="AL56" ca="1">SUMPRODUCT(($E56:$AH56)*(AL$3=$E$3:$AH$3)*(AL$4=$E$4:$AH$4)*(AL$5=$E$5:$AH$5)*(AL$6=$E$6:$AH$6))</f>
        <v>52.143273888189675</v>
      </c>
      <c r="AM56" s="64" cm="1">
        <f t="array" aca="1" ref="AM56" ca="1">SUMPRODUCT(($E56:$AH56)*(AM$3=$E$3:$AH$3)*(AM$4=$E$4:$AH$4)*(AM$5=$E$5:$AH$5)*(AM$6=$E$6:$AH$6))</f>
        <v>-125.6573714632471</v>
      </c>
      <c r="AN56" s="24" cm="1">
        <f t="array" aca="1" ref="AN56" ca="1">SUMPRODUCT(($E56:$AH56)*(AN$3=$E$3:$AH$3)*(AN$4=$E$4:$AH$4)*(AN$5=$E$5:$AH$5)*(AN$6=$E$6:$AH$6))</f>
        <v>-9.2817158749048438</v>
      </c>
      <c r="AO56" s="24" cm="1">
        <f t="array" aca="1" ref="AO56" ca="1">SUMPRODUCT(($E56:$AH56)*(AO$3=$E$3:$AH$3)*(AO$4=$E$4:$AH$4)*(AO$5=$E$5:$AH$5)*(AO$6=$E$6:$AH$6))</f>
        <v>-70.151437015984556</v>
      </c>
      <c r="AP56" s="24" cm="1">
        <f t="array" aca="1" ref="AP56" ca="1">SUMPRODUCT(($E56:$AH56)*(AP$3=$E$3:$AH$3)*(AP$4=$E$4:$AH$4)*(AP$5=$E$5:$AH$5)*(AP$6=$E$6:$AH$6))</f>
        <v>66.84698795476946</v>
      </c>
      <c r="AQ56" s="24" cm="1">
        <f t="array" aca="1" ref="AQ56" ca="1">SUMPRODUCT(($E56:$AH56)*(AQ$3=$E$3:$AH$3)*(AQ$4=$E$4:$AH$4)*(AQ$5=$E$5:$AH$5)*(AQ$6=$E$6:$AH$6))</f>
        <v>-124.90355096048361</v>
      </c>
      <c r="AR56" s="24" cm="1">
        <f t="array" aca="1" ref="AR56" ca="1">SUMPRODUCT(($E56:$AH56)*(AR$3=$E$3:$AH$3)*(AR$4=$E$4:$AH$4)*(AR$5=$E$5:$AH$5)*(AR$6=$E$6:$AH$6))</f>
        <v>-9.1048738011011316</v>
      </c>
      <c r="AS56" s="24" cm="1">
        <f t="array" aca="1" ref="AS56" ca="1">SUMPRODUCT(($E56:$AH56)*(AS$3=$E$3:$AH$3)*(AS$4=$E$4:$AH$4)*(AS$5=$E$5:$AH$5)*(AS$6=$E$6:$AH$6))</f>
        <v>-79.663270677544418</v>
      </c>
      <c r="AT56" s="13"/>
      <c r="AU56" s="24" cm="1">
        <f t="array" aca="1" ref="AU56" ca="1">SUMPRODUCT(($E56:$AH56)*(AU$5=$E$5:$AH$5))</f>
        <v>-65.173199956814869</v>
      </c>
      <c r="AV56" s="24" cm="1">
        <f t="array" aca="1" ref="AV56" ca="1">SUMPRODUCT(($E56:$AH56)*(AV$5=$E$5:$AH$5))</f>
        <v>-152.94725046594684</v>
      </c>
      <c r="AW56" s="24" cm="1">
        <f t="array" aca="1" ref="AW56" ca="1">SUMPRODUCT(($E56:$AH56)*(AW$5=$E$5:$AH$5))</f>
        <v>-146.82470748435972</v>
      </c>
    </row>
    <row r="57" spans="2:49" x14ac:dyDescent="0.25">
      <c r="B57" t="s">
        <v>231</v>
      </c>
      <c r="C57" s="25" t="s">
        <v>179</v>
      </c>
      <c r="D57" s="11"/>
      <c r="E57" s="21">
        <f t="shared" ref="E57:AH57" si="35">SUM(E50:E56)</f>
        <v>-155.25372102412572</v>
      </c>
      <c r="F57" s="21">
        <f t="shared" si="35"/>
        <v>-251.86681472432605</v>
      </c>
      <c r="G57" s="21">
        <f t="shared" si="35"/>
        <v>-395.88963916346091</v>
      </c>
      <c r="H57" s="21">
        <f t="shared" si="35"/>
        <v>-131.41293780275242</v>
      </c>
      <c r="I57" s="21">
        <f t="shared" si="35"/>
        <v>160.15425639908088</v>
      </c>
      <c r="J57" s="21">
        <f t="shared" si="35"/>
        <v>-91.33900305622322</v>
      </c>
      <c r="K57" s="21">
        <f t="shared" si="35"/>
        <v>410.39600657972682</v>
      </c>
      <c r="L57" s="21">
        <f t="shared" si="35"/>
        <v>-197.20232824292177</v>
      </c>
      <c r="M57" s="21">
        <f t="shared" si="35"/>
        <v>316.48366391500201</v>
      </c>
      <c r="N57" s="21">
        <f t="shared" si="35"/>
        <v>-534.23292835972677</v>
      </c>
      <c r="O57" s="21">
        <f t="shared" si="35"/>
        <v>280.52452139795395</v>
      </c>
      <c r="P57" s="22">
        <f t="shared" si="35"/>
        <v>-210.03541838593216</v>
      </c>
      <c r="Q57" s="21">
        <f t="shared" si="35"/>
        <v>232.68170984850605</v>
      </c>
      <c r="R57" s="21">
        <f t="shared" si="35"/>
        <v>-348.97403152431167</v>
      </c>
      <c r="S57" s="21">
        <f t="shared" si="35"/>
        <v>86.206754027151092</v>
      </c>
      <c r="T57" s="21">
        <f t="shared" si="35"/>
        <v>-154.13455869296848</v>
      </c>
      <c r="U57" s="21">
        <f t="shared" si="35"/>
        <v>-48.0342153994306</v>
      </c>
      <c r="V57" s="21">
        <f t="shared" si="35"/>
        <v>-138.28376671082827</v>
      </c>
      <c r="W57" s="21">
        <f t="shared" si="35"/>
        <v>339.90883451084568</v>
      </c>
      <c r="X57" s="21">
        <f t="shared" si="35"/>
        <v>467.95861833720357</v>
      </c>
      <c r="Y57" s="21">
        <f t="shared" si="35"/>
        <v>333.74901399960561</v>
      </c>
      <c r="Z57" s="21">
        <f t="shared" si="35"/>
        <v>-815.72493940350307</v>
      </c>
      <c r="AA57" s="21">
        <f t="shared" si="35"/>
        <v>178.46701865264728</v>
      </c>
      <c r="AB57" s="21">
        <f t="shared" si="35"/>
        <v>483.12564459032092</v>
      </c>
      <c r="AC57" s="21">
        <f t="shared" si="35"/>
        <v>466.0941414194757</v>
      </c>
      <c r="AD57" s="21">
        <f t="shared" si="35"/>
        <v>-291.48459615365914</v>
      </c>
      <c r="AE57" s="21">
        <f t="shared" si="35"/>
        <v>132.61927239408212</v>
      </c>
      <c r="AF57" s="21">
        <f t="shared" si="35"/>
        <v>-132.87967165383782</v>
      </c>
      <c r="AG57" s="21">
        <f t="shared" si="35"/>
        <v>7.7410029095389739</v>
      </c>
      <c r="AH57" s="21">
        <f t="shared" si="35"/>
        <v>-145.09324376350125</v>
      </c>
      <c r="AI57" s="11"/>
      <c r="AJ57" s="21">
        <f t="shared" ref="AJ57:AS57" ca="1" si="36">SUM(AJ50:AJ56)</f>
        <v>-803.01017491191249</v>
      </c>
      <c r="AK57" s="21">
        <f t="shared" ca="1" si="36"/>
        <v>-62.59768445989485</v>
      </c>
      <c r="AL57" s="21">
        <f t="shared" ca="1" si="36"/>
        <v>529.67734225180641</v>
      </c>
      <c r="AM57" s="340">
        <f t="shared" ca="1" si="36"/>
        <v>-463.74382534770501</v>
      </c>
      <c r="AN57" s="21">
        <f t="shared" ca="1" si="36"/>
        <v>-30.085567648654564</v>
      </c>
      <c r="AO57" s="21">
        <f t="shared" ca="1" si="36"/>
        <v>-340.45254080322741</v>
      </c>
      <c r="AP57" s="21">
        <f t="shared" ca="1" si="36"/>
        <v>1141.6164668476549</v>
      </c>
      <c r="AQ57" s="21">
        <f t="shared" ca="1" si="36"/>
        <v>-154.13227616053524</v>
      </c>
      <c r="AR57" s="21">
        <f t="shared" ca="1" si="36"/>
        <v>307.22881765989916</v>
      </c>
      <c r="AS57" s="21">
        <f t="shared" ca="1" si="36"/>
        <v>-270.23191250780008</v>
      </c>
      <c r="AT57" s="13"/>
      <c r="AU57" s="21">
        <f ca="1">SUM(AU50:AU56)</f>
        <v>-865.60785937180708</v>
      </c>
      <c r="AV57" s="21">
        <f ca="1">SUM(AV50:AV56)</f>
        <v>-304.60459154777806</v>
      </c>
      <c r="AW57" s="21">
        <f ca="1">SUM(AW50:AW56)</f>
        <v>1024.4810958392184</v>
      </c>
    </row>
    <row r="58" spans="2:49" x14ac:dyDescent="0.25">
      <c r="P58" s="8"/>
      <c r="AM58" s="8"/>
      <c r="AT58" s="13"/>
    </row>
    <row r="59" spans="2:49" x14ac:dyDescent="0.25">
      <c r="C59" s="1" t="s">
        <v>192</v>
      </c>
      <c r="E59" s="33">
        <f>-Balance_Sheet!E85</f>
        <v>0</v>
      </c>
      <c r="F59" s="33">
        <f>-Balance_Sheet!F85</f>
        <v>0</v>
      </c>
      <c r="G59" s="33">
        <f>-Balance_Sheet!G85</f>
        <v>0</v>
      </c>
      <c r="H59" s="33">
        <f>-Balance_Sheet!H85</f>
        <v>0</v>
      </c>
      <c r="I59" s="33">
        <f>-Balance_Sheet!I85</f>
        <v>0</v>
      </c>
      <c r="J59" s="33">
        <f>-Balance_Sheet!J85</f>
        <v>0</v>
      </c>
      <c r="K59" s="33">
        <f>-Balance_Sheet!K85</f>
        <v>0</v>
      </c>
      <c r="L59" s="33">
        <f>-Balance_Sheet!L85</f>
        <v>0</v>
      </c>
      <c r="M59" s="33">
        <f>-Balance_Sheet!M85</f>
        <v>0</v>
      </c>
      <c r="N59" s="33">
        <f>-Balance_Sheet!N85</f>
        <v>0</v>
      </c>
      <c r="O59" s="33">
        <f>-Balance_Sheet!O85</f>
        <v>0</v>
      </c>
      <c r="P59" s="34">
        <f>-Balance_Sheet!P85</f>
        <v>0</v>
      </c>
      <c r="Q59" s="33">
        <f>-Balance_Sheet!Q85</f>
        <v>0</v>
      </c>
      <c r="R59" s="33">
        <f>-Balance_Sheet!R85</f>
        <v>0</v>
      </c>
      <c r="S59" s="33">
        <f>-Balance_Sheet!S85</f>
        <v>0</v>
      </c>
      <c r="T59" s="33">
        <f>-Balance_Sheet!T85</f>
        <v>0</v>
      </c>
      <c r="U59" s="33">
        <f>-Balance_Sheet!U85</f>
        <v>0</v>
      </c>
      <c r="V59" s="33">
        <f>-Balance_Sheet!V85</f>
        <v>0</v>
      </c>
      <c r="W59" s="33">
        <f>-Balance_Sheet!W85</f>
        <v>0</v>
      </c>
      <c r="X59" s="33">
        <f>-Balance_Sheet!X85</f>
        <v>0</v>
      </c>
      <c r="Y59" s="33">
        <f>-Balance_Sheet!Y85</f>
        <v>0</v>
      </c>
      <c r="Z59" s="33">
        <f>-Balance_Sheet!Z85</f>
        <v>0</v>
      </c>
      <c r="AA59" s="33">
        <f>-Balance_Sheet!AA85</f>
        <v>0</v>
      </c>
      <c r="AB59" s="33">
        <f>-Balance_Sheet!AB85</f>
        <v>0</v>
      </c>
      <c r="AC59" s="33">
        <f>-Balance_Sheet!AC85</f>
        <v>0</v>
      </c>
      <c r="AD59" s="33">
        <f>-Balance_Sheet!AD85</f>
        <v>0</v>
      </c>
      <c r="AE59" s="33">
        <f>-Balance_Sheet!AE85</f>
        <v>0</v>
      </c>
      <c r="AF59" s="33">
        <f>-Balance_Sheet!AF85</f>
        <v>0</v>
      </c>
      <c r="AG59" s="33">
        <f>-Balance_Sheet!AG85</f>
        <v>0</v>
      </c>
      <c r="AH59" s="33">
        <f>-Balance_Sheet!AH85</f>
        <v>0</v>
      </c>
      <c r="AJ59" s="13" cm="1">
        <f t="array" aca="1" ref="AJ59" ca="1">SUMPRODUCT(($E59:$AH59)*(AJ$3&amp;AJ$4&amp;AJ$5&amp;AJ$6=$E$3:$AH$3&amp;$E$4:$AH$4&amp;$E$5:$AH$5&amp;$E$6:$AH$6))</f>
        <v>0</v>
      </c>
      <c r="AK59" s="13" cm="1">
        <f t="array" aca="1" ref="AK59" ca="1">SUMPRODUCT(($E59:$AH59)*(AK$3=$E$3:$AH$3)*(AK$4=$E$4:$AH$4)*(AK$5=$E$5:$AH$5)*(AK$6=$E$6:$AH$6))</f>
        <v>0</v>
      </c>
      <c r="AL59" s="13" cm="1">
        <f t="array" aca="1" ref="AL59" ca="1">SUMPRODUCT(($E59:$AH59)*(AL$3=$E$3:$AH$3)*(AL$4=$E$4:$AH$4)*(AL$5=$E$5:$AH$5)*(AL$6=$E$6:$AH$6))</f>
        <v>0</v>
      </c>
      <c r="AM59" s="17" cm="1">
        <f t="array" aca="1" ref="AM59" ca="1">SUMPRODUCT(($E59:$AH59)*(AM$3=$E$3:$AH$3)*(AM$4=$E$4:$AH$4)*(AM$5=$E$5:$AH$5)*(AM$6=$E$6:$AH$6))</f>
        <v>0</v>
      </c>
      <c r="AN59" s="13" cm="1">
        <f t="array" aca="1" ref="AN59" ca="1">SUMPRODUCT(($E59:$AH59)*(AN$3=$E$3:$AH$3)*(AN$4=$E$4:$AH$4)*(AN$5=$E$5:$AH$5)*(AN$6=$E$6:$AH$6))</f>
        <v>0</v>
      </c>
      <c r="AO59" s="13" cm="1">
        <f t="array" aca="1" ref="AO59" ca="1">SUMPRODUCT(($E59:$AH59)*(AO$3=$E$3:$AH$3)*(AO$4=$E$4:$AH$4)*(AO$5=$E$5:$AH$5)*(AO$6=$E$6:$AH$6))</f>
        <v>0</v>
      </c>
      <c r="AP59" s="13" cm="1">
        <f t="array" aca="1" ref="AP59" ca="1">SUMPRODUCT(($E59:$AH59)*(AP$3=$E$3:$AH$3)*(AP$4=$E$4:$AH$4)*(AP$5=$E$5:$AH$5)*(AP$6=$E$6:$AH$6))</f>
        <v>0</v>
      </c>
      <c r="AQ59" s="13" cm="1">
        <f t="array" aca="1" ref="AQ59" ca="1">SUMPRODUCT(($E59:$AH59)*(AQ$3=$E$3:$AH$3)*(AQ$4=$E$4:$AH$4)*(AQ$5=$E$5:$AH$5)*(AQ$6=$E$6:$AH$6))</f>
        <v>0</v>
      </c>
      <c r="AR59" s="13" cm="1">
        <f t="array" aca="1" ref="AR59" ca="1">SUMPRODUCT(($E59:$AH59)*(AR$3=$E$3:$AH$3)*(AR$4=$E$4:$AH$4)*(AR$5=$E$5:$AH$5)*(AR$6=$E$6:$AH$6))</f>
        <v>0</v>
      </c>
      <c r="AS59" s="13" cm="1">
        <f t="array" aca="1" ref="AS59" ca="1">SUMPRODUCT(($E59:$AH59)*(AS$3=$E$3:$AH$3)*(AS$4=$E$4:$AH$4)*(AS$5=$E$5:$AH$5)*(AS$6=$E$6:$AH$6))</f>
        <v>0</v>
      </c>
      <c r="AT59" s="13"/>
      <c r="AU59" s="13" cm="1">
        <f t="array" aca="1" ref="AU59" ca="1">SUMPRODUCT(($E59:$AH59)*(AU$5=$E$5:$AH$5))</f>
        <v>0</v>
      </c>
      <c r="AV59" s="13" cm="1">
        <f t="array" aca="1" ref="AV59" ca="1">SUMPRODUCT(($E59:$AH59)*(AV$5=$E$5:$AH$5))</f>
        <v>0</v>
      </c>
      <c r="AW59" s="13" cm="1">
        <f t="array" aca="1" ref="AW59" ca="1">SUMPRODUCT(($E59:$AH59)*(AW$5=$E$5:$AH$5))</f>
        <v>0</v>
      </c>
    </row>
    <row r="60" spans="2:49" x14ac:dyDescent="0.25">
      <c r="C60" s="1" t="s">
        <v>193</v>
      </c>
      <c r="E60" s="56">
        <f>Balance_Sheet!E86</f>
        <v>0</v>
      </c>
      <c r="F60" s="56">
        <f>Balance_Sheet!F86</f>
        <v>0</v>
      </c>
      <c r="G60" s="56">
        <f>Balance_Sheet!G86</f>
        <v>0</v>
      </c>
      <c r="H60" s="56">
        <f>Balance_Sheet!H86</f>
        <v>0</v>
      </c>
      <c r="I60" s="56">
        <f>Balance_Sheet!I86</f>
        <v>0</v>
      </c>
      <c r="J60" s="56">
        <f>Balance_Sheet!J86</f>
        <v>0</v>
      </c>
      <c r="K60" s="56">
        <f>Balance_Sheet!K86</f>
        <v>0</v>
      </c>
      <c r="L60" s="56">
        <f>Balance_Sheet!L86</f>
        <v>0</v>
      </c>
      <c r="M60" s="56">
        <f>Balance_Sheet!M86</f>
        <v>0</v>
      </c>
      <c r="N60" s="56">
        <f>Balance_Sheet!N86</f>
        <v>0</v>
      </c>
      <c r="O60" s="56">
        <f>Balance_Sheet!O86</f>
        <v>0</v>
      </c>
      <c r="P60" s="34">
        <f>Balance_Sheet!P86</f>
        <v>0</v>
      </c>
      <c r="Q60" s="56">
        <f>Balance_Sheet!Q86</f>
        <v>0</v>
      </c>
      <c r="R60" s="56">
        <f>Balance_Sheet!R86</f>
        <v>0</v>
      </c>
      <c r="S60" s="56">
        <f>Balance_Sheet!S86</f>
        <v>0</v>
      </c>
      <c r="T60" s="56">
        <f>Balance_Sheet!T86</f>
        <v>0</v>
      </c>
      <c r="U60" s="56">
        <f>Balance_Sheet!U86</f>
        <v>0</v>
      </c>
      <c r="V60" s="56">
        <f>Balance_Sheet!V86</f>
        <v>0</v>
      </c>
      <c r="W60" s="56">
        <f>Balance_Sheet!W86</f>
        <v>0</v>
      </c>
      <c r="X60" s="56">
        <f>Balance_Sheet!X86</f>
        <v>0</v>
      </c>
      <c r="Y60" s="56">
        <f>Balance_Sheet!Y86</f>
        <v>0</v>
      </c>
      <c r="Z60" s="56">
        <f>Balance_Sheet!Z86</f>
        <v>0</v>
      </c>
      <c r="AA60" s="56">
        <f>Balance_Sheet!AA86</f>
        <v>0</v>
      </c>
      <c r="AB60" s="56">
        <f>Balance_Sheet!AB86</f>
        <v>0</v>
      </c>
      <c r="AC60" s="56">
        <f>Balance_Sheet!AC86</f>
        <v>0</v>
      </c>
      <c r="AD60" s="56">
        <f>Balance_Sheet!AD86</f>
        <v>0</v>
      </c>
      <c r="AE60" s="56">
        <f>Balance_Sheet!AE86</f>
        <v>0</v>
      </c>
      <c r="AF60" s="56">
        <f>Balance_Sheet!AF86</f>
        <v>0</v>
      </c>
      <c r="AG60" s="56">
        <f>Balance_Sheet!AG86</f>
        <v>0</v>
      </c>
      <c r="AH60" s="56">
        <f>Balance_Sheet!AH86</f>
        <v>0</v>
      </c>
      <c r="AJ60" s="13" cm="1">
        <f t="array" aca="1" ref="AJ60" ca="1">SUMPRODUCT(($E60:$AH60)*(AJ$3&amp;AJ$4&amp;AJ$5&amp;AJ$6=$E$3:$AH$3&amp;$E$4:$AH$4&amp;$E$5:$AH$5&amp;$E$6:$AH$6))</f>
        <v>0</v>
      </c>
      <c r="AK60" s="13" cm="1">
        <f t="array" aca="1" ref="AK60" ca="1">SUMPRODUCT(($E60:$AH60)*(AK$3=$E$3:$AH$3)*(AK$4=$E$4:$AH$4)*(AK$5=$E$5:$AH$5)*(AK$6=$E$6:$AH$6))</f>
        <v>0</v>
      </c>
      <c r="AL60" s="13" cm="1">
        <f t="array" aca="1" ref="AL60" ca="1">SUMPRODUCT(($E60:$AH60)*(AL$3=$E$3:$AH$3)*(AL$4=$E$4:$AH$4)*(AL$5=$E$5:$AH$5)*(AL$6=$E$6:$AH$6))</f>
        <v>0</v>
      </c>
      <c r="AM60" s="17" cm="1">
        <f t="array" aca="1" ref="AM60" ca="1">SUMPRODUCT(($E60:$AH60)*(AM$3=$E$3:$AH$3)*(AM$4=$E$4:$AH$4)*(AM$5=$E$5:$AH$5)*(AM$6=$E$6:$AH$6))</f>
        <v>0</v>
      </c>
      <c r="AN60" s="13" cm="1">
        <f t="array" aca="1" ref="AN60" ca="1">SUMPRODUCT(($E60:$AH60)*(AN$3=$E$3:$AH$3)*(AN$4=$E$4:$AH$4)*(AN$5=$E$5:$AH$5)*(AN$6=$E$6:$AH$6))</f>
        <v>0</v>
      </c>
      <c r="AO60" s="13" cm="1">
        <f t="array" aca="1" ref="AO60" ca="1">SUMPRODUCT(($E60:$AH60)*(AO$3=$E$3:$AH$3)*(AO$4=$E$4:$AH$4)*(AO$5=$E$5:$AH$5)*(AO$6=$E$6:$AH$6))</f>
        <v>0</v>
      </c>
      <c r="AP60" s="13" cm="1">
        <f t="array" aca="1" ref="AP60" ca="1">SUMPRODUCT(($E60:$AH60)*(AP$3=$E$3:$AH$3)*(AP$4=$E$4:$AH$4)*(AP$5=$E$5:$AH$5)*(AP$6=$E$6:$AH$6))</f>
        <v>0</v>
      </c>
      <c r="AQ60" s="13" cm="1">
        <f t="array" aca="1" ref="AQ60" ca="1">SUMPRODUCT(($E60:$AH60)*(AQ$3=$E$3:$AH$3)*(AQ$4=$E$4:$AH$4)*(AQ$5=$E$5:$AH$5)*(AQ$6=$E$6:$AH$6))</f>
        <v>0</v>
      </c>
      <c r="AR60" s="13" cm="1">
        <f t="array" aca="1" ref="AR60" ca="1">SUMPRODUCT(($E60:$AH60)*(AR$3=$E$3:$AH$3)*(AR$4=$E$4:$AH$4)*(AR$5=$E$5:$AH$5)*(AR$6=$E$6:$AH$6))</f>
        <v>0</v>
      </c>
      <c r="AS60" s="13" cm="1">
        <f t="array" aca="1" ref="AS60" ca="1">SUMPRODUCT(($E60:$AH60)*(AS$3=$E$3:$AH$3)*(AS$4=$E$4:$AH$4)*(AS$5=$E$5:$AH$5)*(AS$6=$E$6:$AH$6))</f>
        <v>0</v>
      </c>
      <c r="AT60" s="13"/>
      <c r="AU60" s="13" cm="1">
        <f t="array" aca="1" ref="AU60" ca="1">SUMPRODUCT(($E60:$AH60)*(AU$5=$E$5:$AH$5))</f>
        <v>0</v>
      </c>
      <c r="AV60" s="13" cm="1">
        <f t="array" aca="1" ref="AV60" ca="1">SUMPRODUCT(($E60:$AH60)*(AV$5=$E$5:$AH$5))</f>
        <v>0</v>
      </c>
      <c r="AW60" s="13" cm="1">
        <f t="array" aca="1" ref="AW60" ca="1">SUMPRODUCT(($E60:$AH60)*(AW$5=$E$5:$AH$5))</f>
        <v>0</v>
      </c>
    </row>
    <row r="61" spans="2:49" x14ac:dyDescent="0.25">
      <c r="C61" s="1" t="s">
        <v>276</v>
      </c>
      <c r="E61" s="56">
        <f>-(Balance_Sheet!E106+Balance_Sheet!E122)</f>
        <v>0</v>
      </c>
      <c r="F61" s="56">
        <f>-(Balance_Sheet!F106+Balance_Sheet!F122)</f>
        <v>0</v>
      </c>
      <c r="G61" s="56">
        <f>-(Balance_Sheet!G106+Balance_Sheet!G122)</f>
        <v>0</v>
      </c>
      <c r="H61" s="56">
        <f>-(Balance_Sheet!H106+Balance_Sheet!H122)</f>
        <v>0</v>
      </c>
      <c r="I61" s="56">
        <f>-(Balance_Sheet!I106+Balance_Sheet!I122)</f>
        <v>0</v>
      </c>
      <c r="J61" s="56">
        <f>-(Balance_Sheet!J106+Balance_Sheet!J122)</f>
        <v>0</v>
      </c>
      <c r="K61" s="56">
        <f>-(Balance_Sheet!K106+Balance_Sheet!K122)</f>
        <v>0</v>
      </c>
      <c r="L61" s="56">
        <f>-(Balance_Sheet!L106+Balance_Sheet!L122)</f>
        <v>0</v>
      </c>
      <c r="M61" s="56">
        <f>-(Balance_Sheet!M106+Balance_Sheet!M122)</f>
        <v>0</v>
      </c>
      <c r="N61" s="56">
        <f>-(Balance_Sheet!N106+Balance_Sheet!N122)</f>
        <v>0</v>
      </c>
      <c r="O61" s="56">
        <f>-(Balance_Sheet!O106+Balance_Sheet!O122)</f>
        <v>0</v>
      </c>
      <c r="P61" s="34">
        <f>-(Balance_Sheet!P106+Balance_Sheet!P122)</f>
        <v>0</v>
      </c>
      <c r="Q61" s="56">
        <f>-(Balance_Sheet!Q106+Balance_Sheet!Q122)</f>
        <v>0</v>
      </c>
      <c r="R61" s="56">
        <f>-(Balance_Sheet!R106+Balance_Sheet!R122)</f>
        <v>0</v>
      </c>
      <c r="S61" s="56">
        <f>-(Balance_Sheet!S106+Balance_Sheet!S122)</f>
        <v>0</v>
      </c>
      <c r="T61" s="56">
        <f>-(Balance_Sheet!T106+Balance_Sheet!T122)</f>
        <v>0</v>
      </c>
      <c r="U61" s="56">
        <f>-(Balance_Sheet!U106+Balance_Sheet!U122)</f>
        <v>0</v>
      </c>
      <c r="V61" s="56">
        <f>-(Balance_Sheet!V106+Balance_Sheet!V122)</f>
        <v>0</v>
      </c>
      <c r="W61" s="56">
        <f>-(Balance_Sheet!W106+Balance_Sheet!W122)</f>
        <v>0</v>
      </c>
      <c r="X61" s="56">
        <f>-(Balance_Sheet!X106+Balance_Sheet!X122)</f>
        <v>0</v>
      </c>
      <c r="Y61" s="56">
        <f>-(Balance_Sheet!Y106+Balance_Sheet!Y122)</f>
        <v>0</v>
      </c>
      <c r="Z61" s="56">
        <f>-(Balance_Sheet!Z106+Balance_Sheet!Z122)</f>
        <v>0</v>
      </c>
      <c r="AA61" s="56">
        <f>-(Balance_Sheet!AA106+Balance_Sheet!AA122)</f>
        <v>0</v>
      </c>
      <c r="AB61" s="56">
        <f>-(Balance_Sheet!AB106+Balance_Sheet!AB122)</f>
        <v>0</v>
      </c>
      <c r="AC61" s="56">
        <f>-(Balance_Sheet!AC106+Balance_Sheet!AC122)</f>
        <v>0</v>
      </c>
      <c r="AD61" s="56">
        <f>-(Balance_Sheet!AD106+Balance_Sheet!AD122)</f>
        <v>0</v>
      </c>
      <c r="AE61" s="56">
        <f>-(Balance_Sheet!AE106+Balance_Sheet!AE122)</f>
        <v>0</v>
      </c>
      <c r="AF61" s="56">
        <f>-(Balance_Sheet!AF106+Balance_Sheet!AF122)</f>
        <v>0</v>
      </c>
      <c r="AG61" s="56">
        <f>-(Balance_Sheet!AG106+Balance_Sheet!AG122)</f>
        <v>0</v>
      </c>
      <c r="AH61" s="56">
        <f>-(Balance_Sheet!AH106+Balance_Sheet!AH122)</f>
        <v>0</v>
      </c>
      <c r="AJ61" s="13" cm="1">
        <f t="array" aca="1" ref="AJ61" ca="1">SUMPRODUCT(($E61:$AH61)*(AJ$3&amp;AJ$4&amp;AJ$5&amp;AJ$6=$E$3:$AH$3&amp;$E$4:$AH$4&amp;$E$5:$AH$5&amp;$E$6:$AH$6))</f>
        <v>0</v>
      </c>
      <c r="AK61" s="13" cm="1">
        <f t="array" aca="1" ref="AK61" ca="1">SUMPRODUCT(($E61:$AH61)*(AK$3=$E$3:$AH$3)*(AK$4=$E$4:$AH$4)*(AK$5=$E$5:$AH$5)*(AK$6=$E$6:$AH$6))</f>
        <v>0</v>
      </c>
      <c r="AL61" s="13" cm="1">
        <f t="array" aca="1" ref="AL61" ca="1">SUMPRODUCT(($E61:$AH61)*(AL$3=$E$3:$AH$3)*(AL$4=$E$4:$AH$4)*(AL$5=$E$5:$AH$5)*(AL$6=$E$6:$AH$6))</f>
        <v>0</v>
      </c>
      <c r="AM61" s="17" cm="1">
        <f t="array" aca="1" ref="AM61" ca="1">SUMPRODUCT(($E61:$AH61)*(AM$3=$E$3:$AH$3)*(AM$4=$E$4:$AH$4)*(AM$5=$E$5:$AH$5)*(AM$6=$E$6:$AH$6))</f>
        <v>0</v>
      </c>
      <c r="AN61" s="13" cm="1">
        <f t="array" aca="1" ref="AN61" ca="1">SUMPRODUCT(($E61:$AH61)*(AN$3=$E$3:$AH$3)*(AN$4=$E$4:$AH$4)*(AN$5=$E$5:$AH$5)*(AN$6=$E$6:$AH$6))</f>
        <v>0</v>
      </c>
      <c r="AO61" s="13" cm="1">
        <f t="array" aca="1" ref="AO61" ca="1">SUMPRODUCT(($E61:$AH61)*(AO$3=$E$3:$AH$3)*(AO$4=$E$4:$AH$4)*(AO$5=$E$5:$AH$5)*(AO$6=$E$6:$AH$6))</f>
        <v>0</v>
      </c>
      <c r="AP61" s="13" cm="1">
        <f t="array" aca="1" ref="AP61" ca="1">SUMPRODUCT(($E61:$AH61)*(AP$3=$E$3:$AH$3)*(AP$4=$E$4:$AH$4)*(AP$5=$E$5:$AH$5)*(AP$6=$E$6:$AH$6))</f>
        <v>0</v>
      </c>
      <c r="AQ61" s="13" cm="1">
        <f t="array" aca="1" ref="AQ61" ca="1">SUMPRODUCT(($E61:$AH61)*(AQ$3=$E$3:$AH$3)*(AQ$4=$E$4:$AH$4)*(AQ$5=$E$5:$AH$5)*(AQ$6=$E$6:$AH$6))</f>
        <v>0</v>
      </c>
      <c r="AR61" s="13" cm="1">
        <f t="array" aca="1" ref="AR61" ca="1">SUMPRODUCT(($E61:$AH61)*(AR$3=$E$3:$AH$3)*(AR$4=$E$4:$AH$4)*(AR$5=$E$5:$AH$5)*(AR$6=$E$6:$AH$6))</f>
        <v>0</v>
      </c>
      <c r="AS61" s="13" cm="1">
        <f t="array" aca="1" ref="AS61" ca="1">SUMPRODUCT(($E61:$AH61)*(AS$3=$E$3:$AH$3)*(AS$4=$E$4:$AH$4)*(AS$5=$E$5:$AH$5)*(AS$6=$E$6:$AH$6))</f>
        <v>0</v>
      </c>
      <c r="AT61" s="13"/>
      <c r="AU61" s="13" cm="1">
        <f t="array" aca="1" ref="AU61" ca="1">SUMPRODUCT(($E61:$AH61)*(AU$5=$E$5:$AH$5))</f>
        <v>0</v>
      </c>
      <c r="AV61" s="13" cm="1">
        <f t="array" aca="1" ref="AV61" ca="1">SUMPRODUCT(($E61:$AH61)*(AV$5=$E$5:$AH$5))</f>
        <v>0</v>
      </c>
      <c r="AW61" s="13" cm="1">
        <f t="array" aca="1" ref="AW61" ca="1">SUMPRODUCT(($E61:$AH61)*(AW$5=$E$5:$AH$5))</f>
        <v>0</v>
      </c>
    </row>
    <row r="62" spans="2:49" x14ac:dyDescent="0.25">
      <c r="C62" s="23" t="s">
        <v>277</v>
      </c>
      <c r="D62" s="27"/>
      <c r="E62" s="74">
        <f>Balance_Sheet!E107+Balance_Sheet!E123</f>
        <v>0</v>
      </c>
      <c r="F62" s="74">
        <f>Balance_Sheet!F107+Balance_Sheet!F123</f>
        <v>0</v>
      </c>
      <c r="G62" s="74">
        <f>Balance_Sheet!G107+Balance_Sheet!G123</f>
        <v>0</v>
      </c>
      <c r="H62" s="74">
        <f>Balance_Sheet!H107+Balance_Sheet!H123</f>
        <v>0</v>
      </c>
      <c r="I62" s="74">
        <f>Balance_Sheet!I107+Balance_Sheet!I123</f>
        <v>0</v>
      </c>
      <c r="J62" s="74">
        <f>Balance_Sheet!J107+Balance_Sheet!J123</f>
        <v>0</v>
      </c>
      <c r="K62" s="74">
        <f>Balance_Sheet!K107+Balance_Sheet!K123</f>
        <v>0</v>
      </c>
      <c r="L62" s="74">
        <f>Balance_Sheet!L107+Balance_Sheet!L123</f>
        <v>0</v>
      </c>
      <c r="M62" s="74">
        <f>Balance_Sheet!M107+Balance_Sheet!M123</f>
        <v>0</v>
      </c>
      <c r="N62" s="74">
        <f>Balance_Sheet!N107+Balance_Sheet!N123</f>
        <v>0</v>
      </c>
      <c r="O62" s="74">
        <f>Balance_Sheet!O107+Balance_Sheet!O123</f>
        <v>0</v>
      </c>
      <c r="P62" s="75">
        <f>Balance_Sheet!P107+Balance_Sheet!P123</f>
        <v>0</v>
      </c>
      <c r="Q62" s="74">
        <f>Balance_Sheet!Q107+Balance_Sheet!Q123</f>
        <v>0</v>
      </c>
      <c r="R62" s="74">
        <f>Balance_Sheet!R107+Balance_Sheet!R123</f>
        <v>0</v>
      </c>
      <c r="S62" s="74">
        <f>Balance_Sheet!S107+Balance_Sheet!S123</f>
        <v>0</v>
      </c>
      <c r="T62" s="74">
        <f>Balance_Sheet!T107+Balance_Sheet!T123</f>
        <v>0</v>
      </c>
      <c r="U62" s="74">
        <f>Balance_Sheet!U107+Balance_Sheet!U123</f>
        <v>0</v>
      </c>
      <c r="V62" s="74">
        <f>Balance_Sheet!V107+Balance_Sheet!V123</f>
        <v>0</v>
      </c>
      <c r="W62" s="74">
        <f>Balance_Sheet!W107+Balance_Sheet!W123</f>
        <v>0</v>
      </c>
      <c r="X62" s="74">
        <f>Balance_Sheet!X107+Balance_Sheet!X123</f>
        <v>0</v>
      </c>
      <c r="Y62" s="74">
        <f>Balance_Sheet!Y107+Balance_Sheet!Y123</f>
        <v>0</v>
      </c>
      <c r="Z62" s="74">
        <f>Balance_Sheet!Z107+Balance_Sheet!Z123</f>
        <v>0</v>
      </c>
      <c r="AA62" s="74">
        <f>Balance_Sheet!AA107+Balance_Sheet!AA123</f>
        <v>0</v>
      </c>
      <c r="AB62" s="74">
        <f>Balance_Sheet!AB107+Balance_Sheet!AB123</f>
        <v>0</v>
      </c>
      <c r="AC62" s="74">
        <f>Balance_Sheet!AC107+Balance_Sheet!AC123</f>
        <v>0</v>
      </c>
      <c r="AD62" s="74">
        <f>Balance_Sheet!AD107+Balance_Sheet!AD123</f>
        <v>0</v>
      </c>
      <c r="AE62" s="74">
        <f>Balance_Sheet!AE107+Balance_Sheet!AE123</f>
        <v>0</v>
      </c>
      <c r="AF62" s="74">
        <f>Balance_Sheet!AF107+Balance_Sheet!AF123</f>
        <v>0</v>
      </c>
      <c r="AG62" s="74">
        <f>Balance_Sheet!AG107+Balance_Sheet!AG123</f>
        <v>0</v>
      </c>
      <c r="AH62" s="74">
        <f>Balance_Sheet!AH107+Balance_Sheet!AH123</f>
        <v>0</v>
      </c>
      <c r="AJ62" s="24" cm="1">
        <f t="array" aca="1" ref="AJ62" ca="1">SUMPRODUCT(($E62:$AH62)*(AJ$3&amp;AJ$4&amp;AJ$5&amp;AJ$6=$E$3:$AH$3&amp;$E$4:$AH$4&amp;$E$5:$AH$5&amp;$E$6:$AH$6))</f>
        <v>0</v>
      </c>
      <c r="AK62" s="24" cm="1">
        <f t="array" aca="1" ref="AK62" ca="1">SUMPRODUCT(($E62:$AH62)*(AK$3=$E$3:$AH$3)*(AK$4=$E$4:$AH$4)*(AK$5=$E$5:$AH$5)*(AK$6=$E$6:$AH$6))</f>
        <v>0</v>
      </c>
      <c r="AL62" s="24" cm="1">
        <f t="array" aca="1" ref="AL62" ca="1">SUMPRODUCT(($E62:$AH62)*(AL$3=$E$3:$AH$3)*(AL$4=$E$4:$AH$4)*(AL$5=$E$5:$AH$5)*(AL$6=$E$6:$AH$6))</f>
        <v>0</v>
      </c>
      <c r="AM62" s="64" cm="1">
        <f t="array" aca="1" ref="AM62" ca="1">SUMPRODUCT(($E62:$AH62)*(AM$3=$E$3:$AH$3)*(AM$4=$E$4:$AH$4)*(AM$5=$E$5:$AH$5)*(AM$6=$E$6:$AH$6))</f>
        <v>0</v>
      </c>
      <c r="AN62" s="24" cm="1">
        <f t="array" aca="1" ref="AN62" ca="1">SUMPRODUCT(($E62:$AH62)*(AN$3=$E$3:$AH$3)*(AN$4=$E$4:$AH$4)*(AN$5=$E$5:$AH$5)*(AN$6=$E$6:$AH$6))</f>
        <v>0</v>
      </c>
      <c r="AO62" s="24" cm="1">
        <f t="array" aca="1" ref="AO62" ca="1">SUMPRODUCT(($E62:$AH62)*(AO$3=$E$3:$AH$3)*(AO$4=$E$4:$AH$4)*(AO$5=$E$5:$AH$5)*(AO$6=$E$6:$AH$6))</f>
        <v>0</v>
      </c>
      <c r="AP62" s="24" cm="1">
        <f t="array" aca="1" ref="AP62" ca="1">SUMPRODUCT(($E62:$AH62)*(AP$3=$E$3:$AH$3)*(AP$4=$E$4:$AH$4)*(AP$5=$E$5:$AH$5)*(AP$6=$E$6:$AH$6))</f>
        <v>0</v>
      </c>
      <c r="AQ62" s="24" cm="1">
        <f t="array" aca="1" ref="AQ62" ca="1">SUMPRODUCT(($E62:$AH62)*(AQ$3=$E$3:$AH$3)*(AQ$4=$E$4:$AH$4)*(AQ$5=$E$5:$AH$5)*(AQ$6=$E$6:$AH$6))</f>
        <v>0</v>
      </c>
      <c r="AR62" s="24" cm="1">
        <f t="array" aca="1" ref="AR62" ca="1">SUMPRODUCT(($E62:$AH62)*(AR$3=$E$3:$AH$3)*(AR$4=$E$4:$AH$4)*(AR$5=$E$5:$AH$5)*(AR$6=$E$6:$AH$6))</f>
        <v>0</v>
      </c>
      <c r="AS62" s="24" cm="1">
        <f t="array" aca="1" ref="AS62" ca="1">SUMPRODUCT(($E62:$AH62)*(AS$3=$E$3:$AH$3)*(AS$4=$E$4:$AH$4)*(AS$5=$E$5:$AH$5)*(AS$6=$E$6:$AH$6))</f>
        <v>0</v>
      </c>
      <c r="AT62" s="13"/>
      <c r="AU62" s="24" cm="1">
        <f t="array" aca="1" ref="AU62" ca="1">SUMPRODUCT(($E62:$AH62)*(AU$5=$E$5:$AH$5))</f>
        <v>0</v>
      </c>
      <c r="AV62" s="24" cm="1">
        <f t="array" aca="1" ref="AV62" ca="1">SUMPRODUCT(($E62:$AH62)*(AV$5=$E$5:$AH$5))</f>
        <v>0</v>
      </c>
      <c r="AW62" s="24" cm="1">
        <f t="array" aca="1" ref="AW62" ca="1">SUMPRODUCT(($E62:$AH62)*(AW$5=$E$5:$AH$5))</f>
        <v>0</v>
      </c>
    </row>
    <row r="63" spans="2:49" x14ac:dyDescent="0.25">
      <c r="B63" t="s">
        <v>231</v>
      </c>
      <c r="C63" s="11" t="s">
        <v>182</v>
      </c>
      <c r="D63" s="11"/>
      <c r="E63" s="14">
        <f>SUM(E59:E60)</f>
        <v>0</v>
      </c>
      <c r="F63" s="21">
        <f t="shared" ref="F63:AW63" si="37">SUM(F59:F60)</f>
        <v>0</v>
      </c>
      <c r="G63" s="21">
        <f t="shared" si="37"/>
        <v>0</v>
      </c>
      <c r="H63" s="21">
        <f t="shared" si="37"/>
        <v>0</v>
      </c>
      <c r="I63" s="21">
        <f t="shared" si="37"/>
        <v>0</v>
      </c>
      <c r="J63" s="21">
        <f t="shared" si="37"/>
        <v>0</v>
      </c>
      <c r="K63" s="21">
        <f t="shared" si="37"/>
        <v>0</v>
      </c>
      <c r="L63" s="21">
        <f t="shared" si="37"/>
        <v>0</v>
      </c>
      <c r="M63" s="21">
        <f t="shared" si="37"/>
        <v>0</v>
      </c>
      <c r="N63" s="21">
        <f t="shared" si="37"/>
        <v>0</v>
      </c>
      <c r="O63" s="21">
        <f t="shared" si="37"/>
        <v>0</v>
      </c>
      <c r="P63" s="22">
        <f t="shared" si="37"/>
        <v>0</v>
      </c>
      <c r="Q63" s="21">
        <f t="shared" si="37"/>
        <v>0</v>
      </c>
      <c r="R63" s="21">
        <f t="shared" si="37"/>
        <v>0</v>
      </c>
      <c r="S63" s="21">
        <f t="shared" si="37"/>
        <v>0</v>
      </c>
      <c r="T63" s="21">
        <f t="shared" si="37"/>
        <v>0</v>
      </c>
      <c r="U63" s="21">
        <f t="shared" si="37"/>
        <v>0</v>
      </c>
      <c r="V63" s="21">
        <f t="shared" si="37"/>
        <v>0</v>
      </c>
      <c r="W63" s="21">
        <f t="shared" si="37"/>
        <v>0</v>
      </c>
      <c r="X63" s="21">
        <f t="shared" si="37"/>
        <v>0</v>
      </c>
      <c r="Y63" s="21">
        <f t="shared" si="37"/>
        <v>0</v>
      </c>
      <c r="Z63" s="21">
        <f t="shared" si="37"/>
        <v>0</v>
      </c>
      <c r="AA63" s="21">
        <f t="shared" si="37"/>
        <v>0</v>
      </c>
      <c r="AB63" s="21">
        <f t="shared" si="37"/>
        <v>0</v>
      </c>
      <c r="AC63" s="21">
        <f t="shared" si="37"/>
        <v>0</v>
      </c>
      <c r="AD63" s="21">
        <f t="shared" si="37"/>
        <v>0</v>
      </c>
      <c r="AE63" s="21">
        <f t="shared" si="37"/>
        <v>0</v>
      </c>
      <c r="AF63" s="21">
        <f t="shared" si="37"/>
        <v>0</v>
      </c>
      <c r="AG63" s="21">
        <f t="shared" si="37"/>
        <v>0</v>
      </c>
      <c r="AH63" s="21">
        <f t="shared" si="37"/>
        <v>0</v>
      </c>
      <c r="AJ63" s="21">
        <f t="shared" ca="1" si="37"/>
        <v>0</v>
      </c>
      <c r="AK63" s="21">
        <f t="shared" ca="1" si="37"/>
        <v>0</v>
      </c>
      <c r="AL63" s="21">
        <f t="shared" ca="1" si="37"/>
        <v>0</v>
      </c>
      <c r="AM63" s="22">
        <f t="shared" ca="1" si="37"/>
        <v>0</v>
      </c>
      <c r="AN63" s="21">
        <f t="shared" ca="1" si="37"/>
        <v>0</v>
      </c>
      <c r="AO63" s="21">
        <f t="shared" ca="1" si="37"/>
        <v>0</v>
      </c>
      <c r="AP63" s="21">
        <f t="shared" ca="1" si="37"/>
        <v>0</v>
      </c>
      <c r="AQ63" s="21">
        <f t="shared" ca="1" si="37"/>
        <v>0</v>
      </c>
      <c r="AR63" s="21">
        <f t="shared" ca="1" si="37"/>
        <v>0</v>
      </c>
      <c r="AS63" s="21">
        <f t="shared" ca="1" si="37"/>
        <v>0</v>
      </c>
      <c r="AT63" s="13"/>
      <c r="AU63" s="21">
        <f t="shared" ca="1" si="37"/>
        <v>0</v>
      </c>
      <c r="AV63" s="21">
        <f t="shared" ca="1" si="37"/>
        <v>0</v>
      </c>
      <c r="AW63" s="21">
        <f t="shared" ca="1" si="37"/>
        <v>0</v>
      </c>
    </row>
    <row r="64" spans="2:49" x14ac:dyDescent="0.25">
      <c r="P64" s="8"/>
      <c r="AM64" s="8"/>
      <c r="AT64" s="13"/>
    </row>
    <row r="65" spans="1:49" x14ac:dyDescent="0.25">
      <c r="C65" s="1" t="s">
        <v>180</v>
      </c>
      <c r="E65" s="33">
        <f>Balance_Sheet!E156-Balance_Sheet!E157</f>
        <v>0</v>
      </c>
      <c r="F65" s="33">
        <f>Balance_Sheet!F156-Balance_Sheet!F157</f>
        <v>315</v>
      </c>
      <c r="G65" s="33">
        <f>Balance_Sheet!G156-Balance_Sheet!G157</f>
        <v>0</v>
      </c>
      <c r="H65" s="33">
        <f>Balance_Sheet!H156-Balance_Sheet!H157</f>
        <v>0</v>
      </c>
      <c r="I65" s="33">
        <f>Balance_Sheet!I156-Balance_Sheet!I157</f>
        <v>0</v>
      </c>
      <c r="J65" s="33">
        <f>Balance_Sheet!J156-Balance_Sheet!J157</f>
        <v>-345</v>
      </c>
      <c r="K65" s="33">
        <f>Balance_Sheet!K156-Balance_Sheet!K157</f>
        <v>0</v>
      </c>
      <c r="L65" s="33">
        <f>Balance_Sheet!L156-Balance_Sheet!L157</f>
        <v>0</v>
      </c>
      <c r="M65" s="33">
        <f>Balance_Sheet!M156-Balance_Sheet!M157</f>
        <v>0</v>
      </c>
      <c r="N65" s="33">
        <f>Balance_Sheet!N156-Balance_Sheet!N157</f>
        <v>0</v>
      </c>
      <c r="O65" s="33">
        <f>Balance_Sheet!O156-Balance_Sheet!O157</f>
        <v>20</v>
      </c>
      <c r="P65" s="34">
        <f>Balance_Sheet!P156-Balance_Sheet!P157</f>
        <v>0</v>
      </c>
      <c r="Q65" s="33">
        <f>Balance_Sheet!Q156-Balance_Sheet!Q157</f>
        <v>0</v>
      </c>
      <c r="R65" s="33">
        <f>Balance_Sheet!R156-Balance_Sheet!R157</f>
        <v>0</v>
      </c>
      <c r="S65" s="33">
        <f>Balance_Sheet!S156-Balance_Sheet!S157</f>
        <v>0</v>
      </c>
      <c r="T65" s="33">
        <f>Balance_Sheet!T156-Balance_Sheet!T157</f>
        <v>0</v>
      </c>
      <c r="U65" s="33">
        <f>Balance_Sheet!U156-Balance_Sheet!U157</f>
        <v>0</v>
      </c>
      <c r="V65" s="33">
        <f>Balance_Sheet!V156-Balance_Sheet!V157</f>
        <v>0</v>
      </c>
      <c r="W65" s="33">
        <f>Balance_Sheet!W156-Balance_Sheet!W157</f>
        <v>0</v>
      </c>
      <c r="X65" s="33">
        <f>Balance_Sheet!X156-Balance_Sheet!X157</f>
        <v>0</v>
      </c>
      <c r="Y65" s="33">
        <f>Balance_Sheet!Y156-Balance_Sheet!Y157</f>
        <v>0</v>
      </c>
      <c r="Z65" s="33">
        <f>Balance_Sheet!Z156-Balance_Sheet!Z157</f>
        <v>0</v>
      </c>
      <c r="AA65" s="33">
        <f>Balance_Sheet!AA156-Balance_Sheet!AA157</f>
        <v>0</v>
      </c>
      <c r="AB65" s="33">
        <f>Balance_Sheet!AB156-Balance_Sheet!AB157</f>
        <v>0</v>
      </c>
      <c r="AC65" s="33">
        <f>Balance_Sheet!AC156-Balance_Sheet!AC157</f>
        <v>0</v>
      </c>
      <c r="AD65" s="33">
        <f>Balance_Sheet!AD156-Balance_Sheet!AD157</f>
        <v>0</v>
      </c>
      <c r="AE65" s="33">
        <f>Balance_Sheet!AE156-Balance_Sheet!AE157</f>
        <v>0</v>
      </c>
      <c r="AF65" s="33">
        <f>Balance_Sheet!AF156-Balance_Sheet!AF157</f>
        <v>0</v>
      </c>
      <c r="AG65" s="33">
        <f>Balance_Sheet!AG156-Balance_Sheet!AG157</f>
        <v>0</v>
      </c>
      <c r="AH65" s="33">
        <f>Balance_Sheet!AH156-Balance_Sheet!AH157</f>
        <v>0</v>
      </c>
      <c r="AJ65" s="13" cm="1">
        <f t="array" aca="1" ref="AJ65" ca="1">SUMPRODUCT(($E65:$AH65)*(AJ$3&amp;AJ$4&amp;AJ$5&amp;AJ$6=$E$3:$AH$3&amp;$E$4:$AH$4&amp;$E$5:$AH$5&amp;$E$6:$AH$6))</f>
        <v>315</v>
      </c>
      <c r="AK65" s="13" cm="1">
        <f t="array" aca="1" ref="AK65" ca="1">SUMPRODUCT(($E65:$AH65)*(AK$3=$E$3:$AH$3)*(AK$4=$E$4:$AH$4)*(AK$5=$E$5:$AH$5)*(AK$6=$E$6:$AH$6))</f>
        <v>-345</v>
      </c>
      <c r="AL65" s="13" cm="1">
        <f t="array" aca="1" ref="AL65" ca="1">SUMPRODUCT(($E65:$AH65)*(AL$3=$E$3:$AH$3)*(AL$4=$E$4:$AH$4)*(AL$5=$E$5:$AH$5)*(AL$6=$E$6:$AH$6))</f>
        <v>0</v>
      </c>
      <c r="AM65" s="17" cm="1">
        <f t="array" aca="1" ref="AM65" ca="1">SUMPRODUCT(($E65:$AH65)*(AM$3=$E$3:$AH$3)*(AM$4=$E$4:$AH$4)*(AM$5=$E$5:$AH$5)*(AM$6=$E$6:$AH$6))</f>
        <v>20</v>
      </c>
      <c r="AN65" s="13" cm="1">
        <f t="array" aca="1" ref="AN65" ca="1">SUMPRODUCT(($E65:$AH65)*(AN$3=$E$3:$AH$3)*(AN$4=$E$4:$AH$4)*(AN$5=$E$5:$AH$5)*(AN$6=$E$6:$AH$6))</f>
        <v>0</v>
      </c>
      <c r="AO65" s="13" cm="1">
        <f t="array" aca="1" ref="AO65" ca="1">SUMPRODUCT(($E65:$AH65)*(AO$3=$E$3:$AH$3)*(AO$4=$E$4:$AH$4)*(AO$5=$E$5:$AH$5)*(AO$6=$E$6:$AH$6))</f>
        <v>0</v>
      </c>
      <c r="AP65" s="13" cm="1">
        <f t="array" aca="1" ref="AP65" ca="1">SUMPRODUCT(($E65:$AH65)*(AP$3=$E$3:$AH$3)*(AP$4=$E$4:$AH$4)*(AP$5=$E$5:$AH$5)*(AP$6=$E$6:$AH$6))</f>
        <v>0</v>
      </c>
      <c r="AQ65" s="13" cm="1">
        <f t="array" aca="1" ref="AQ65" ca="1">SUMPRODUCT(($E65:$AH65)*(AQ$3=$E$3:$AH$3)*(AQ$4=$E$4:$AH$4)*(AQ$5=$E$5:$AH$5)*(AQ$6=$E$6:$AH$6))</f>
        <v>0</v>
      </c>
      <c r="AR65" s="13" cm="1">
        <f t="array" aca="1" ref="AR65" ca="1">SUMPRODUCT(($E65:$AH65)*(AR$3=$E$3:$AH$3)*(AR$4=$E$4:$AH$4)*(AR$5=$E$5:$AH$5)*(AR$6=$E$6:$AH$6))</f>
        <v>0</v>
      </c>
      <c r="AS65" s="13" cm="1">
        <f t="array" aca="1" ref="AS65" ca="1">SUMPRODUCT(($E65:$AH65)*(AS$3=$E$3:$AH$3)*(AS$4=$E$4:$AH$4)*(AS$5=$E$5:$AH$5)*(AS$6=$E$6:$AH$6))</f>
        <v>0</v>
      </c>
      <c r="AT65" s="13"/>
      <c r="AU65" s="13" cm="1">
        <f t="array" aca="1" ref="AU65" ca="1">SUMPRODUCT(($E65:$AH65)*(AU$5=$E$5:$AH$5))</f>
        <v>-30</v>
      </c>
      <c r="AV65" s="13" cm="1">
        <f t="array" aca="1" ref="AV65" ca="1">SUMPRODUCT(($E65:$AH65)*(AV$5=$E$5:$AH$5))</f>
        <v>20</v>
      </c>
      <c r="AW65" s="13" cm="1">
        <f t="array" aca="1" ref="AW65" ca="1">SUMPRODUCT(($E65:$AH65)*(AW$5=$E$5:$AH$5))</f>
        <v>0</v>
      </c>
    </row>
    <row r="66" spans="1:49" x14ac:dyDescent="0.25">
      <c r="C66" s="1" t="s">
        <v>181</v>
      </c>
      <c r="E66" s="33">
        <f>Balance_Sheet!E171-Balance_Sheet!E172</f>
        <v>0</v>
      </c>
      <c r="F66" s="33">
        <f>Balance_Sheet!F171-Balance_Sheet!F172</f>
        <v>0</v>
      </c>
      <c r="G66" s="33">
        <f>Balance_Sheet!G171-Balance_Sheet!G172</f>
        <v>0</v>
      </c>
      <c r="H66" s="33">
        <f>Balance_Sheet!H171-Balance_Sheet!H172</f>
        <v>0</v>
      </c>
      <c r="I66" s="33">
        <f>Balance_Sheet!I171-Balance_Sheet!I172</f>
        <v>1000</v>
      </c>
      <c r="J66" s="33">
        <f>Balance_Sheet!J171-Balance_Sheet!J172</f>
        <v>-1250</v>
      </c>
      <c r="K66" s="33">
        <f>Balance_Sheet!K171-Balance_Sheet!K172</f>
        <v>0</v>
      </c>
      <c r="L66" s="33">
        <f>Balance_Sheet!L171-Balance_Sheet!L172</f>
        <v>0</v>
      </c>
      <c r="M66" s="33">
        <f>Balance_Sheet!M171-Balance_Sheet!M172</f>
        <v>0</v>
      </c>
      <c r="N66" s="33">
        <f>Balance_Sheet!N171-Balance_Sheet!N172</f>
        <v>0</v>
      </c>
      <c r="O66" s="33">
        <f>Balance_Sheet!O171-Balance_Sheet!O172</f>
        <v>0</v>
      </c>
      <c r="P66" s="34">
        <f>Balance_Sheet!P171-Balance_Sheet!P172</f>
        <v>0</v>
      </c>
      <c r="Q66" s="33">
        <f>Balance_Sheet!Q171-Balance_Sheet!Q172</f>
        <v>0</v>
      </c>
      <c r="R66" s="33">
        <f>Balance_Sheet!R171-Balance_Sheet!R172</f>
        <v>0</v>
      </c>
      <c r="S66" s="33">
        <f>Balance_Sheet!S171-Balance_Sheet!S172</f>
        <v>0</v>
      </c>
      <c r="T66" s="33">
        <f>Balance_Sheet!T171-Balance_Sheet!T172</f>
        <v>0</v>
      </c>
      <c r="U66" s="33">
        <f>Balance_Sheet!U171-Balance_Sheet!U172</f>
        <v>0</v>
      </c>
      <c r="V66" s="33">
        <f>Balance_Sheet!V171-Balance_Sheet!V172</f>
        <v>0</v>
      </c>
      <c r="W66" s="33">
        <f>Balance_Sheet!W171-Balance_Sheet!W172</f>
        <v>0</v>
      </c>
      <c r="X66" s="33">
        <f>Balance_Sheet!X171-Balance_Sheet!X172</f>
        <v>0</v>
      </c>
      <c r="Y66" s="33">
        <f>Balance_Sheet!Y171-Balance_Sheet!Y172</f>
        <v>0</v>
      </c>
      <c r="Z66" s="33">
        <f>Balance_Sheet!Z171-Balance_Sheet!Z172</f>
        <v>0</v>
      </c>
      <c r="AA66" s="33">
        <f>Balance_Sheet!AA171-Balance_Sheet!AA172</f>
        <v>0</v>
      </c>
      <c r="AB66" s="33">
        <f>Balance_Sheet!AB171-Balance_Sheet!AB172</f>
        <v>0</v>
      </c>
      <c r="AC66" s="33">
        <f>Balance_Sheet!AC171-Balance_Sheet!AC172</f>
        <v>0</v>
      </c>
      <c r="AD66" s="33">
        <f>Balance_Sheet!AD171-Balance_Sheet!AD172</f>
        <v>0</v>
      </c>
      <c r="AE66" s="33">
        <f>Balance_Sheet!AE171-Balance_Sheet!AE172</f>
        <v>0</v>
      </c>
      <c r="AF66" s="33">
        <f>Balance_Sheet!AF171-Balance_Sheet!AF172</f>
        <v>0</v>
      </c>
      <c r="AG66" s="33">
        <f>Balance_Sheet!AG171-Balance_Sheet!AG172</f>
        <v>0</v>
      </c>
      <c r="AH66" s="33">
        <f>Balance_Sheet!AH171-Balance_Sheet!AH172</f>
        <v>0</v>
      </c>
      <c r="AJ66" s="13" cm="1">
        <f t="array" aca="1" ref="AJ66" ca="1">SUMPRODUCT(($E66:$AH66)*(AJ$3&amp;AJ$4&amp;AJ$5&amp;AJ$6=$E$3:$AH$3&amp;$E$4:$AH$4&amp;$E$5:$AH$5&amp;$E$6:$AH$6))</f>
        <v>0</v>
      </c>
      <c r="AK66" s="13" cm="1">
        <f t="array" aca="1" ref="AK66" ca="1">SUMPRODUCT(($E66:$AH66)*(AK$3=$E$3:$AH$3)*(AK$4=$E$4:$AH$4)*(AK$5=$E$5:$AH$5)*(AK$6=$E$6:$AH$6))</f>
        <v>-250</v>
      </c>
      <c r="AL66" s="13" cm="1">
        <f t="array" aca="1" ref="AL66" ca="1">SUMPRODUCT(($E66:$AH66)*(AL$3=$E$3:$AH$3)*(AL$4=$E$4:$AH$4)*(AL$5=$E$5:$AH$5)*(AL$6=$E$6:$AH$6))</f>
        <v>0</v>
      </c>
      <c r="AM66" s="17" cm="1">
        <f t="array" aca="1" ref="AM66" ca="1">SUMPRODUCT(($E66:$AH66)*(AM$3=$E$3:$AH$3)*(AM$4=$E$4:$AH$4)*(AM$5=$E$5:$AH$5)*(AM$6=$E$6:$AH$6))</f>
        <v>0</v>
      </c>
      <c r="AN66" s="13" cm="1">
        <f t="array" aca="1" ref="AN66" ca="1">SUMPRODUCT(($E66:$AH66)*(AN$3=$E$3:$AH$3)*(AN$4=$E$4:$AH$4)*(AN$5=$E$5:$AH$5)*(AN$6=$E$6:$AH$6))</f>
        <v>0</v>
      </c>
      <c r="AO66" s="13" cm="1">
        <f t="array" aca="1" ref="AO66" ca="1">SUMPRODUCT(($E66:$AH66)*(AO$3=$E$3:$AH$3)*(AO$4=$E$4:$AH$4)*(AO$5=$E$5:$AH$5)*(AO$6=$E$6:$AH$6))</f>
        <v>0</v>
      </c>
      <c r="AP66" s="13" cm="1">
        <f t="array" aca="1" ref="AP66" ca="1">SUMPRODUCT(($E66:$AH66)*(AP$3=$E$3:$AH$3)*(AP$4=$E$4:$AH$4)*(AP$5=$E$5:$AH$5)*(AP$6=$E$6:$AH$6))</f>
        <v>0</v>
      </c>
      <c r="AQ66" s="13" cm="1">
        <f t="array" aca="1" ref="AQ66" ca="1">SUMPRODUCT(($E66:$AH66)*(AQ$3=$E$3:$AH$3)*(AQ$4=$E$4:$AH$4)*(AQ$5=$E$5:$AH$5)*(AQ$6=$E$6:$AH$6))</f>
        <v>0</v>
      </c>
      <c r="AR66" s="13" cm="1">
        <f t="array" aca="1" ref="AR66" ca="1">SUMPRODUCT(($E66:$AH66)*(AR$3=$E$3:$AH$3)*(AR$4=$E$4:$AH$4)*(AR$5=$E$5:$AH$5)*(AR$6=$E$6:$AH$6))</f>
        <v>0</v>
      </c>
      <c r="AS66" s="13" cm="1">
        <f t="array" aca="1" ref="AS66" ca="1">SUMPRODUCT(($E66:$AH66)*(AS$3=$E$3:$AH$3)*(AS$4=$E$4:$AH$4)*(AS$5=$E$5:$AH$5)*(AS$6=$E$6:$AH$6))</f>
        <v>0</v>
      </c>
      <c r="AT66" s="13"/>
      <c r="AU66" s="13" cm="1">
        <f t="array" aca="1" ref="AU66" ca="1">SUMPRODUCT(($E66:$AH66)*(AU$5=$E$5:$AH$5))</f>
        <v>-250</v>
      </c>
      <c r="AV66" s="13" cm="1">
        <f t="array" aca="1" ref="AV66" ca="1">SUMPRODUCT(($E66:$AH66)*(AV$5=$E$5:$AH$5))</f>
        <v>0</v>
      </c>
      <c r="AW66" s="13" cm="1">
        <f t="array" aca="1" ref="AW66" ca="1">SUMPRODUCT(($E66:$AH66)*(AW$5=$E$5:$AH$5))</f>
        <v>0</v>
      </c>
    </row>
    <row r="67" spans="1:49" x14ac:dyDescent="0.25">
      <c r="C67" s="1" t="s">
        <v>183</v>
      </c>
      <c r="E67" s="33">
        <f>Balance_Sheet!E191</f>
        <v>0</v>
      </c>
      <c r="F67" s="33">
        <f>Balance_Sheet!F191</f>
        <v>0</v>
      </c>
      <c r="G67" s="33">
        <f>Balance_Sheet!G191</f>
        <v>0</v>
      </c>
      <c r="H67" s="33">
        <f>Balance_Sheet!H191</f>
        <v>0</v>
      </c>
      <c r="I67" s="33">
        <f>Balance_Sheet!I191</f>
        <v>0</v>
      </c>
      <c r="J67" s="33">
        <f>Balance_Sheet!J191</f>
        <v>0</v>
      </c>
      <c r="K67" s="33">
        <f>Balance_Sheet!K191</f>
        <v>0</v>
      </c>
      <c r="L67" s="33">
        <f>Balance_Sheet!L191</f>
        <v>0</v>
      </c>
      <c r="M67" s="33">
        <f>Balance_Sheet!M191</f>
        <v>0</v>
      </c>
      <c r="N67" s="33">
        <f>Balance_Sheet!N191</f>
        <v>0</v>
      </c>
      <c r="O67" s="33">
        <f>Balance_Sheet!O191</f>
        <v>0</v>
      </c>
      <c r="P67" s="34">
        <f>Balance_Sheet!P191</f>
        <v>0</v>
      </c>
      <c r="Q67" s="33">
        <f>Balance_Sheet!Q191</f>
        <v>0</v>
      </c>
      <c r="R67" s="33">
        <f>Balance_Sheet!R191</f>
        <v>0</v>
      </c>
      <c r="S67" s="33">
        <f>Balance_Sheet!S191</f>
        <v>0</v>
      </c>
      <c r="T67" s="33">
        <f>Balance_Sheet!T191</f>
        <v>0</v>
      </c>
      <c r="U67" s="33">
        <f>Balance_Sheet!U191</f>
        <v>0</v>
      </c>
      <c r="V67" s="33">
        <f>Balance_Sheet!V191</f>
        <v>0</v>
      </c>
      <c r="W67" s="33">
        <f>Balance_Sheet!W191</f>
        <v>0</v>
      </c>
      <c r="X67" s="33">
        <f>Balance_Sheet!X191</f>
        <v>0</v>
      </c>
      <c r="Y67" s="33">
        <f>Balance_Sheet!Y191</f>
        <v>0</v>
      </c>
      <c r="Z67" s="33">
        <f>Balance_Sheet!Z191</f>
        <v>0</v>
      </c>
      <c r="AA67" s="33">
        <f>Balance_Sheet!AA191</f>
        <v>0</v>
      </c>
      <c r="AB67" s="33">
        <f>Balance_Sheet!AB191</f>
        <v>0</v>
      </c>
      <c r="AC67" s="33">
        <f>Balance_Sheet!AC191</f>
        <v>0</v>
      </c>
      <c r="AD67" s="33">
        <f>Balance_Sheet!AD191</f>
        <v>0</v>
      </c>
      <c r="AE67" s="33">
        <f>Balance_Sheet!AE191</f>
        <v>0</v>
      </c>
      <c r="AF67" s="33">
        <f>Balance_Sheet!AF191</f>
        <v>0</v>
      </c>
      <c r="AG67" s="33">
        <f>Balance_Sheet!AG191</f>
        <v>0</v>
      </c>
      <c r="AH67" s="33">
        <f>Balance_Sheet!AH191</f>
        <v>0</v>
      </c>
      <c r="AJ67" s="13" cm="1">
        <f t="array" aca="1" ref="AJ67" ca="1">SUMPRODUCT(($E67:$AH67)*(AJ$3&amp;AJ$4&amp;AJ$5&amp;AJ$6=$E$3:$AH$3&amp;$E$4:$AH$4&amp;$E$5:$AH$5&amp;$E$6:$AH$6))</f>
        <v>0</v>
      </c>
      <c r="AK67" s="13" cm="1">
        <f t="array" aca="1" ref="AK67" ca="1">SUMPRODUCT(($E67:$AH67)*(AK$3=$E$3:$AH$3)*(AK$4=$E$4:$AH$4)*(AK$5=$E$5:$AH$5)*(AK$6=$E$6:$AH$6))</f>
        <v>0</v>
      </c>
      <c r="AL67" s="13" cm="1">
        <f t="array" aca="1" ref="AL67" ca="1">SUMPRODUCT(($E67:$AH67)*(AL$3=$E$3:$AH$3)*(AL$4=$E$4:$AH$4)*(AL$5=$E$5:$AH$5)*(AL$6=$E$6:$AH$6))</f>
        <v>0</v>
      </c>
      <c r="AM67" s="17" cm="1">
        <f t="array" aca="1" ref="AM67" ca="1">SUMPRODUCT(($E67:$AH67)*(AM$3=$E$3:$AH$3)*(AM$4=$E$4:$AH$4)*(AM$5=$E$5:$AH$5)*(AM$6=$E$6:$AH$6))</f>
        <v>0</v>
      </c>
      <c r="AN67" s="13" cm="1">
        <f t="array" aca="1" ref="AN67" ca="1">SUMPRODUCT(($E67:$AH67)*(AN$3=$E$3:$AH$3)*(AN$4=$E$4:$AH$4)*(AN$5=$E$5:$AH$5)*(AN$6=$E$6:$AH$6))</f>
        <v>0</v>
      </c>
      <c r="AO67" s="13" cm="1">
        <f t="array" aca="1" ref="AO67" ca="1">SUMPRODUCT(($E67:$AH67)*(AO$3=$E$3:$AH$3)*(AO$4=$E$4:$AH$4)*(AO$5=$E$5:$AH$5)*(AO$6=$E$6:$AH$6))</f>
        <v>0</v>
      </c>
      <c r="AP67" s="13" cm="1">
        <f t="array" aca="1" ref="AP67" ca="1">SUMPRODUCT(($E67:$AH67)*(AP$3=$E$3:$AH$3)*(AP$4=$E$4:$AH$4)*(AP$5=$E$5:$AH$5)*(AP$6=$E$6:$AH$6))</f>
        <v>0</v>
      </c>
      <c r="AQ67" s="13" cm="1">
        <f t="array" aca="1" ref="AQ67" ca="1">SUMPRODUCT(($E67:$AH67)*(AQ$3=$E$3:$AH$3)*(AQ$4=$E$4:$AH$4)*(AQ$5=$E$5:$AH$5)*(AQ$6=$E$6:$AH$6))</f>
        <v>0</v>
      </c>
      <c r="AR67" s="13" cm="1">
        <f t="array" aca="1" ref="AR67" ca="1">SUMPRODUCT(($E67:$AH67)*(AR$3=$E$3:$AH$3)*(AR$4=$E$4:$AH$4)*(AR$5=$E$5:$AH$5)*(AR$6=$E$6:$AH$6))</f>
        <v>0</v>
      </c>
      <c r="AS67" s="13" cm="1">
        <f t="array" aca="1" ref="AS67" ca="1">SUMPRODUCT(($E67:$AH67)*(AS$3=$E$3:$AH$3)*(AS$4=$E$4:$AH$4)*(AS$5=$E$5:$AH$5)*(AS$6=$E$6:$AH$6))</f>
        <v>0</v>
      </c>
      <c r="AT67" s="13"/>
      <c r="AU67" s="13" cm="1">
        <f t="array" aca="1" ref="AU67" ca="1">SUMPRODUCT(($E67:$AH67)*(AU$5=$E$5:$AH$5))</f>
        <v>0</v>
      </c>
      <c r="AV67" s="13" cm="1">
        <f t="array" aca="1" ref="AV67" ca="1">SUMPRODUCT(($E67:$AH67)*(AV$5=$E$5:$AH$5))</f>
        <v>0</v>
      </c>
      <c r="AW67" s="13" cm="1">
        <f t="array" aca="1" ref="AW67" ca="1">SUMPRODUCT(($E67:$AH67)*(AW$5=$E$5:$AH$5))</f>
        <v>0</v>
      </c>
    </row>
    <row r="68" spans="1:49" x14ac:dyDescent="0.25">
      <c r="C68" s="1" t="s">
        <v>184</v>
      </c>
      <c r="E68" s="33">
        <f>-Balance_Sheet!E196+Balance_Sheet!E197</f>
        <v>0</v>
      </c>
      <c r="F68" s="33">
        <f>-Balance_Sheet!F196+Balance_Sheet!F197</f>
        <v>0</v>
      </c>
      <c r="G68" s="33">
        <f>-Balance_Sheet!G196+Balance_Sheet!G197</f>
        <v>0</v>
      </c>
      <c r="H68" s="33">
        <f>-Balance_Sheet!H196+Balance_Sheet!H197</f>
        <v>0</v>
      </c>
      <c r="I68" s="33">
        <f>-Balance_Sheet!I196+Balance_Sheet!I197</f>
        <v>0</v>
      </c>
      <c r="J68" s="33">
        <f>-Balance_Sheet!J196+Balance_Sheet!J197</f>
        <v>0</v>
      </c>
      <c r="K68" s="33">
        <f>-Balance_Sheet!K196+Balance_Sheet!K197</f>
        <v>0</v>
      </c>
      <c r="L68" s="33">
        <f>-Balance_Sheet!L196+Balance_Sheet!L197</f>
        <v>0</v>
      </c>
      <c r="M68" s="33">
        <f>-Balance_Sheet!M196+Balance_Sheet!M197</f>
        <v>0</v>
      </c>
      <c r="N68" s="33">
        <f>-Balance_Sheet!N196+Balance_Sheet!N197</f>
        <v>0</v>
      </c>
      <c r="O68" s="33">
        <f>-Balance_Sheet!O196+Balance_Sheet!O197</f>
        <v>0</v>
      </c>
      <c r="P68" s="34">
        <f>-Balance_Sheet!P196+Balance_Sheet!P197</f>
        <v>0</v>
      </c>
      <c r="Q68" s="33">
        <f>-Balance_Sheet!Q196+Balance_Sheet!Q197</f>
        <v>0</v>
      </c>
      <c r="R68" s="33">
        <f>-Balance_Sheet!R196+Balance_Sheet!R197</f>
        <v>0</v>
      </c>
      <c r="S68" s="33">
        <f>-Balance_Sheet!S196+Balance_Sheet!S197</f>
        <v>0</v>
      </c>
      <c r="T68" s="33">
        <f>-Balance_Sheet!T196+Balance_Sheet!T197</f>
        <v>0</v>
      </c>
      <c r="U68" s="33">
        <f>-Balance_Sheet!U196+Balance_Sheet!U197</f>
        <v>0</v>
      </c>
      <c r="V68" s="33">
        <f>-Balance_Sheet!V196+Balance_Sheet!V197</f>
        <v>0</v>
      </c>
      <c r="W68" s="33">
        <f>-Balance_Sheet!W196+Balance_Sheet!W197</f>
        <v>0</v>
      </c>
      <c r="X68" s="33">
        <f>-Balance_Sheet!X196+Balance_Sheet!X197</f>
        <v>0</v>
      </c>
      <c r="Y68" s="33">
        <f>-Balance_Sheet!Y196+Balance_Sheet!Y197</f>
        <v>0</v>
      </c>
      <c r="Z68" s="33">
        <f>-Balance_Sheet!Z196+Balance_Sheet!Z197</f>
        <v>0</v>
      </c>
      <c r="AA68" s="33">
        <f>-Balance_Sheet!AA196+Balance_Sheet!AA197</f>
        <v>0</v>
      </c>
      <c r="AB68" s="33">
        <f>-Balance_Sheet!AB196+Balance_Sheet!AB197</f>
        <v>0</v>
      </c>
      <c r="AC68" s="33">
        <f>-Balance_Sheet!AC196+Balance_Sheet!AC197</f>
        <v>0</v>
      </c>
      <c r="AD68" s="33">
        <f>-Balance_Sheet!AD196+Balance_Sheet!AD197</f>
        <v>0</v>
      </c>
      <c r="AE68" s="33">
        <f>-Balance_Sheet!AE196+Balance_Sheet!AE197</f>
        <v>0</v>
      </c>
      <c r="AF68" s="33">
        <f>-Balance_Sheet!AF196+Balance_Sheet!AF197</f>
        <v>0</v>
      </c>
      <c r="AG68" s="33">
        <f>-Balance_Sheet!AG196+Balance_Sheet!AG197</f>
        <v>0</v>
      </c>
      <c r="AH68" s="33">
        <f>-Balance_Sheet!AH196+Balance_Sheet!AH197</f>
        <v>0</v>
      </c>
      <c r="AJ68" s="13" cm="1">
        <f t="array" aca="1" ref="AJ68" ca="1">SUMPRODUCT(($E68:$AH68)*(AJ$3&amp;AJ$4&amp;AJ$5&amp;AJ$6=$E$3:$AH$3&amp;$E$4:$AH$4&amp;$E$5:$AH$5&amp;$E$6:$AH$6))</f>
        <v>0</v>
      </c>
      <c r="AK68" s="13" cm="1">
        <f t="array" aca="1" ref="AK68" ca="1">SUMPRODUCT(($E68:$AH68)*(AK$3=$E$3:$AH$3)*(AK$4=$E$4:$AH$4)*(AK$5=$E$5:$AH$5)*(AK$6=$E$6:$AH$6))</f>
        <v>0</v>
      </c>
      <c r="AL68" s="13" cm="1">
        <f t="array" aca="1" ref="AL68" ca="1">SUMPRODUCT(($E68:$AH68)*(AL$3=$E$3:$AH$3)*(AL$4=$E$4:$AH$4)*(AL$5=$E$5:$AH$5)*(AL$6=$E$6:$AH$6))</f>
        <v>0</v>
      </c>
      <c r="AM68" s="17" cm="1">
        <f t="array" aca="1" ref="AM68" ca="1">SUMPRODUCT(($E68:$AH68)*(AM$3=$E$3:$AH$3)*(AM$4=$E$4:$AH$4)*(AM$5=$E$5:$AH$5)*(AM$6=$E$6:$AH$6))</f>
        <v>0</v>
      </c>
      <c r="AN68" s="13" cm="1">
        <f t="array" aca="1" ref="AN68" ca="1">SUMPRODUCT(($E68:$AH68)*(AN$3=$E$3:$AH$3)*(AN$4=$E$4:$AH$4)*(AN$5=$E$5:$AH$5)*(AN$6=$E$6:$AH$6))</f>
        <v>0</v>
      </c>
      <c r="AO68" s="13" cm="1">
        <f t="array" aca="1" ref="AO68" ca="1">SUMPRODUCT(($E68:$AH68)*(AO$3=$E$3:$AH$3)*(AO$4=$E$4:$AH$4)*(AO$5=$E$5:$AH$5)*(AO$6=$E$6:$AH$6))</f>
        <v>0</v>
      </c>
      <c r="AP68" s="13" cm="1">
        <f t="array" aca="1" ref="AP68" ca="1">SUMPRODUCT(($E68:$AH68)*(AP$3=$E$3:$AH$3)*(AP$4=$E$4:$AH$4)*(AP$5=$E$5:$AH$5)*(AP$6=$E$6:$AH$6))</f>
        <v>0</v>
      </c>
      <c r="AQ68" s="13" cm="1">
        <f t="array" aca="1" ref="AQ68" ca="1">SUMPRODUCT(($E68:$AH68)*(AQ$3=$E$3:$AH$3)*(AQ$4=$E$4:$AH$4)*(AQ$5=$E$5:$AH$5)*(AQ$6=$E$6:$AH$6))</f>
        <v>0</v>
      </c>
      <c r="AR68" s="13" cm="1">
        <f t="array" aca="1" ref="AR68" ca="1">SUMPRODUCT(($E68:$AH68)*(AR$3=$E$3:$AH$3)*(AR$4=$E$4:$AH$4)*(AR$5=$E$5:$AH$5)*(AR$6=$E$6:$AH$6))</f>
        <v>0</v>
      </c>
      <c r="AS68" s="13" cm="1">
        <f t="array" aca="1" ref="AS68" ca="1">SUMPRODUCT(($E68:$AH68)*(AS$3=$E$3:$AH$3)*(AS$4=$E$4:$AH$4)*(AS$5=$E$5:$AH$5)*(AS$6=$E$6:$AH$6))</f>
        <v>0</v>
      </c>
      <c r="AT68" s="13"/>
      <c r="AU68" s="13" cm="1">
        <f t="array" aca="1" ref="AU68" ca="1">SUMPRODUCT(($E68:$AH68)*(AU$5=$E$5:$AH$5))</f>
        <v>0</v>
      </c>
      <c r="AV68" s="13" cm="1">
        <f t="array" aca="1" ref="AV68" ca="1">SUMPRODUCT(($E68:$AH68)*(AV$5=$E$5:$AH$5))</f>
        <v>0</v>
      </c>
      <c r="AW68" s="13" cm="1">
        <f t="array" aca="1" ref="AW68" ca="1">SUMPRODUCT(($E68:$AH68)*(AW$5=$E$5:$AH$5))</f>
        <v>0</v>
      </c>
    </row>
    <row r="69" spans="1:49" x14ac:dyDescent="0.25">
      <c r="C69" s="23" t="s">
        <v>185</v>
      </c>
      <c r="D69" s="27"/>
      <c r="E69" s="74">
        <f>Balance_Sheet!E203</f>
        <v>0</v>
      </c>
      <c r="F69" s="74">
        <f>Balance_Sheet!F203</f>
        <v>0</v>
      </c>
      <c r="G69" s="74">
        <f>Balance_Sheet!G203</f>
        <v>0</v>
      </c>
      <c r="H69" s="74">
        <f>Balance_Sheet!H203</f>
        <v>0</v>
      </c>
      <c r="I69" s="74">
        <f>Balance_Sheet!I203</f>
        <v>0</v>
      </c>
      <c r="J69" s="74">
        <f>Balance_Sheet!J203</f>
        <v>0</v>
      </c>
      <c r="K69" s="74">
        <f>Balance_Sheet!K203</f>
        <v>0</v>
      </c>
      <c r="L69" s="74">
        <f>Balance_Sheet!L203</f>
        <v>0</v>
      </c>
      <c r="M69" s="74">
        <f>Balance_Sheet!M203</f>
        <v>0</v>
      </c>
      <c r="N69" s="74">
        <f>Balance_Sheet!N203</f>
        <v>0</v>
      </c>
      <c r="O69" s="74">
        <f>Balance_Sheet!O203</f>
        <v>0</v>
      </c>
      <c r="P69" s="75">
        <f>Balance_Sheet!P203</f>
        <v>0</v>
      </c>
      <c r="Q69" s="74">
        <f>Balance_Sheet!Q203</f>
        <v>0</v>
      </c>
      <c r="R69" s="74">
        <f>Balance_Sheet!R203</f>
        <v>0</v>
      </c>
      <c r="S69" s="74">
        <f>Balance_Sheet!S203</f>
        <v>0</v>
      </c>
      <c r="T69" s="74">
        <f>Balance_Sheet!T203</f>
        <v>0</v>
      </c>
      <c r="U69" s="74">
        <f>Balance_Sheet!U203</f>
        <v>0</v>
      </c>
      <c r="V69" s="74">
        <f>Balance_Sheet!V203</f>
        <v>0</v>
      </c>
      <c r="W69" s="74">
        <f>Balance_Sheet!W203</f>
        <v>0</v>
      </c>
      <c r="X69" s="74">
        <f>Balance_Sheet!X203</f>
        <v>0</v>
      </c>
      <c r="Y69" s="74">
        <f>Balance_Sheet!Y203</f>
        <v>0</v>
      </c>
      <c r="Z69" s="74">
        <f>Balance_Sheet!Z203</f>
        <v>0</v>
      </c>
      <c r="AA69" s="74">
        <f>Balance_Sheet!AA203</f>
        <v>0</v>
      </c>
      <c r="AB69" s="74">
        <f>Balance_Sheet!AB203</f>
        <v>0</v>
      </c>
      <c r="AC69" s="74">
        <f>Balance_Sheet!AC203</f>
        <v>0</v>
      </c>
      <c r="AD69" s="74">
        <f>Balance_Sheet!AD203</f>
        <v>0</v>
      </c>
      <c r="AE69" s="74">
        <f>Balance_Sheet!AE203</f>
        <v>0</v>
      </c>
      <c r="AF69" s="74">
        <f>Balance_Sheet!AF203</f>
        <v>0</v>
      </c>
      <c r="AG69" s="74">
        <f>Balance_Sheet!AG203</f>
        <v>0</v>
      </c>
      <c r="AH69" s="74">
        <f>Balance_Sheet!AH203</f>
        <v>0</v>
      </c>
      <c r="AJ69" s="24" cm="1">
        <f t="array" aca="1" ref="AJ69" ca="1">SUMPRODUCT(($E69:$AH69)*(AJ$3&amp;AJ$4&amp;AJ$5&amp;AJ$6=$E$3:$AH$3&amp;$E$4:$AH$4&amp;$E$5:$AH$5&amp;$E$6:$AH$6))</f>
        <v>0</v>
      </c>
      <c r="AK69" s="24" cm="1">
        <f t="array" aca="1" ref="AK69" ca="1">SUMPRODUCT(($E69:$AH69)*(AK$3=$E$3:$AH$3)*(AK$4=$E$4:$AH$4)*(AK$5=$E$5:$AH$5)*(AK$6=$E$6:$AH$6))</f>
        <v>0</v>
      </c>
      <c r="AL69" s="24" cm="1">
        <f t="array" aca="1" ref="AL69" ca="1">SUMPRODUCT(($E69:$AH69)*(AL$3=$E$3:$AH$3)*(AL$4=$E$4:$AH$4)*(AL$5=$E$5:$AH$5)*(AL$6=$E$6:$AH$6))</f>
        <v>0</v>
      </c>
      <c r="AM69" s="64" cm="1">
        <f t="array" aca="1" ref="AM69" ca="1">SUMPRODUCT(($E69:$AH69)*(AM$3=$E$3:$AH$3)*(AM$4=$E$4:$AH$4)*(AM$5=$E$5:$AH$5)*(AM$6=$E$6:$AH$6))</f>
        <v>0</v>
      </c>
      <c r="AN69" s="24" cm="1">
        <f t="array" aca="1" ref="AN69" ca="1">SUMPRODUCT(($E69:$AH69)*(AN$3=$E$3:$AH$3)*(AN$4=$E$4:$AH$4)*(AN$5=$E$5:$AH$5)*(AN$6=$E$6:$AH$6))</f>
        <v>0</v>
      </c>
      <c r="AO69" s="24" cm="1">
        <f t="array" aca="1" ref="AO69" ca="1">SUMPRODUCT(($E69:$AH69)*(AO$3=$E$3:$AH$3)*(AO$4=$E$4:$AH$4)*(AO$5=$E$5:$AH$5)*(AO$6=$E$6:$AH$6))</f>
        <v>0</v>
      </c>
      <c r="AP69" s="24" cm="1">
        <f t="array" aca="1" ref="AP69" ca="1">SUMPRODUCT(($E69:$AH69)*(AP$3=$E$3:$AH$3)*(AP$4=$E$4:$AH$4)*(AP$5=$E$5:$AH$5)*(AP$6=$E$6:$AH$6))</f>
        <v>0</v>
      </c>
      <c r="AQ69" s="24" cm="1">
        <f t="array" aca="1" ref="AQ69" ca="1">SUMPRODUCT(($E69:$AH69)*(AQ$3=$E$3:$AH$3)*(AQ$4=$E$4:$AH$4)*(AQ$5=$E$5:$AH$5)*(AQ$6=$E$6:$AH$6))</f>
        <v>0</v>
      </c>
      <c r="AR69" s="24" cm="1">
        <f t="array" aca="1" ref="AR69" ca="1">SUMPRODUCT(($E69:$AH69)*(AR$3=$E$3:$AH$3)*(AR$4=$E$4:$AH$4)*(AR$5=$E$5:$AH$5)*(AR$6=$E$6:$AH$6))</f>
        <v>0</v>
      </c>
      <c r="AS69" s="24" cm="1">
        <f t="array" aca="1" ref="AS69" ca="1">SUMPRODUCT(($E69:$AH69)*(AS$3=$E$3:$AH$3)*(AS$4=$E$4:$AH$4)*(AS$5=$E$5:$AH$5)*(AS$6=$E$6:$AH$6))</f>
        <v>0</v>
      </c>
      <c r="AT69" s="13"/>
      <c r="AU69" s="24" cm="1">
        <f t="array" aca="1" ref="AU69" ca="1">SUMPRODUCT(($E69:$AH69)*(AU$5=$E$5:$AH$5))</f>
        <v>0</v>
      </c>
      <c r="AV69" s="24" cm="1">
        <f t="array" aca="1" ref="AV69" ca="1">SUMPRODUCT(($E69:$AH69)*(AV$5=$E$5:$AH$5))</f>
        <v>0</v>
      </c>
      <c r="AW69" s="24" cm="1">
        <f t="array" aca="1" ref="AW69" ca="1">SUMPRODUCT(($E69:$AH69)*(AW$5=$E$5:$AH$5))</f>
        <v>0</v>
      </c>
    </row>
    <row r="70" spans="1:49" x14ac:dyDescent="0.25">
      <c r="B70" t="s">
        <v>231</v>
      </c>
      <c r="C70" s="11" t="s">
        <v>187</v>
      </c>
      <c r="D70" s="11"/>
      <c r="E70" s="14">
        <f>SUM(E65:E69)</f>
        <v>0</v>
      </c>
      <c r="F70" s="21">
        <f t="shared" ref="F70:AW70" si="38">SUM(F65:F69)</f>
        <v>315</v>
      </c>
      <c r="G70" s="21">
        <f t="shared" si="38"/>
        <v>0</v>
      </c>
      <c r="H70" s="21">
        <f t="shared" si="38"/>
        <v>0</v>
      </c>
      <c r="I70" s="21">
        <f t="shared" si="38"/>
        <v>1000</v>
      </c>
      <c r="J70" s="21">
        <f t="shared" si="38"/>
        <v>-1595</v>
      </c>
      <c r="K70" s="21">
        <f t="shared" si="38"/>
        <v>0</v>
      </c>
      <c r="L70" s="21">
        <f t="shared" si="38"/>
        <v>0</v>
      </c>
      <c r="M70" s="21">
        <f t="shared" si="38"/>
        <v>0</v>
      </c>
      <c r="N70" s="21">
        <f t="shared" si="38"/>
        <v>0</v>
      </c>
      <c r="O70" s="21">
        <f t="shared" si="38"/>
        <v>20</v>
      </c>
      <c r="P70" s="22">
        <f t="shared" si="38"/>
        <v>0</v>
      </c>
      <c r="Q70" s="21">
        <f t="shared" si="38"/>
        <v>0</v>
      </c>
      <c r="R70" s="21">
        <f t="shared" si="38"/>
        <v>0</v>
      </c>
      <c r="S70" s="21">
        <f t="shared" si="38"/>
        <v>0</v>
      </c>
      <c r="T70" s="21">
        <f t="shared" si="38"/>
        <v>0</v>
      </c>
      <c r="U70" s="21">
        <f t="shared" si="38"/>
        <v>0</v>
      </c>
      <c r="V70" s="21">
        <f t="shared" si="38"/>
        <v>0</v>
      </c>
      <c r="W70" s="21">
        <f t="shared" si="38"/>
        <v>0</v>
      </c>
      <c r="X70" s="21">
        <f t="shared" si="38"/>
        <v>0</v>
      </c>
      <c r="Y70" s="21">
        <f t="shared" si="38"/>
        <v>0</v>
      </c>
      <c r="Z70" s="21">
        <f t="shared" si="38"/>
        <v>0</v>
      </c>
      <c r="AA70" s="21">
        <f t="shared" si="38"/>
        <v>0</v>
      </c>
      <c r="AB70" s="21">
        <f t="shared" si="38"/>
        <v>0</v>
      </c>
      <c r="AC70" s="21">
        <f t="shared" si="38"/>
        <v>0</v>
      </c>
      <c r="AD70" s="21">
        <f t="shared" si="38"/>
        <v>0</v>
      </c>
      <c r="AE70" s="21">
        <f t="shared" si="38"/>
        <v>0</v>
      </c>
      <c r="AF70" s="21">
        <f t="shared" si="38"/>
        <v>0</v>
      </c>
      <c r="AG70" s="21">
        <f t="shared" si="38"/>
        <v>0</v>
      </c>
      <c r="AH70" s="21">
        <f t="shared" si="38"/>
        <v>0</v>
      </c>
      <c r="AJ70" s="21">
        <f t="shared" ca="1" si="38"/>
        <v>315</v>
      </c>
      <c r="AK70" s="21">
        <f t="shared" ca="1" si="38"/>
        <v>-595</v>
      </c>
      <c r="AL70" s="21">
        <f t="shared" ca="1" si="38"/>
        <v>0</v>
      </c>
      <c r="AM70" s="22">
        <f t="shared" ca="1" si="38"/>
        <v>20</v>
      </c>
      <c r="AN70" s="21">
        <f t="shared" ca="1" si="38"/>
        <v>0</v>
      </c>
      <c r="AO70" s="21">
        <f t="shared" ca="1" si="38"/>
        <v>0</v>
      </c>
      <c r="AP70" s="21">
        <f t="shared" ca="1" si="38"/>
        <v>0</v>
      </c>
      <c r="AQ70" s="21">
        <f t="shared" ca="1" si="38"/>
        <v>0</v>
      </c>
      <c r="AR70" s="21">
        <f t="shared" ca="1" si="38"/>
        <v>0</v>
      </c>
      <c r="AS70" s="21">
        <f t="shared" ca="1" si="38"/>
        <v>0</v>
      </c>
      <c r="AT70" s="13"/>
      <c r="AU70" s="21">
        <f t="shared" ca="1" si="38"/>
        <v>-280</v>
      </c>
      <c r="AV70" s="21">
        <f t="shared" ca="1" si="38"/>
        <v>20</v>
      </c>
      <c r="AW70" s="21">
        <f t="shared" ca="1" si="38"/>
        <v>0</v>
      </c>
    </row>
    <row r="71" spans="1:49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M71" s="8"/>
      <c r="AT71" s="13"/>
    </row>
    <row r="72" spans="1:49" ht="15.75" thickBot="1" x14ac:dyDescent="0.3">
      <c r="B72" t="s">
        <v>231</v>
      </c>
      <c r="C72" s="50" t="s">
        <v>188</v>
      </c>
      <c r="D72" s="53"/>
      <c r="E72" s="359">
        <f t="shared" ref="E72:AW72" si="39">E57+E63+E70</f>
        <v>-155.25372102412572</v>
      </c>
      <c r="F72" s="51">
        <f t="shared" si="39"/>
        <v>63.133185275673952</v>
      </c>
      <c r="G72" s="51">
        <f t="shared" si="39"/>
        <v>-395.88963916346091</v>
      </c>
      <c r="H72" s="51">
        <f t="shared" si="39"/>
        <v>-131.41293780275242</v>
      </c>
      <c r="I72" s="51">
        <f t="shared" si="39"/>
        <v>1160.1542563990809</v>
      </c>
      <c r="J72" s="51">
        <f t="shared" si="39"/>
        <v>-1686.3390030562232</v>
      </c>
      <c r="K72" s="51">
        <f t="shared" si="39"/>
        <v>410.39600657972682</v>
      </c>
      <c r="L72" s="51">
        <f t="shared" si="39"/>
        <v>-197.20232824292177</v>
      </c>
      <c r="M72" s="51">
        <f t="shared" si="39"/>
        <v>316.48366391500201</v>
      </c>
      <c r="N72" s="51">
        <f t="shared" si="39"/>
        <v>-534.23292835972677</v>
      </c>
      <c r="O72" s="51">
        <f t="shared" si="39"/>
        <v>300.52452139795395</v>
      </c>
      <c r="P72" s="52">
        <f t="shared" si="39"/>
        <v>-210.03541838593216</v>
      </c>
      <c r="Q72" s="51">
        <f t="shared" si="39"/>
        <v>232.68170984850605</v>
      </c>
      <c r="R72" s="51">
        <f t="shared" si="39"/>
        <v>-348.97403152431167</v>
      </c>
      <c r="S72" s="51">
        <f t="shared" si="39"/>
        <v>86.206754027151092</v>
      </c>
      <c r="T72" s="51">
        <f t="shared" si="39"/>
        <v>-154.13455869296848</v>
      </c>
      <c r="U72" s="51">
        <f t="shared" si="39"/>
        <v>-48.0342153994306</v>
      </c>
      <c r="V72" s="51">
        <f t="shared" si="39"/>
        <v>-138.28376671082827</v>
      </c>
      <c r="W72" s="51">
        <f t="shared" si="39"/>
        <v>339.90883451084568</v>
      </c>
      <c r="X72" s="51">
        <f t="shared" si="39"/>
        <v>467.95861833720357</v>
      </c>
      <c r="Y72" s="51">
        <f t="shared" si="39"/>
        <v>333.74901399960561</v>
      </c>
      <c r="Z72" s="51">
        <f t="shared" si="39"/>
        <v>-815.72493940350307</v>
      </c>
      <c r="AA72" s="51">
        <f t="shared" si="39"/>
        <v>178.46701865264728</v>
      </c>
      <c r="AB72" s="51">
        <f t="shared" si="39"/>
        <v>483.12564459032092</v>
      </c>
      <c r="AC72" s="51">
        <f t="shared" si="39"/>
        <v>466.0941414194757</v>
      </c>
      <c r="AD72" s="51">
        <f t="shared" si="39"/>
        <v>-291.48459615365914</v>
      </c>
      <c r="AE72" s="51">
        <f t="shared" si="39"/>
        <v>132.61927239408212</v>
      </c>
      <c r="AF72" s="51">
        <f t="shared" si="39"/>
        <v>-132.87967165383782</v>
      </c>
      <c r="AG72" s="51">
        <f t="shared" si="39"/>
        <v>7.7410029095389739</v>
      </c>
      <c r="AH72" s="51">
        <f t="shared" si="39"/>
        <v>-145.09324376350125</v>
      </c>
      <c r="AJ72" s="51">
        <f t="shared" ca="1" si="39"/>
        <v>-488.01017491191249</v>
      </c>
      <c r="AK72" s="51">
        <f t="shared" ca="1" si="39"/>
        <v>-657.59768445989482</v>
      </c>
      <c r="AL72" s="51">
        <f t="shared" ca="1" si="39"/>
        <v>529.67734225180641</v>
      </c>
      <c r="AM72" s="52">
        <f t="shared" ca="1" si="39"/>
        <v>-443.74382534770501</v>
      </c>
      <c r="AN72" s="51">
        <f t="shared" ca="1" si="39"/>
        <v>-30.085567648654564</v>
      </c>
      <c r="AO72" s="51">
        <f t="shared" ca="1" si="39"/>
        <v>-340.45254080322741</v>
      </c>
      <c r="AP72" s="51">
        <f t="shared" ca="1" si="39"/>
        <v>1141.6164668476549</v>
      </c>
      <c r="AQ72" s="51">
        <f t="shared" ca="1" si="39"/>
        <v>-154.13227616053524</v>
      </c>
      <c r="AR72" s="51">
        <f t="shared" ca="1" si="39"/>
        <v>307.22881765989916</v>
      </c>
      <c r="AS72" s="51">
        <f t="shared" ca="1" si="39"/>
        <v>-270.23191250780008</v>
      </c>
      <c r="AT72" s="13"/>
      <c r="AU72" s="51">
        <f t="shared" ca="1" si="39"/>
        <v>-1145.6078593718071</v>
      </c>
      <c r="AV72" s="51">
        <f t="shared" ca="1" si="39"/>
        <v>-284.60459154777806</v>
      </c>
      <c r="AW72" s="51">
        <f t="shared" ca="1" si="39"/>
        <v>1024.4810958392184</v>
      </c>
    </row>
    <row r="73" spans="1:49" ht="15.75" thickTop="1" x14ac:dyDescent="0.25">
      <c r="E73" s="13"/>
      <c r="F73" s="15">
        <f t="shared" ref="F73:P73" si="40">F27-F57</f>
        <v>0</v>
      </c>
      <c r="G73" s="15">
        <f t="shared" si="40"/>
        <v>0</v>
      </c>
      <c r="H73" s="15">
        <f t="shared" si="40"/>
        <v>0</v>
      </c>
      <c r="I73" s="15">
        <f t="shared" si="40"/>
        <v>0</v>
      </c>
      <c r="J73" s="15">
        <f t="shared" si="40"/>
        <v>0</v>
      </c>
      <c r="K73" s="15">
        <f t="shared" si="40"/>
        <v>0</v>
      </c>
      <c r="L73" s="15">
        <f t="shared" si="40"/>
        <v>0</v>
      </c>
      <c r="M73" s="15">
        <f t="shared" si="40"/>
        <v>0</v>
      </c>
      <c r="N73" s="15">
        <f t="shared" si="40"/>
        <v>0</v>
      </c>
      <c r="O73" s="15">
        <f t="shared" si="40"/>
        <v>0</v>
      </c>
      <c r="P73" s="16">
        <f t="shared" si="40"/>
        <v>0</v>
      </c>
      <c r="AM73" s="8"/>
      <c r="AT73" s="13"/>
    </row>
    <row r="74" spans="1:49" x14ac:dyDescent="0.25">
      <c r="C74" t="s">
        <v>189</v>
      </c>
      <c r="E74" s="33">
        <f>Balance_Sheet!D51</f>
        <v>4049.3515067609414</v>
      </c>
      <c r="F74" s="33">
        <f>Balance_Sheet!E51</f>
        <v>3894.0977857368161</v>
      </c>
      <c r="G74" s="33">
        <f>Balance_Sheet!F51</f>
        <v>3957.23097101249</v>
      </c>
      <c r="H74" s="33">
        <f>Balance_Sheet!G51</f>
        <v>3561.3413318490293</v>
      </c>
      <c r="I74" s="33">
        <f>Balance_Sheet!H51</f>
        <v>3429.9283940462769</v>
      </c>
      <c r="J74" s="33">
        <f>Balance_Sheet!I51</f>
        <v>4590.082650445358</v>
      </c>
      <c r="K74" s="33">
        <f>Balance_Sheet!J51</f>
        <v>2903.7436473891348</v>
      </c>
      <c r="L74" s="33">
        <f>Balance_Sheet!K51</f>
        <v>3314.1396539688617</v>
      </c>
      <c r="M74" s="33">
        <f>Balance_Sheet!L51</f>
        <v>3116.9373257259399</v>
      </c>
      <c r="N74" s="33">
        <f>Balance_Sheet!M51</f>
        <v>3433.420989640942</v>
      </c>
      <c r="O74" s="33">
        <f>Balance_Sheet!N51</f>
        <v>2899.1880612812151</v>
      </c>
      <c r="P74" s="34">
        <f>Balance_Sheet!O51</f>
        <v>3199.7125826791689</v>
      </c>
      <c r="Q74" s="33">
        <f>Balance_Sheet!P51</f>
        <v>2989.6771642932367</v>
      </c>
      <c r="R74" s="33">
        <f>Balance_Sheet!Q51</f>
        <v>3222.3588741417425</v>
      </c>
      <c r="S74" s="33">
        <f>Balance_Sheet!R51</f>
        <v>2873.3848426174309</v>
      </c>
      <c r="T74" s="33">
        <f>Balance_Sheet!S51</f>
        <v>2959.5915966445818</v>
      </c>
      <c r="U74" s="33">
        <f>Balance_Sheet!T51</f>
        <v>2805.4570379516131</v>
      </c>
      <c r="V74" s="33">
        <f>Balance_Sheet!U51</f>
        <v>2757.4228225521824</v>
      </c>
      <c r="W74" s="33">
        <f>Balance_Sheet!V51</f>
        <v>2619.1390558413541</v>
      </c>
      <c r="X74" s="33">
        <f>Balance_Sheet!W51</f>
        <v>2959.0478903521998</v>
      </c>
      <c r="Y74" s="33">
        <f>Balance_Sheet!X51</f>
        <v>3427.0065086894033</v>
      </c>
      <c r="Z74" s="33">
        <f>Balance_Sheet!Y51</f>
        <v>3760.755522689009</v>
      </c>
      <c r="AA74" s="33">
        <f>Balance_Sheet!Z51</f>
        <v>2945.0305832855061</v>
      </c>
      <c r="AB74" s="33">
        <f>Balance_Sheet!AA51</f>
        <v>3123.4976019381534</v>
      </c>
      <c r="AC74" s="33">
        <f>Balance_Sheet!AB51</f>
        <v>3606.6232465284743</v>
      </c>
      <c r="AD74" s="33">
        <f>Balance_Sheet!AC51</f>
        <v>4072.7173879479501</v>
      </c>
      <c r="AE74" s="33">
        <f>Balance_Sheet!AD51</f>
        <v>3781.2327917942912</v>
      </c>
      <c r="AF74" s="33">
        <f>Balance_Sheet!AE51</f>
        <v>3913.8520641883733</v>
      </c>
      <c r="AG74" s="33">
        <f>Balance_Sheet!AF51</f>
        <v>3780.9723925345356</v>
      </c>
      <c r="AH74" s="33">
        <f>Balance_Sheet!AG51</f>
        <v>3788.7133954440746</v>
      </c>
      <c r="AJ74" s="13">
        <f ca="1">AJ75-AJ72</f>
        <v>4049.3515067609419</v>
      </c>
      <c r="AK74" s="13">
        <f t="shared" ref="AK74" ca="1" si="41">AK75-AK72</f>
        <v>3561.3413318490298</v>
      </c>
      <c r="AL74" s="13">
        <f t="shared" ref="AL74" ca="1" si="42">AL75-AL72</f>
        <v>2903.7436473891357</v>
      </c>
      <c r="AM74" s="17">
        <f t="shared" ref="AM74" ca="1" si="43">AM75-AM72</f>
        <v>3433.4209896409416</v>
      </c>
      <c r="AN74" s="13">
        <f t="shared" ref="AN74" ca="1" si="44">AN75-AN72</f>
        <v>2989.6771642932363</v>
      </c>
      <c r="AO74" s="13">
        <f t="shared" ref="AO74" ca="1" si="45">AO75-AO72</f>
        <v>2959.5915966445814</v>
      </c>
      <c r="AP74" s="13">
        <f t="shared" ref="AP74" ca="1" si="46">AP75-AP72</f>
        <v>2619.1390558413541</v>
      </c>
      <c r="AQ74" s="13">
        <f t="shared" ref="AQ74" ca="1" si="47">AQ75-AQ72</f>
        <v>3760.7555226890095</v>
      </c>
      <c r="AR74" s="13">
        <f t="shared" ref="AR74" ca="1" si="48">AR75-AR72</f>
        <v>3606.6232465284743</v>
      </c>
      <c r="AS74" s="13">
        <f t="shared" ref="AS74" ca="1" si="49">AS75-AS72</f>
        <v>3913.8520641883738</v>
      </c>
      <c r="AU74" s="13">
        <f t="shared" ref="AU74" ca="1" si="50">AU75-AU72</f>
        <v>4049.3515067609419</v>
      </c>
      <c r="AV74" s="13">
        <f t="shared" ref="AV74" ca="1" si="51">AV75-AV72</f>
        <v>2903.7436473891321</v>
      </c>
      <c r="AW74" s="13">
        <f t="shared" ref="AW74" ca="1" si="52">AW75-AW72</f>
        <v>2619.139055841355</v>
      </c>
    </row>
    <row r="75" spans="1:49" x14ac:dyDescent="0.25">
      <c r="C75" t="s">
        <v>190</v>
      </c>
      <c r="E75" s="13">
        <f>E72+E74</f>
        <v>3894.0977857368157</v>
      </c>
      <c r="F75" s="15">
        <f t="shared" ref="F75:AH75" si="53">F72+F74</f>
        <v>3957.23097101249</v>
      </c>
      <c r="G75" s="15">
        <f t="shared" si="53"/>
        <v>3561.3413318490293</v>
      </c>
      <c r="H75" s="15">
        <f t="shared" si="53"/>
        <v>3429.9283940462769</v>
      </c>
      <c r="I75" s="15">
        <f t="shared" si="53"/>
        <v>4590.082650445358</v>
      </c>
      <c r="J75" s="15">
        <f t="shared" si="53"/>
        <v>2903.7436473891348</v>
      </c>
      <c r="K75" s="15">
        <f t="shared" si="53"/>
        <v>3314.1396539688617</v>
      </c>
      <c r="L75" s="15">
        <f t="shared" si="53"/>
        <v>3116.9373257259399</v>
      </c>
      <c r="M75" s="15">
        <f t="shared" si="53"/>
        <v>3433.420989640942</v>
      </c>
      <c r="N75" s="15">
        <f t="shared" si="53"/>
        <v>2899.1880612812151</v>
      </c>
      <c r="O75" s="15">
        <f t="shared" si="53"/>
        <v>3199.7125826791689</v>
      </c>
      <c r="P75" s="16">
        <f t="shared" si="53"/>
        <v>2989.6771642932367</v>
      </c>
      <c r="Q75" s="15">
        <f t="shared" si="53"/>
        <v>3222.3588741417429</v>
      </c>
      <c r="R75" s="15">
        <f t="shared" si="53"/>
        <v>2873.3848426174309</v>
      </c>
      <c r="S75" s="15">
        <f t="shared" si="53"/>
        <v>2959.5915966445818</v>
      </c>
      <c r="T75" s="15">
        <f t="shared" si="53"/>
        <v>2805.4570379516135</v>
      </c>
      <c r="U75" s="15">
        <f t="shared" si="53"/>
        <v>2757.4228225521824</v>
      </c>
      <c r="V75" s="15">
        <f t="shared" si="53"/>
        <v>2619.1390558413541</v>
      </c>
      <c r="W75" s="15">
        <f t="shared" si="53"/>
        <v>2959.0478903521998</v>
      </c>
      <c r="X75" s="15">
        <f t="shared" si="53"/>
        <v>3427.0065086894033</v>
      </c>
      <c r="Y75" s="15">
        <f t="shared" si="53"/>
        <v>3760.755522689009</v>
      </c>
      <c r="Z75" s="15">
        <f t="shared" si="53"/>
        <v>2945.0305832855061</v>
      </c>
      <c r="AA75" s="15">
        <f t="shared" si="53"/>
        <v>3123.4976019381534</v>
      </c>
      <c r="AB75" s="15">
        <f t="shared" si="53"/>
        <v>3606.6232465284743</v>
      </c>
      <c r="AC75" s="15">
        <f t="shared" si="53"/>
        <v>4072.7173879479501</v>
      </c>
      <c r="AD75" s="15">
        <f t="shared" si="53"/>
        <v>3781.2327917942912</v>
      </c>
      <c r="AE75" s="15">
        <f t="shared" si="53"/>
        <v>3913.8520641883733</v>
      </c>
      <c r="AF75" s="15">
        <f t="shared" si="53"/>
        <v>3780.9723925345356</v>
      </c>
      <c r="AG75" s="15">
        <f t="shared" si="53"/>
        <v>3788.7133954440746</v>
      </c>
      <c r="AH75" s="15">
        <f t="shared" si="53"/>
        <v>3643.6201516805736</v>
      </c>
      <c r="AJ75" s="13" cm="1">
        <f t="array" aca="1" ref="AJ75" ca="1">INDEX($E75:$AH75,1,MATCH(AJ$3&amp;AJ$4&amp;AJ$5&amp;AJ$6,$E$3:$AH$3&amp;$E$4:$AH$4&amp;$E$5:$AH$5&amp;$E$6:$AH$6,1))</f>
        <v>3561.3413318490293</v>
      </c>
      <c r="AK75" s="13" cm="1">
        <f t="array" aca="1" ref="AK75" ca="1">INDEX($E75:$AH75,1,MATCH(AK$3&amp;AK$4&amp;AK$5&amp;AK$6,$E$3:$AH$3&amp;$E$4:$AH$4&amp;$E$5:$AH$5&amp;$E$6:$AH$6,1))</f>
        <v>2903.7436473891348</v>
      </c>
      <c r="AL75" s="13" cm="1">
        <f t="array" aca="1" ref="AL75" ca="1">INDEX($E75:$AH75,1,MATCH(AL$3&amp;AL$4&amp;AL$5&amp;AL$6,$E$3:$AH$3&amp;$E$4:$AH$4&amp;$E$5:$AH$5&amp;$E$6:$AH$6,1))</f>
        <v>3433.420989640942</v>
      </c>
      <c r="AM75" s="17" cm="1">
        <f t="array" aca="1" ref="AM75" ca="1">INDEX($E75:$AH75,1,MATCH(AM$3&amp;AM$4&amp;AM$5&amp;AM$6,$E$3:$AH$3&amp;$E$4:$AH$4&amp;$E$5:$AH$5&amp;$E$6:$AH$6,1))</f>
        <v>2989.6771642932367</v>
      </c>
      <c r="AN75" s="13" cm="1">
        <f t="array" aca="1" ref="AN75" ca="1">INDEX($E75:$AH75,1,MATCH(AN$3&amp;AN$4&amp;AN$5&amp;AN$6,$E$3:$AH$3&amp;$E$4:$AH$4&amp;$E$5:$AH$5&amp;$E$6:$AH$6,1))</f>
        <v>2959.5915966445818</v>
      </c>
      <c r="AO75" s="13" cm="1">
        <f t="array" aca="1" ref="AO75" ca="1">INDEX($E75:$AH75,1,MATCH(AO$3&amp;AO$4&amp;AO$5&amp;AO$6,$E$3:$AH$3&amp;$E$4:$AH$4&amp;$E$5:$AH$5&amp;$E$6:$AH$6,1))</f>
        <v>2619.1390558413541</v>
      </c>
      <c r="AP75" s="13" cm="1">
        <f t="array" aca="1" ref="AP75" ca="1">INDEX($E75:$AH75,1,MATCH(AP$3&amp;AP$4&amp;AP$5&amp;AP$6,$E$3:$AH$3&amp;$E$4:$AH$4&amp;$E$5:$AH$5&amp;$E$6:$AH$6,1))</f>
        <v>3760.755522689009</v>
      </c>
      <c r="AQ75" s="13" cm="1">
        <f t="array" aca="1" ref="AQ75" ca="1">INDEX($E75:$AH75,1,MATCH(AQ$3&amp;AQ$4&amp;AQ$5&amp;AQ$6,$E$3:$AH$3&amp;$E$4:$AH$4&amp;$E$5:$AH$5&amp;$E$6:$AH$6,1))</f>
        <v>3606.6232465284743</v>
      </c>
      <c r="AR75" s="13" cm="1">
        <f t="array" aca="1" ref="AR75" ca="1">INDEX($E75:$AH75,1,MATCH(AR$3&amp;AR$4&amp;AR$5&amp;AR$6,$E$3:$AH$3&amp;$E$4:$AH$4&amp;$E$5:$AH$5&amp;$E$6:$AH$6,1))</f>
        <v>3913.8520641883733</v>
      </c>
      <c r="AS75" s="13" cm="1">
        <f t="array" aca="1" ref="AS75" ca="1">INDEX($E75:$AH75,1,MATCH(AS$3&amp;AS$4&amp;AS$5&amp;AS$6,$E$3:$AH$3&amp;$E$4:$AH$4&amp;$E$5:$AH$5&amp;$E$6:$AH$6,1))</f>
        <v>3643.6201516805736</v>
      </c>
      <c r="AU75" s="13">
        <f t="shared" ref="AU75:AW75" ca="1" si="54">INDEX($E75:$AH75,MATCH(AU$5,$E$5:$AH$5,1))</f>
        <v>2903.7436473891348</v>
      </c>
      <c r="AV75" s="13">
        <f t="shared" ca="1" si="54"/>
        <v>2619.1390558413541</v>
      </c>
      <c r="AW75" s="13">
        <f t="shared" ca="1" si="54"/>
        <v>3643.6201516805736</v>
      </c>
    </row>
    <row r="76" spans="1:49" x14ac:dyDescent="0.25">
      <c r="E76" s="167"/>
      <c r="F76" s="167"/>
      <c r="G76" s="167"/>
      <c r="H76" s="167"/>
      <c r="I76" s="167"/>
      <c r="J76" s="167"/>
      <c r="P76" s="8"/>
      <c r="AM76" s="8"/>
    </row>
    <row r="77" spans="1:49" x14ac:dyDescent="0.25">
      <c r="C77" s="110" t="s">
        <v>415</v>
      </c>
      <c r="E77" s="110" t="b">
        <f>ABS(E27-E57)&lt;0.001</f>
        <v>1</v>
      </c>
      <c r="F77" s="110" t="b">
        <f t="shared" ref="F77:AS77" si="55">ABS(F27-F57)&lt;0.001</f>
        <v>1</v>
      </c>
      <c r="G77" s="110" t="b">
        <f t="shared" si="55"/>
        <v>1</v>
      </c>
      <c r="H77" s="110" t="b">
        <f t="shared" si="55"/>
        <v>1</v>
      </c>
      <c r="I77" s="110" t="b">
        <f t="shared" si="55"/>
        <v>1</v>
      </c>
      <c r="J77" s="110" t="b">
        <f t="shared" si="55"/>
        <v>1</v>
      </c>
      <c r="K77" s="110" t="b">
        <f t="shared" si="55"/>
        <v>1</v>
      </c>
      <c r="L77" s="110" t="b">
        <f t="shared" si="55"/>
        <v>1</v>
      </c>
      <c r="M77" s="110" t="b">
        <f t="shared" si="55"/>
        <v>1</v>
      </c>
      <c r="N77" s="110" t="b">
        <f t="shared" si="55"/>
        <v>1</v>
      </c>
      <c r="O77" s="110" t="b">
        <f t="shared" si="55"/>
        <v>1</v>
      </c>
      <c r="P77" s="111" t="b">
        <f t="shared" si="55"/>
        <v>1</v>
      </c>
      <c r="Q77" s="110" t="b">
        <f t="shared" si="55"/>
        <v>1</v>
      </c>
      <c r="R77" s="110" t="b">
        <f t="shared" si="55"/>
        <v>1</v>
      </c>
      <c r="S77" s="110" t="b">
        <f t="shared" si="55"/>
        <v>1</v>
      </c>
      <c r="T77" s="110" t="b">
        <f t="shared" si="55"/>
        <v>1</v>
      </c>
      <c r="U77" s="110" t="b">
        <f t="shared" si="55"/>
        <v>1</v>
      </c>
      <c r="V77" s="110" t="b">
        <f t="shared" si="55"/>
        <v>1</v>
      </c>
      <c r="W77" s="110" t="b">
        <f t="shared" si="55"/>
        <v>1</v>
      </c>
      <c r="X77" s="110" t="b">
        <f t="shared" si="55"/>
        <v>1</v>
      </c>
      <c r="Y77" s="110" t="b">
        <f t="shared" si="55"/>
        <v>1</v>
      </c>
      <c r="Z77" s="110" t="b">
        <f t="shared" si="55"/>
        <v>1</v>
      </c>
      <c r="AA77" s="110" t="b">
        <f t="shared" si="55"/>
        <v>1</v>
      </c>
      <c r="AB77" s="110" t="b">
        <f t="shared" si="55"/>
        <v>1</v>
      </c>
      <c r="AC77" s="110" t="b">
        <f t="shared" si="55"/>
        <v>1</v>
      </c>
      <c r="AD77" s="110" t="b">
        <f t="shared" si="55"/>
        <v>1</v>
      </c>
      <c r="AE77" s="110" t="b">
        <f t="shared" si="55"/>
        <v>1</v>
      </c>
      <c r="AF77" s="110" t="b">
        <f t="shared" si="55"/>
        <v>1</v>
      </c>
      <c r="AG77" s="110" t="b">
        <f t="shared" si="55"/>
        <v>1</v>
      </c>
      <c r="AH77" s="110" t="b">
        <f t="shared" si="55"/>
        <v>1</v>
      </c>
      <c r="AJ77" s="110" t="b">
        <f t="shared" ca="1" si="55"/>
        <v>1</v>
      </c>
      <c r="AK77" s="110" t="b">
        <f t="shared" ca="1" si="55"/>
        <v>1</v>
      </c>
      <c r="AL77" s="110" t="b">
        <f t="shared" ca="1" si="55"/>
        <v>1</v>
      </c>
      <c r="AM77" s="111" t="b">
        <f t="shared" ca="1" si="55"/>
        <v>1</v>
      </c>
      <c r="AN77" s="110" t="b">
        <f t="shared" ca="1" si="55"/>
        <v>1</v>
      </c>
      <c r="AO77" s="110" t="b">
        <f t="shared" ca="1" si="55"/>
        <v>1</v>
      </c>
      <c r="AP77" s="110" t="b">
        <f t="shared" ca="1" si="55"/>
        <v>1</v>
      </c>
      <c r="AQ77" s="110" t="b">
        <f t="shared" ca="1" si="55"/>
        <v>1</v>
      </c>
      <c r="AR77" s="110" t="b">
        <f t="shared" ca="1" si="55"/>
        <v>1</v>
      </c>
      <c r="AS77" s="110" t="b">
        <f t="shared" ca="1" si="55"/>
        <v>1</v>
      </c>
      <c r="AT77" s="110"/>
      <c r="AU77" s="110" t="b">
        <f ca="1">AU27=AU57</f>
        <v>1</v>
      </c>
      <c r="AV77" s="110" t="b">
        <f ca="1">AV27=AV57</f>
        <v>0</v>
      </c>
      <c r="AW77" s="110" t="b">
        <f ca="1">AW27=AW57</f>
        <v>1</v>
      </c>
    </row>
    <row r="78" spans="1:49" x14ac:dyDescent="0.25">
      <c r="E78" s="231"/>
      <c r="P78" s="8"/>
    </row>
    <row r="79" spans="1:49" ht="18.75" x14ac:dyDescent="0.3">
      <c r="A79" t="s">
        <v>231</v>
      </c>
      <c r="B79" t="s">
        <v>231</v>
      </c>
      <c r="C79" s="181" t="s">
        <v>448</v>
      </c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</row>
    <row r="80" spans="1:49" x14ac:dyDescent="0.25">
      <c r="C80" s="11"/>
      <c r="D80" s="11"/>
    </row>
    <row r="81" spans="3:49" x14ac:dyDescent="0.25">
      <c r="C81" s="11"/>
      <c r="D81" s="11"/>
      <c r="E81" s="45" t="str">
        <f t="shared" ref="E81:AH81" si="56">E$9</f>
        <v>Jul-20A</v>
      </c>
      <c r="F81" s="45" t="str">
        <f t="shared" si="56"/>
        <v>Aug-20A</v>
      </c>
      <c r="G81" s="45" t="str">
        <f t="shared" si="56"/>
        <v>Sep-20A</v>
      </c>
      <c r="H81" s="45" t="str">
        <f t="shared" si="56"/>
        <v>Oct-20A</v>
      </c>
      <c r="I81" s="45" t="str">
        <f t="shared" si="56"/>
        <v>Nov-20A</v>
      </c>
      <c r="J81" s="45" t="str">
        <f t="shared" si="56"/>
        <v>Dec-20A</v>
      </c>
      <c r="K81" s="45" t="str">
        <f t="shared" si="56"/>
        <v>Jan-21A</v>
      </c>
      <c r="L81" s="45" t="str">
        <f t="shared" si="56"/>
        <v>Feb-21A</v>
      </c>
      <c r="M81" s="45" t="str">
        <f t="shared" si="56"/>
        <v>Mar-21A</v>
      </c>
      <c r="N81" s="45" t="str">
        <f t="shared" si="56"/>
        <v>Apr-21A</v>
      </c>
      <c r="O81" s="45" t="str">
        <f t="shared" si="56"/>
        <v>May-21A</v>
      </c>
      <c r="P81" s="46" t="str">
        <f t="shared" si="56"/>
        <v>Jun-21A</v>
      </c>
      <c r="Q81" s="45" t="str">
        <f t="shared" si="56"/>
        <v>Jul-21F</v>
      </c>
      <c r="R81" s="45" t="str">
        <f t="shared" si="56"/>
        <v>Aug-21F</v>
      </c>
      <c r="S81" s="45" t="str">
        <f t="shared" si="56"/>
        <v>Sep-21F</v>
      </c>
      <c r="T81" s="45" t="str">
        <f t="shared" si="56"/>
        <v>Oct-21F</v>
      </c>
      <c r="U81" s="45" t="str">
        <f t="shared" si="56"/>
        <v>Nov-21F</v>
      </c>
      <c r="V81" s="45" t="str">
        <f t="shared" si="56"/>
        <v>Dec-21F</v>
      </c>
      <c r="W81" s="45" t="str">
        <f t="shared" si="56"/>
        <v>Jan-22F</v>
      </c>
      <c r="X81" s="45" t="str">
        <f t="shared" si="56"/>
        <v>Feb-22F</v>
      </c>
      <c r="Y81" s="45" t="str">
        <f t="shared" si="56"/>
        <v>Mar-22F</v>
      </c>
      <c r="Z81" s="45" t="str">
        <f t="shared" si="56"/>
        <v>Apr-22F</v>
      </c>
      <c r="AA81" s="45" t="str">
        <f t="shared" si="56"/>
        <v>May-22F</v>
      </c>
      <c r="AB81" s="45" t="str">
        <f t="shared" si="56"/>
        <v>Jun-22F</v>
      </c>
      <c r="AC81" s="45" t="str">
        <f t="shared" si="56"/>
        <v>Jul-22F</v>
      </c>
      <c r="AD81" s="45" t="str">
        <f t="shared" si="56"/>
        <v>Aug-22F</v>
      </c>
      <c r="AE81" s="45" t="str">
        <f t="shared" si="56"/>
        <v>Sep-22F</v>
      </c>
      <c r="AF81" s="45" t="str">
        <f t="shared" si="56"/>
        <v>Oct-22F</v>
      </c>
      <c r="AG81" s="45" t="str">
        <f t="shared" si="56"/>
        <v>Nov-22F</v>
      </c>
      <c r="AH81" s="45" t="str">
        <f t="shared" si="56"/>
        <v>Dec-22F</v>
      </c>
      <c r="AJ81" s="45" t="str">
        <f ca="1">AJ$10</f>
        <v>Q3'20A</v>
      </c>
      <c r="AK81" s="45" t="str">
        <f t="shared" ref="AK81:AW81" ca="1" si="57">AK$10</f>
        <v>Q4'20A</v>
      </c>
      <c r="AL81" s="45" t="str">
        <f t="shared" ca="1" si="57"/>
        <v>Q1'21A</v>
      </c>
      <c r="AM81" s="46" t="str">
        <f t="shared" ca="1" si="57"/>
        <v>Q2'21A</v>
      </c>
      <c r="AN81" s="45" t="str">
        <f t="shared" ca="1" si="57"/>
        <v>Q3'21F</v>
      </c>
      <c r="AO81" s="45" t="str">
        <f t="shared" ca="1" si="57"/>
        <v>Q4'21F</v>
      </c>
      <c r="AP81" s="45" t="str">
        <f t="shared" ca="1" si="57"/>
        <v>Q1'22F</v>
      </c>
      <c r="AQ81" s="45" t="str">
        <f t="shared" ca="1" si="57"/>
        <v>Q2'22F</v>
      </c>
      <c r="AR81" s="45" t="str">
        <f t="shared" ca="1" si="57"/>
        <v>Q3'22F</v>
      </c>
      <c r="AS81" s="45" t="str">
        <f t="shared" ca="1" si="57"/>
        <v>Q4'22F</v>
      </c>
      <c r="AU81" s="45" t="str">
        <f t="shared" ca="1" si="57"/>
        <v>FY20</v>
      </c>
      <c r="AV81" s="45" t="str">
        <f t="shared" ca="1" si="57"/>
        <v>FY21</v>
      </c>
      <c r="AW81" s="45" t="str">
        <f t="shared" ca="1" si="57"/>
        <v>FY22</v>
      </c>
    </row>
    <row r="82" spans="3:49" x14ac:dyDescent="0.25">
      <c r="C82" t="s">
        <v>265</v>
      </c>
      <c r="E82" s="33">
        <f>SUM(Revenue!E15:E20)</f>
        <v>1076.0245631271903</v>
      </c>
      <c r="F82" s="33">
        <f>SUM(Revenue!F15:F20)</f>
        <v>859.26920010937727</v>
      </c>
      <c r="G82" s="33">
        <f>SUM(Revenue!G15:G20)</f>
        <v>836.52248099866563</v>
      </c>
      <c r="H82" s="33">
        <f>SUM(Revenue!H15:H20)</f>
        <v>856.34353116215016</v>
      </c>
      <c r="I82" s="33">
        <f>SUM(Revenue!I15:I20)</f>
        <v>867.96401434551092</v>
      </c>
      <c r="J82" s="33">
        <f>SUM(Revenue!J15:J20)</f>
        <v>1202.7235625694784</v>
      </c>
      <c r="K82" s="33">
        <f>SUM(Revenue!K15:K20)</f>
        <v>999.30327627363522</v>
      </c>
      <c r="L82" s="33">
        <f>SUM(Revenue!L15:L20)</f>
        <v>871.88490961518551</v>
      </c>
      <c r="M82" s="33">
        <f>SUM(Revenue!M15:M20)</f>
        <v>872.77456928733591</v>
      </c>
      <c r="N82" s="33">
        <f>SUM(Revenue!N15:N20)</f>
        <v>1197.1562696903486</v>
      </c>
      <c r="O82" s="33">
        <f>SUM(Revenue!O15:O20)</f>
        <v>1183.4780841029253</v>
      </c>
      <c r="P82" s="34">
        <f>SUM(Revenue!P15:P20)</f>
        <v>1250.1871922417429</v>
      </c>
      <c r="Q82" s="33">
        <f>SUM(Revenue!Q15:Q20)</f>
        <v>1132.808116934413</v>
      </c>
      <c r="R82" s="33">
        <f>SUM(Revenue!R15:R20)</f>
        <v>924.28989330578554</v>
      </c>
      <c r="S82" s="33">
        <f>SUM(Revenue!S15:S20)</f>
        <v>881.48613024466636</v>
      </c>
      <c r="T82" s="33">
        <f>SUM(Revenue!T15:T20)</f>
        <v>897.76544844326088</v>
      </c>
      <c r="U82" s="33">
        <f>SUM(Revenue!U15:U20)</f>
        <v>916.16025491466962</v>
      </c>
      <c r="V82" s="33">
        <f>SUM(Revenue!V15:V20)</f>
        <v>1204.916359100057</v>
      </c>
      <c r="W82" s="33">
        <f>SUM(Revenue!W15:W20)</f>
        <v>1057.131134894355</v>
      </c>
      <c r="X82" s="33">
        <f>SUM(Revenue!X15:X20)</f>
        <v>909.33744398212934</v>
      </c>
      <c r="Y82" s="33">
        <f>SUM(Revenue!Y15:Y20)</f>
        <v>897.40647334653238</v>
      </c>
      <c r="Z82" s="33">
        <f>SUM(Revenue!Z15:Z20)</f>
        <v>1285.0423590273199</v>
      </c>
      <c r="AA82" s="33">
        <f>SUM(Revenue!AA15:AA20)</f>
        <v>1205.9135471960133</v>
      </c>
      <c r="AB82" s="33">
        <f>SUM(Revenue!AB15:AB20)</f>
        <v>1313.002590548946</v>
      </c>
      <c r="AC82" s="33">
        <f>SUM(Revenue!AC15:AC20)</f>
        <v>1185.0629560611505</v>
      </c>
      <c r="AD82" s="33">
        <f>SUM(Revenue!AD15:AD20)</f>
        <v>967.14486205329683</v>
      </c>
      <c r="AE82" s="33">
        <f>SUM(Revenue!AE15:AE20)</f>
        <v>922.39951981466538</v>
      </c>
      <c r="AF82" s="33">
        <f>SUM(Revenue!AF15:AF20)</f>
        <v>939.58156234665057</v>
      </c>
      <c r="AG82" s="33">
        <f>SUM(Revenue!AG15:AG20)</f>
        <v>958.88043189295263</v>
      </c>
      <c r="AH82" s="33">
        <f>SUM(Revenue!AH15:AH20)</f>
        <v>1260.9299508968747</v>
      </c>
      <c r="AJ82" s="13" cm="1">
        <f t="array" aca="1" ref="AJ82" ca="1">SUMPRODUCT(($E82:$AH82)*(AJ$3&amp;AJ$4&amp;AJ$5&amp;AJ$6=$E$3:$AH$3&amp;$E$4:$AH$4&amp;$E$5:$AH$5&amp;$E$6:$AH$6))</f>
        <v>2771.8162442352332</v>
      </c>
      <c r="AK82" s="13" cm="1">
        <f t="array" aca="1" ref="AK82" ca="1">SUMPRODUCT(($E82:$AH82)*(AK$3=$E$3:$AH$3)*(AK$4=$E$4:$AH$4)*(AK$5=$E$5:$AH$5)*(AK$6=$E$6:$AH$6))</f>
        <v>2927.0311080771394</v>
      </c>
      <c r="AL82" s="13" cm="1">
        <f t="array" aca="1" ref="AL82" ca="1">SUMPRODUCT(($E82:$AH82)*(AL$3=$E$3:$AH$3)*(AL$4=$E$4:$AH$4)*(AL$5=$E$5:$AH$5)*(AL$6=$E$6:$AH$6))</f>
        <v>2743.9627551761569</v>
      </c>
      <c r="AM82" s="362" cm="1">
        <f t="array" aca="1" ref="AM82" ca="1">SUMPRODUCT(($E82:$AH82)*(AM$3=$E$3:$AH$3)*(AM$4=$E$4:$AH$4)*(AM$5=$E$5:$AH$5)*(AM$6=$E$6:$AH$6))</f>
        <v>3630.8215460350166</v>
      </c>
      <c r="AN82" s="13" cm="1">
        <f t="array" aca="1" ref="AN82" ca="1">SUMPRODUCT(($E82:$AH82)*(AN$3=$E$3:$AH$3)*(AN$4=$E$4:$AH$4)*(AN$5=$E$5:$AH$5)*(AN$6=$E$6:$AH$6))</f>
        <v>2938.5841404848652</v>
      </c>
      <c r="AO82" s="13" cm="1">
        <f t="array" aca="1" ref="AO82" ca="1">SUMPRODUCT(($E82:$AH82)*(AO$3=$E$3:$AH$3)*(AO$4=$E$4:$AH$4)*(AO$5=$E$5:$AH$5)*(AO$6=$E$6:$AH$6))</f>
        <v>3018.8420624579876</v>
      </c>
      <c r="AP82" s="13" cm="1">
        <f t="array" aca="1" ref="AP82" ca="1">SUMPRODUCT(($E82:$AH82)*(AP$3=$E$3:$AH$3)*(AP$4=$E$4:$AH$4)*(AP$5=$E$5:$AH$5)*(AP$6=$E$6:$AH$6))</f>
        <v>2863.8750522230166</v>
      </c>
      <c r="AQ82" s="13" cm="1">
        <f t="array" aca="1" ref="AQ82" ca="1">SUMPRODUCT(($E82:$AH82)*(AQ$3=$E$3:$AH$3)*(AQ$4=$E$4:$AH$4)*(AQ$5=$E$5:$AH$5)*(AQ$6=$E$6:$AH$6))</f>
        <v>3803.958496772279</v>
      </c>
      <c r="AR82" s="13" cm="1">
        <f t="array" aca="1" ref="AR82" ca="1">SUMPRODUCT(($E82:$AH82)*(AR$3=$E$3:$AH$3)*(AR$4=$E$4:$AH$4)*(AR$5=$E$5:$AH$5)*(AR$6=$E$6:$AH$6))</f>
        <v>3074.6073379291129</v>
      </c>
      <c r="AS82" s="13" cm="1">
        <f t="array" aca="1" ref="AS82" ca="1">SUMPRODUCT(($E82:$AH82)*(AS$3=$E$3:$AH$3)*(AS$4=$E$4:$AH$4)*(AS$5=$E$5:$AH$5)*(AS$6=$E$6:$AH$6))</f>
        <v>3159.3919451364782</v>
      </c>
      <c r="AT82" s="13"/>
      <c r="AU82" s="13" cm="1">
        <f t="array" aca="1" ref="AU82" ca="1">SUMPRODUCT(($E82:$AH82)*(AU$5=$E$5:$AH$5))</f>
        <v>5698.847352312373</v>
      </c>
      <c r="AV82" s="13" cm="1">
        <f t="array" aca="1" ref="AV82" ca="1">SUMPRODUCT(($E82:$AH82)*(AV$5=$E$5:$AH$5))</f>
        <v>12332.210504154027</v>
      </c>
      <c r="AW82" s="13" cm="1">
        <f t="array" aca="1" ref="AW82" ca="1">SUMPRODUCT(($E82:$AH82)*(AW$5=$E$5:$AH$5))</f>
        <v>12901.832832060889</v>
      </c>
    </row>
    <row r="83" spans="3:49" x14ac:dyDescent="0.25">
      <c r="C83" t="s">
        <v>423</v>
      </c>
      <c r="E83" s="13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6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M83" s="8"/>
      <c r="AT83" s="13"/>
    </row>
    <row r="84" spans="3:49" x14ac:dyDescent="0.25">
      <c r="C84" s="1" t="s">
        <v>446</v>
      </c>
      <c r="E84" s="13">
        <f t="shared" ref="E84:AH84" si="58">E20</f>
        <v>112.26812011241782</v>
      </c>
      <c r="F84" s="15">
        <f t="shared" si="58"/>
        <v>450.82646855460962</v>
      </c>
      <c r="G84" s="15">
        <f t="shared" si="58"/>
        <v>-35.838862142808011</v>
      </c>
      <c r="H84" s="15">
        <f t="shared" si="58"/>
        <v>-134.6318536550732</v>
      </c>
      <c r="I84" s="15">
        <f t="shared" si="58"/>
        <v>-47.718594320512011</v>
      </c>
      <c r="J84" s="15">
        <f t="shared" si="58"/>
        <v>-602.37094501905631</v>
      </c>
      <c r="K84" s="15">
        <f t="shared" si="58"/>
        <v>50.883479396225994</v>
      </c>
      <c r="L84" s="15">
        <f t="shared" si="58"/>
        <v>289.47123387932015</v>
      </c>
      <c r="M84" s="15">
        <f t="shared" si="58"/>
        <v>-142.128095925259</v>
      </c>
      <c r="N84" s="15">
        <f t="shared" si="58"/>
        <v>-595.40192568116163</v>
      </c>
      <c r="O84" s="15">
        <f t="shared" si="58"/>
        <v>-396.4894781685407</v>
      </c>
      <c r="P84" s="16">
        <f t="shared" si="58"/>
        <v>-432.25064142808606</v>
      </c>
      <c r="Q84" s="15">
        <f t="shared" si="58"/>
        <v>198.47911525579457</v>
      </c>
      <c r="R84" s="15">
        <f t="shared" si="58"/>
        <v>630.17574741270755</v>
      </c>
      <c r="S84" s="15">
        <f t="shared" si="58"/>
        <v>114.34956200279976</v>
      </c>
      <c r="T84" s="15">
        <f t="shared" si="58"/>
        <v>-65.357684540518221</v>
      </c>
      <c r="U84" s="15">
        <f t="shared" si="58"/>
        <v>-110.68897710017245</v>
      </c>
      <c r="V84" s="15">
        <f t="shared" si="58"/>
        <v>-947.98570944580297</v>
      </c>
      <c r="W84" s="15">
        <f t="shared" si="58"/>
        <v>543.03317891675488</v>
      </c>
      <c r="X84" s="15">
        <f t="shared" si="58"/>
        <v>471.95995265556621</v>
      </c>
      <c r="Y84" s="15">
        <f t="shared" si="58"/>
        <v>32.072305547113956</v>
      </c>
      <c r="Z84" s="15">
        <f t="shared" si="58"/>
        <v>-1281.1191478400692</v>
      </c>
      <c r="AA84" s="15">
        <f t="shared" si="58"/>
        <v>256.86717418087301</v>
      </c>
      <c r="AB84" s="15">
        <f t="shared" si="58"/>
        <v>-345.88511124091747</v>
      </c>
      <c r="AC84" s="15">
        <f t="shared" si="58"/>
        <v>426.52156484279021</v>
      </c>
      <c r="AD84" s="15">
        <f t="shared" si="58"/>
        <v>713.46217603394598</v>
      </c>
      <c r="AE84" s="15">
        <f t="shared" si="58"/>
        <v>145.89438600691938</v>
      </c>
      <c r="AF84" s="15">
        <f t="shared" si="58"/>
        <v>-56.905953220367337</v>
      </c>
      <c r="AG84" s="15">
        <f t="shared" si="58"/>
        <v>-63.204062067269206</v>
      </c>
      <c r="AH84" s="15">
        <f t="shared" si="58"/>
        <v>-993.11158362765627</v>
      </c>
      <c r="AJ84" s="13" cm="1">
        <f t="array" aca="1" ref="AJ84" ca="1">SUMPRODUCT(($E84:$AH84)*(AJ$3&amp;AJ$4&amp;AJ$5&amp;AJ$6=$E$3:$AH$3&amp;$E$4:$AH$4&amp;$E$5:$AH$5&amp;$E$6:$AH$6))</f>
        <v>527.25572652421943</v>
      </c>
      <c r="AK84" s="13" cm="1">
        <f t="array" aca="1" ref="AK84" ca="1">SUMPRODUCT(($E84:$AH84)*(AK$3=$E$3:$AH$3)*(AK$4=$E$4:$AH$4)*(AK$5=$E$5:$AH$5)*(AK$6=$E$6:$AH$6))</f>
        <v>-784.72139299464152</v>
      </c>
      <c r="AL84" s="13" cm="1">
        <f t="array" aca="1" ref="AL84" ca="1">SUMPRODUCT(($E84:$AH84)*(AL$3=$E$3:$AH$3)*(AL$4=$E$4:$AH$4)*(AL$5=$E$5:$AH$5)*(AL$6=$E$6:$AH$6))</f>
        <v>198.22661735028714</v>
      </c>
      <c r="AM84" s="17" cm="1">
        <f t="array" aca="1" ref="AM84" ca="1">SUMPRODUCT(($E84:$AH84)*(AM$3=$E$3:$AH$3)*(AM$4=$E$4:$AH$4)*(AM$5=$E$5:$AH$5)*(AM$6=$E$6:$AH$6))</f>
        <v>-1424.1420452777884</v>
      </c>
      <c r="AN84" s="13" cm="1">
        <f t="array" aca="1" ref="AN84" ca="1">SUMPRODUCT(($E84:$AH84)*(AN$3=$E$3:$AH$3)*(AN$4=$E$4:$AH$4)*(AN$5=$E$5:$AH$5)*(AN$6=$E$6:$AH$6))</f>
        <v>943.00442467130188</v>
      </c>
      <c r="AO84" s="13" cm="1">
        <f t="array" aca="1" ref="AO84" ca="1">SUMPRODUCT(($E84:$AH84)*(AO$3=$E$3:$AH$3)*(AO$4=$E$4:$AH$4)*(AO$5=$E$5:$AH$5)*(AO$6=$E$6:$AH$6))</f>
        <v>-1124.0323710864936</v>
      </c>
      <c r="AP84" s="13" cm="1">
        <f t="array" aca="1" ref="AP84" ca="1">SUMPRODUCT(($E84:$AH84)*(AP$3=$E$3:$AH$3)*(AP$4=$E$4:$AH$4)*(AP$5=$E$5:$AH$5)*(AP$6=$E$6:$AH$6))</f>
        <v>1047.065437119435</v>
      </c>
      <c r="AQ84" s="13" cm="1">
        <f t="array" aca="1" ref="AQ84" ca="1">SUMPRODUCT(($E84:$AH84)*(AQ$3=$E$3:$AH$3)*(AQ$4=$E$4:$AH$4)*(AQ$5=$E$5:$AH$5)*(AQ$6=$E$6:$AH$6))</f>
        <v>-1370.1370849001137</v>
      </c>
      <c r="AR84" s="13" cm="1">
        <f t="array" aca="1" ref="AR84" ca="1">SUMPRODUCT(($E84:$AH84)*(AR$3=$E$3:$AH$3)*(AR$4=$E$4:$AH$4)*(AR$5=$E$5:$AH$5)*(AR$6=$E$6:$AH$6))</f>
        <v>1285.8781268836556</v>
      </c>
      <c r="AS84" s="13" cm="1">
        <f t="array" aca="1" ref="AS84" ca="1">SUMPRODUCT(($E84:$AH84)*(AS$3=$E$3:$AH$3)*(AS$4=$E$4:$AH$4)*(AS$5=$E$5:$AH$5)*(AS$6=$E$6:$AH$6))</f>
        <v>-1113.2215989152928</v>
      </c>
      <c r="AT84" s="13"/>
      <c r="AU84" s="13" cm="1">
        <f t="array" aca="1" ref="AU84" ca="1">SUMPRODUCT(($E84:$AH84)*(AU$5=$E$5:$AH$5))</f>
        <v>-257.46566647042209</v>
      </c>
      <c r="AV84" s="13" cm="1">
        <f t="array" aca="1" ref="AV84" ca="1">SUMPRODUCT(($E84:$AH84)*(AV$5=$E$5:$AH$5))</f>
        <v>-1406.943374342693</v>
      </c>
      <c r="AW84" s="13" cm="1">
        <f t="array" aca="1" ref="AW84" ca="1">SUMPRODUCT(($E84:$AH84)*(AW$5=$E$5:$AH$5))</f>
        <v>-150.41511981231588</v>
      </c>
    </row>
    <row r="85" spans="3:49" x14ac:dyDescent="0.25">
      <c r="C85" s="1" t="s">
        <v>416</v>
      </c>
      <c r="E85" s="61">
        <f t="shared" ref="E85:AH85" si="59">E25</f>
        <v>24.5</v>
      </c>
      <c r="F85" s="15">
        <f t="shared" si="59"/>
        <v>12.5</v>
      </c>
      <c r="G85" s="15">
        <f t="shared" si="59"/>
        <v>12.5</v>
      </c>
      <c r="H85" s="15">
        <f t="shared" si="59"/>
        <v>12.5</v>
      </c>
      <c r="I85" s="15">
        <f t="shared" si="59"/>
        <v>12.5</v>
      </c>
      <c r="J85" s="15">
        <f t="shared" si="59"/>
        <v>12.5</v>
      </c>
      <c r="K85" s="15">
        <f t="shared" si="59"/>
        <v>12.5</v>
      </c>
      <c r="L85" s="15">
        <f t="shared" si="59"/>
        <v>12.5</v>
      </c>
      <c r="M85" s="15">
        <f t="shared" si="59"/>
        <v>12.5</v>
      </c>
      <c r="N85" s="15">
        <f t="shared" si="59"/>
        <v>12.5</v>
      </c>
      <c r="O85" s="15">
        <f t="shared" si="59"/>
        <v>12.5</v>
      </c>
      <c r="P85" s="16">
        <f t="shared" si="59"/>
        <v>12.5</v>
      </c>
      <c r="Q85" s="15">
        <f t="shared" si="59"/>
        <v>-66.258319961614916</v>
      </c>
      <c r="R85" s="15">
        <f t="shared" si="59"/>
        <v>44.358366453249573</v>
      </c>
      <c r="S85" s="15">
        <f t="shared" si="59"/>
        <v>-16.692866329013441</v>
      </c>
      <c r="T85" s="15">
        <f t="shared" si="59"/>
        <v>5.7071356885701334</v>
      </c>
      <c r="U85" s="15">
        <f t="shared" si="59"/>
        <v>23.124778951836333</v>
      </c>
      <c r="V85" s="15">
        <f t="shared" si="59"/>
        <v>-62.663835453468437</v>
      </c>
      <c r="W85" s="15">
        <f t="shared" si="59"/>
        <v>92.386892522702965</v>
      </c>
      <c r="X85" s="15">
        <f t="shared" si="59"/>
        <v>-8.2131554637296631</v>
      </c>
      <c r="Y85" s="15">
        <f t="shared" si="59"/>
        <v>-8.3263319053735358</v>
      </c>
      <c r="Z85" s="15">
        <f t="shared" si="59"/>
        <v>78.942939227560601</v>
      </c>
      <c r="AA85" s="15">
        <f t="shared" si="59"/>
        <v>-66.903693403171474</v>
      </c>
      <c r="AB85" s="15">
        <f t="shared" si="59"/>
        <v>59.277221189563988</v>
      </c>
      <c r="AC85" s="15">
        <f t="shared" si="59"/>
        <v>-75.437579298785749</v>
      </c>
      <c r="AD85" s="15">
        <f t="shared" si="59"/>
        <v>46.751465136282832</v>
      </c>
      <c r="AE85" s="15">
        <f t="shared" si="59"/>
        <v>-17.396107583300591</v>
      </c>
      <c r="AF85" s="15">
        <f t="shared" si="59"/>
        <v>6.2104233324496363</v>
      </c>
      <c r="AG85" s="15">
        <f t="shared" si="59"/>
        <v>24.278129683539873</v>
      </c>
      <c r="AH85" s="15">
        <f t="shared" si="59"/>
        <v>-65.786842343543412</v>
      </c>
      <c r="AJ85" s="13" cm="1">
        <f t="array" aca="1" ref="AJ85" ca="1">SUMPRODUCT(($E85:$AH85)*(AJ$3&amp;AJ$4&amp;AJ$5&amp;AJ$6=$E$3:$AH$3&amp;$E$4:$AH$4&amp;$E$5:$AH$5&amp;$E$6:$AH$6))</f>
        <v>49.5</v>
      </c>
      <c r="AK85" s="13" cm="1">
        <f t="array" aca="1" ref="AK85" ca="1">SUMPRODUCT(($E85:$AH85)*(AK$3=$E$3:$AH$3)*(AK$4=$E$4:$AH$4)*(AK$5=$E$5:$AH$5)*(AK$6=$E$6:$AH$6))</f>
        <v>37.5</v>
      </c>
      <c r="AL85" s="13" cm="1">
        <f t="array" aca="1" ref="AL85" ca="1">SUMPRODUCT(($E85:$AH85)*(AL$3=$E$3:$AH$3)*(AL$4=$E$4:$AH$4)*(AL$5=$E$5:$AH$5)*(AL$6=$E$6:$AH$6))</f>
        <v>37.5</v>
      </c>
      <c r="AM85" s="17" cm="1">
        <f t="array" aca="1" ref="AM85" ca="1">SUMPRODUCT(($E85:$AH85)*(AM$3=$E$3:$AH$3)*(AM$4=$E$4:$AH$4)*(AM$5=$E$5:$AH$5)*(AM$6=$E$6:$AH$6))</f>
        <v>37.5</v>
      </c>
      <c r="AN85" s="13" cm="1">
        <f t="array" aca="1" ref="AN85" ca="1">SUMPRODUCT(($E85:$AH85)*(AN$3=$E$3:$AH$3)*(AN$4=$E$4:$AH$4)*(AN$5=$E$5:$AH$5)*(AN$6=$E$6:$AH$6))</f>
        <v>-38.592819837378784</v>
      </c>
      <c r="AO85" s="13" cm="1">
        <f t="array" aca="1" ref="AO85" ca="1">SUMPRODUCT(($E85:$AH85)*(AO$3=$E$3:$AH$3)*(AO$4=$E$4:$AH$4)*(AO$5=$E$5:$AH$5)*(AO$6=$E$6:$AH$6))</f>
        <v>-33.83192081306197</v>
      </c>
      <c r="AP85" s="13" cm="1">
        <f t="array" aca="1" ref="AP85" ca="1">SUMPRODUCT(($E85:$AH85)*(AP$3=$E$3:$AH$3)*(AP$4=$E$4:$AH$4)*(AP$5=$E$5:$AH$5)*(AP$6=$E$6:$AH$6))</f>
        <v>75.847405153599766</v>
      </c>
      <c r="AQ85" s="13" cm="1">
        <f t="array" aca="1" ref="AQ85" ca="1">SUMPRODUCT(($E85:$AH85)*(AQ$3=$E$3:$AH$3)*(AQ$4=$E$4:$AH$4)*(AQ$5=$E$5:$AH$5)*(AQ$6=$E$6:$AH$6))</f>
        <v>71.316467013953115</v>
      </c>
      <c r="AR85" s="13" cm="1">
        <f t="array" aca="1" ref="AR85" ca="1">SUMPRODUCT(($E85:$AH85)*(AR$3=$E$3:$AH$3)*(AR$4=$E$4:$AH$4)*(AR$5=$E$5:$AH$5)*(AR$6=$E$6:$AH$6))</f>
        <v>-46.082221745803508</v>
      </c>
      <c r="AS85" s="13" cm="1">
        <f t="array" aca="1" ref="AS85" ca="1">SUMPRODUCT(($E85:$AH85)*(AS$3=$E$3:$AH$3)*(AS$4=$E$4:$AH$4)*(AS$5=$E$5:$AH$5)*(AS$6=$E$6:$AH$6))</f>
        <v>-35.298289327553903</v>
      </c>
      <c r="AT85" s="13"/>
      <c r="AU85" s="13" cm="1">
        <f t="array" aca="1" ref="AU85" ca="1">SUMPRODUCT(($E85:$AH85)*(AU$5=$E$5:$AH$5))</f>
        <v>87</v>
      </c>
      <c r="AV85" s="13" cm="1">
        <f t="array" aca="1" ref="AV85" ca="1">SUMPRODUCT(($E85:$AH85)*(AV$5=$E$5:$AH$5))</f>
        <v>2.5752593495592464</v>
      </c>
      <c r="AW85" s="13" cm="1">
        <f t="array" aca="1" ref="AW85" ca="1">SUMPRODUCT(($E85:$AH85)*(AW$5=$E$5:$AH$5))</f>
        <v>65.78336109419547</v>
      </c>
    </row>
    <row r="86" spans="3:49" x14ac:dyDescent="0.25">
      <c r="C86" s="235" t="s">
        <v>424</v>
      </c>
      <c r="D86" s="27"/>
      <c r="E86" s="24">
        <f t="shared" ref="E86:AW86" si="60">SUM(E82:E85)</f>
        <v>1212.7926832396081</v>
      </c>
      <c r="F86" s="29">
        <f t="shared" si="60"/>
        <v>1322.595668663987</v>
      </c>
      <c r="G86" s="29">
        <f t="shared" si="60"/>
        <v>813.18361885585762</v>
      </c>
      <c r="H86" s="29">
        <f t="shared" si="60"/>
        <v>734.21167750707696</v>
      </c>
      <c r="I86" s="29">
        <f t="shared" si="60"/>
        <v>832.74542002499891</v>
      </c>
      <c r="J86" s="29">
        <f t="shared" si="60"/>
        <v>612.85261755042211</v>
      </c>
      <c r="K86" s="29">
        <f t="shared" si="60"/>
        <v>1062.6867556698612</v>
      </c>
      <c r="L86" s="29">
        <f t="shared" si="60"/>
        <v>1173.8561434945057</v>
      </c>
      <c r="M86" s="29">
        <f t="shared" si="60"/>
        <v>743.1464733620769</v>
      </c>
      <c r="N86" s="29">
        <f t="shared" si="60"/>
        <v>614.25434400918698</v>
      </c>
      <c r="O86" s="29">
        <f t="shared" si="60"/>
        <v>799.48860593438462</v>
      </c>
      <c r="P86" s="240">
        <f t="shared" si="60"/>
        <v>830.43655081365682</v>
      </c>
      <c r="Q86" s="29">
        <f t="shared" si="60"/>
        <v>1265.0289122285926</v>
      </c>
      <c r="R86" s="29">
        <f t="shared" si="60"/>
        <v>1598.8240071717426</v>
      </c>
      <c r="S86" s="29">
        <f t="shared" si="60"/>
        <v>979.14282591845267</v>
      </c>
      <c r="T86" s="29">
        <f t="shared" si="60"/>
        <v>838.11489959131279</v>
      </c>
      <c r="U86" s="29">
        <f t="shared" si="60"/>
        <v>828.5960567663335</v>
      </c>
      <c r="V86" s="29">
        <f t="shared" si="60"/>
        <v>194.26681420078557</v>
      </c>
      <c r="W86" s="29">
        <f t="shared" si="60"/>
        <v>1692.5512063338128</v>
      </c>
      <c r="X86" s="29">
        <f t="shared" si="60"/>
        <v>1373.0842411739659</v>
      </c>
      <c r="Y86" s="29">
        <f t="shared" si="60"/>
        <v>921.1524469882728</v>
      </c>
      <c r="Z86" s="29">
        <f t="shared" si="60"/>
        <v>82.866150414811273</v>
      </c>
      <c r="AA86" s="29">
        <f t="shared" si="60"/>
        <v>1395.8770279737148</v>
      </c>
      <c r="AB86" s="29">
        <f t="shared" si="60"/>
        <v>1026.3947004975926</v>
      </c>
      <c r="AC86" s="29">
        <f t="shared" si="60"/>
        <v>1536.146941605155</v>
      </c>
      <c r="AD86" s="29">
        <f t="shared" si="60"/>
        <v>1727.3585032235258</v>
      </c>
      <c r="AE86" s="29">
        <f t="shared" si="60"/>
        <v>1050.8977982382842</v>
      </c>
      <c r="AF86" s="29">
        <f t="shared" si="60"/>
        <v>888.88603245873287</v>
      </c>
      <c r="AG86" s="29">
        <f t="shared" si="60"/>
        <v>919.9544995092233</v>
      </c>
      <c r="AH86" s="29">
        <f t="shared" si="60"/>
        <v>202.03152492567506</v>
      </c>
      <c r="AJ86" s="29">
        <f t="shared" ca="1" si="60"/>
        <v>3348.5719707594526</v>
      </c>
      <c r="AK86" s="29">
        <f t="shared" ca="1" si="60"/>
        <v>2179.8097150824979</v>
      </c>
      <c r="AL86" s="29">
        <f t="shared" ca="1" si="60"/>
        <v>2979.689372526444</v>
      </c>
      <c r="AM86" s="240">
        <f t="shared" ca="1" si="60"/>
        <v>2244.1795007572282</v>
      </c>
      <c r="AN86" s="29">
        <f t="shared" ca="1" si="60"/>
        <v>3842.9957453187881</v>
      </c>
      <c r="AO86" s="29">
        <f t="shared" ca="1" si="60"/>
        <v>1860.977770558432</v>
      </c>
      <c r="AP86" s="29">
        <f t="shared" ca="1" si="60"/>
        <v>3986.7878944960512</v>
      </c>
      <c r="AQ86" s="29">
        <f t="shared" ca="1" si="60"/>
        <v>2505.1378788861184</v>
      </c>
      <c r="AR86" s="29">
        <f t="shared" ca="1" si="60"/>
        <v>4314.4032430669649</v>
      </c>
      <c r="AS86" s="29">
        <f t="shared" ca="1" si="60"/>
        <v>2010.8720568936315</v>
      </c>
      <c r="AT86" s="13"/>
      <c r="AU86" s="29">
        <f t="shared" ca="1" si="60"/>
        <v>5528.3816858419505</v>
      </c>
      <c r="AV86" s="29">
        <f t="shared" ca="1" si="60"/>
        <v>10927.842389160895</v>
      </c>
      <c r="AW86" s="29">
        <f t="shared" ca="1" si="60"/>
        <v>12817.201073342769</v>
      </c>
    </row>
    <row r="87" spans="3:49" x14ac:dyDescent="0.25">
      <c r="C87" t="s">
        <v>417</v>
      </c>
      <c r="E87" s="56">
        <f>-Expense!E18</f>
        <v>-180.7728640635263</v>
      </c>
      <c r="F87" s="33">
        <f>-Expense!F18</f>
        <v>-160.61112390166181</v>
      </c>
      <c r="G87" s="33">
        <f>-Expense!G18</f>
        <v>-145.03604874875441</v>
      </c>
      <c r="H87" s="33">
        <f>-Expense!H18</f>
        <v>-145.51900925897115</v>
      </c>
      <c r="I87" s="33">
        <f>-Expense!I18</f>
        <v>-145.36732897796907</v>
      </c>
      <c r="J87" s="33">
        <f>-Expense!J18</f>
        <v>-176.75701293385504</v>
      </c>
      <c r="K87" s="33">
        <f>-Expense!K18</f>
        <v>-190.63777283984737</v>
      </c>
      <c r="L87" s="33">
        <f>-Expense!L18</f>
        <v>-166.77450333175804</v>
      </c>
      <c r="M87" s="33">
        <f>-Expense!M18</f>
        <v>-158.36881377268679</v>
      </c>
      <c r="N87" s="33">
        <f>-Expense!N18</f>
        <v>-203.90553473801677</v>
      </c>
      <c r="O87" s="33">
        <f>-Expense!O18</f>
        <v>-205.51530888445131</v>
      </c>
      <c r="P87" s="34">
        <f>-Expense!P18</f>
        <v>-213.40401187736421</v>
      </c>
      <c r="Q87" s="33">
        <f>-Expense!Q18</f>
        <v>-197.86134000514889</v>
      </c>
      <c r="R87" s="33">
        <f>-Expense!R18</f>
        <v>-172.33773503324278</v>
      </c>
      <c r="S87" s="33">
        <f>-Expense!S18</f>
        <v>-157.97029196171533</v>
      </c>
      <c r="T87" s="33">
        <f>-Expense!T18</f>
        <v>-159.09810992148152</v>
      </c>
      <c r="U87" s="33">
        <f>-Expense!U18</f>
        <v>-156.76785280447933</v>
      </c>
      <c r="V87" s="33">
        <f>-Expense!V18</f>
        <v>-201.12553493920402</v>
      </c>
      <c r="W87" s="33">
        <f>-Expense!W18</f>
        <v>-193.86160153585652</v>
      </c>
      <c r="X87" s="33">
        <f>-Expense!X18</f>
        <v>-172.04281111898945</v>
      </c>
      <c r="Y87" s="33">
        <f>-Expense!Y18</f>
        <v>-164.45093514268945</v>
      </c>
      <c r="Z87" s="33">
        <f>-Expense!Z18</f>
        <v>-225.12718298378599</v>
      </c>
      <c r="AA87" s="33">
        <f>-Expense!AA18</f>
        <v>-208.70950151163493</v>
      </c>
      <c r="AB87" s="33">
        <f>-Expense!AB18</f>
        <v>-222.90844545816631</v>
      </c>
      <c r="AC87" s="33">
        <f>-Expense!AC18</f>
        <v>-206.06532516277997</v>
      </c>
      <c r="AD87" s="33">
        <f>-Expense!AD18</f>
        <v>-179.39972891146465</v>
      </c>
      <c r="AE87" s="33">
        <f>-Expense!AE18</f>
        <v>-164.37418270615481</v>
      </c>
      <c r="AF87" s="33">
        <f>-Expense!AF18</f>
        <v>-165.57703643206136</v>
      </c>
      <c r="AG87" s="33">
        <f>-Expense!AG18</f>
        <v>-163.14580239096711</v>
      </c>
      <c r="AH87" s="33">
        <f>-Expense!AH18</f>
        <v>-209.54495071736952</v>
      </c>
      <c r="AJ87" s="13" cm="1">
        <f t="array" aca="1" ref="AJ87" ca="1">SUMPRODUCT(($E87:$AH87)*(AJ$3&amp;AJ$4&amp;AJ$5&amp;AJ$6=$E$3:$AH$3&amp;$E$4:$AH$4&amp;$E$5:$AH$5&amp;$E$6:$AH$6))</f>
        <v>-486.42003671394252</v>
      </c>
      <c r="AK87" s="13" cm="1">
        <f t="array" aca="1" ref="AK87" ca="1">SUMPRODUCT(($E87:$AH87)*(AK$3=$E$3:$AH$3)*(AK$4=$E$4:$AH$4)*(AK$5=$E$5:$AH$5)*(AK$6=$E$6:$AH$6))</f>
        <v>-467.64335117079526</v>
      </c>
      <c r="AL87" s="13" cm="1">
        <f t="array" aca="1" ref="AL87" ca="1">SUMPRODUCT(($E87:$AH87)*(AL$3=$E$3:$AH$3)*(AL$4=$E$4:$AH$4)*(AL$5=$E$5:$AH$5)*(AL$6=$E$6:$AH$6))</f>
        <v>-515.78108994429226</v>
      </c>
      <c r="AM87" s="17" cm="1">
        <f t="array" aca="1" ref="AM87" ca="1">SUMPRODUCT(($E87:$AH87)*(AM$3=$E$3:$AH$3)*(AM$4=$E$4:$AH$4)*(AM$5=$E$5:$AH$5)*(AM$6=$E$6:$AH$6))</f>
        <v>-622.82485549983221</v>
      </c>
      <c r="AN87" s="13" cm="1">
        <f t="array" aca="1" ref="AN87" ca="1">SUMPRODUCT(($E87:$AH87)*(AN$3=$E$3:$AH$3)*(AN$4=$E$4:$AH$4)*(AN$5=$E$5:$AH$5)*(AN$6=$E$6:$AH$6))</f>
        <v>-528.16936700010706</v>
      </c>
      <c r="AO87" s="13" cm="1">
        <f t="array" aca="1" ref="AO87" ca="1">SUMPRODUCT(($E87:$AH87)*(AO$3=$E$3:$AH$3)*(AO$4=$E$4:$AH$4)*(AO$5=$E$5:$AH$5)*(AO$6=$E$6:$AH$6))</f>
        <v>-516.99149766516484</v>
      </c>
      <c r="AP87" s="13" cm="1">
        <f t="array" aca="1" ref="AP87" ca="1">SUMPRODUCT(($E87:$AH87)*(AP$3=$E$3:$AH$3)*(AP$4=$E$4:$AH$4)*(AP$5=$E$5:$AH$5)*(AP$6=$E$6:$AH$6))</f>
        <v>-530.35534779753539</v>
      </c>
      <c r="AQ87" s="13" cm="1">
        <f t="array" aca="1" ref="AQ87" ca="1">SUMPRODUCT(($E87:$AH87)*(AQ$3=$E$3:$AH$3)*(AQ$4=$E$4:$AH$4)*(AQ$5=$E$5:$AH$5)*(AQ$6=$E$6:$AH$6))</f>
        <v>-656.74512995358725</v>
      </c>
      <c r="AR87" s="13" cm="1">
        <f t="array" aca="1" ref="AR87" ca="1">SUMPRODUCT(($E87:$AH87)*(AR$3=$E$3:$AH$3)*(AR$4=$E$4:$AH$4)*(AR$5=$E$5:$AH$5)*(AR$6=$E$6:$AH$6))</f>
        <v>-549.83923678039946</v>
      </c>
      <c r="AS87" s="13" cm="1">
        <f t="array" aca="1" ref="AS87" ca="1">SUMPRODUCT(($E87:$AH87)*(AS$3=$E$3:$AH$3)*(AS$4=$E$4:$AH$4)*(AS$5=$E$5:$AH$5)*(AS$6=$E$6:$AH$6))</f>
        <v>-538.26778954039798</v>
      </c>
      <c r="AT87" s="13"/>
      <c r="AU87" s="13" cm="1">
        <f t="array" aca="1" ref="AU87" ca="1">SUMPRODUCT(($E87:$AH87)*(AU$5=$E$5:$AH$5))</f>
        <v>-954.06338788473772</v>
      </c>
      <c r="AV87" s="13" cm="1">
        <f t="array" aca="1" ref="AV87" ca="1">SUMPRODUCT(($E87:$AH87)*(AV$5=$E$5:$AH$5))</f>
        <v>-2183.7668101093964</v>
      </c>
      <c r="AW87" s="13" cm="1">
        <f t="array" aca="1" ref="AW87" ca="1">SUMPRODUCT(($E87:$AH87)*(AW$5=$E$5:$AH$5))</f>
        <v>-2275.2075040719201</v>
      </c>
    </row>
    <row r="88" spans="3:49" x14ac:dyDescent="0.25">
      <c r="C88" t="s">
        <v>425</v>
      </c>
      <c r="E88" s="61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6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M88" s="8"/>
      <c r="AT88" s="13"/>
    </row>
    <row r="89" spans="3:49" x14ac:dyDescent="0.25">
      <c r="C89" s="1" t="s">
        <v>175</v>
      </c>
      <c r="E89" s="61">
        <f t="shared" ref="E89:AH89" si="61">E21</f>
        <v>46.717302489971189</v>
      </c>
      <c r="F89" s="15">
        <f t="shared" si="61"/>
        <v>121.79999999999995</v>
      </c>
      <c r="G89" s="15">
        <f t="shared" si="61"/>
        <v>127</v>
      </c>
      <c r="H89" s="15">
        <f t="shared" si="61"/>
        <v>11.099999999999909</v>
      </c>
      <c r="I89" s="15">
        <f t="shared" si="61"/>
        <v>34.900000000000091</v>
      </c>
      <c r="J89" s="15">
        <f t="shared" si="61"/>
        <v>-166.09999999999991</v>
      </c>
      <c r="K89" s="15">
        <f t="shared" si="61"/>
        <v>-79.100000000000136</v>
      </c>
      <c r="L89" s="15">
        <f t="shared" si="61"/>
        <v>109.70000000000005</v>
      </c>
      <c r="M89" s="15">
        <f t="shared" si="61"/>
        <v>46.299999999999955</v>
      </c>
      <c r="N89" s="15">
        <f t="shared" si="61"/>
        <v>-78.5</v>
      </c>
      <c r="O89" s="15">
        <f t="shared" si="61"/>
        <v>-126.29999999999995</v>
      </c>
      <c r="P89" s="16">
        <f t="shared" si="61"/>
        <v>-172</v>
      </c>
      <c r="Q89" s="15">
        <f t="shared" si="61"/>
        <v>46.061060764239528</v>
      </c>
      <c r="R89" s="15">
        <f t="shared" si="61"/>
        <v>159.17797824036575</v>
      </c>
      <c r="S89" s="15">
        <f t="shared" si="61"/>
        <v>118.89299179816862</v>
      </c>
      <c r="T89" s="15">
        <f t="shared" si="61"/>
        <v>7.6901822715697108</v>
      </c>
      <c r="U89" s="15">
        <f t="shared" si="61"/>
        <v>53.477817407354678</v>
      </c>
      <c r="V89" s="15">
        <f t="shared" si="61"/>
        <v>-250.16192685686838</v>
      </c>
      <c r="W89" s="15">
        <f t="shared" si="61"/>
        <v>64.114212181934136</v>
      </c>
      <c r="X89" s="15">
        <f t="shared" si="61"/>
        <v>94.461818874081018</v>
      </c>
      <c r="Y89" s="15">
        <f t="shared" si="61"/>
        <v>40.141626779244007</v>
      </c>
      <c r="Z89" s="15">
        <f t="shared" si="61"/>
        <v>-160.10336870548031</v>
      </c>
      <c r="AA89" s="15">
        <f t="shared" si="61"/>
        <v>-22.314933174115367</v>
      </c>
      <c r="AB89" s="15">
        <f t="shared" si="61"/>
        <v>-218.02068863180421</v>
      </c>
      <c r="AC89" s="15">
        <f t="shared" si="61"/>
        <v>52.566492144239191</v>
      </c>
      <c r="AD89" s="15">
        <f t="shared" si="61"/>
        <v>166.40441396728261</v>
      </c>
      <c r="AE89" s="15">
        <f t="shared" si="61"/>
        <v>124.27903315734807</v>
      </c>
      <c r="AF89" s="15">
        <f t="shared" si="61"/>
        <v>7.7876026098895181</v>
      </c>
      <c r="AG89" s="15">
        <f t="shared" si="61"/>
        <v>55.698639761042159</v>
      </c>
      <c r="AH89" s="15">
        <f t="shared" si="61"/>
        <v>-261.94070231156161</v>
      </c>
      <c r="AJ89" s="13" cm="1">
        <f t="array" aca="1" ref="AJ89" ca="1">SUMPRODUCT(($E89:$AH89)*(AJ$3&amp;AJ$4&amp;AJ$5&amp;AJ$6=$E$3:$AH$3&amp;$E$4:$AH$4&amp;$E$5:$AH$5&amp;$E$6:$AH$6))</f>
        <v>295.51730248997114</v>
      </c>
      <c r="AK89" s="13" cm="1">
        <f t="array" aca="1" ref="AK89" ca="1">SUMPRODUCT(($E89:$AH89)*(AK$3=$E$3:$AH$3)*(AK$4=$E$4:$AH$4)*(AK$5=$E$5:$AH$5)*(AK$6=$E$6:$AH$6))</f>
        <v>-120.09999999999991</v>
      </c>
      <c r="AL89" s="13" cm="1">
        <f t="array" aca="1" ref="AL89" ca="1">SUMPRODUCT(($E89:$AH89)*(AL$3=$E$3:$AH$3)*(AL$4=$E$4:$AH$4)*(AL$5=$E$5:$AH$5)*(AL$6=$E$6:$AH$6))</f>
        <v>76.899999999999864</v>
      </c>
      <c r="AM89" s="17" cm="1">
        <f t="array" aca="1" ref="AM89" ca="1">SUMPRODUCT(($E89:$AH89)*(AM$3=$E$3:$AH$3)*(AM$4=$E$4:$AH$4)*(AM$5=$E$5:$AH$5)*(AM$6=$E$6:$AH$6))</f>
        <v>-376.79999999999995</v>
      </c>
      <c r="AN89" s="13" cm="1">
        <f t="array" aca="1" ref="AN89" ca="1">SUMPRODUCT(($E89:$AH89)*(AN$3=$E$3:$AH$3)*(AN$4=$E$4:$AH$4)*(AN$5=$E$5:$AH$5)*(AN$6=$E$6:$AH$6))</f>
        <v>324.1320308027739</v>
      </c>
      <c r="AO89" s="13" cm="1">
        <f t="array" aca="1" ref="AO89" ca="1">SUMPRODUCT(($E89:$AH89)*(AO$3=$E$3:$AH$3)*(AO$4=$E$4:$AH$4)*(AO$5=$E$5:$AH$5)*(AO$6=$E$6:$AH$6))</f>
        <v>-188.99392717794399</v>
      </c>
      <c r="AP89" s="13" cm="1">
        <f t="array" aca="1" ref="AP89" ca="1">SUMPRODUCT(($E89:$AH89)*(AP$3=$E$3:$AH$3)*(AP$4=$E$4:$AH$4)*(AP$5=$E$5:$AH$5)*(AP$6=$E$6:$AH$6))</f>
        <v>198.71765783525916</v>
      </c>
      <c r="AQ89" s="13" cm="1">
        <f t="array" aca="1" ref="AQ89" ca="1">SUMPRODUCT(($E89:$AH89)*(AQ$3=$E$3:$AH$3)*(AQ$4=$E$4:$AH$4)*(AQ$5=$E$5:$AH$5)*(AQ$6=$E$6:$AH$6))</f>
        <v>-400.43899051139988</v>
      </c>
      <c r="AR89" s="13" cm="1">
        <f t="array" aca="1" ref="AR89" ca="1">SUMPRODUCT(($E89:$AH89)*(AR$3=$E$3:$AH$3)*(AR$4=$E$4:$AH$4)*(AR$5=$E$5:$AH$5)*(AR$6=$E$6:$AH$6))</f>
        <v>343.24993926886987</v>
      </c>
      <c r="AS89" s="13" cm="1">
        <f t="array" aca="1" ref="AS89" ca="1">SUMPRODUCT(($E89:$AH89)*(AS$3=$E$3:$AH$3)*(AS$4=$E$4:$AH$4)*(AS$5=$E$5:$AH$5)*(AS$6=$E$6:$AH$6))</f>
        <v>-198.45445994062993</v>
      </c>
      <c r="AT89" s="13"/>
      <c r="AU89" s="13" cm="1">
        <f t="array" aca="1" ref="AU89" ca="1">SUMPRODUCT(($E89:$AH89)*(AU$5=$E$5:$AH$5))</f>
        <v>175.41730248997123</v>
      </c>
      <c r="AV89" s="13" cm="1">
        <f t="array" aca="1" ref="AV89" ca="1">SUMPRODUCT(($E89:$AH89)*(AV$5=$E$5:$AH$5))</f>
        <v>-164.76189637517018</v>
      </c>
      <c r="AW89" s="13" cm="1">
        <f t="array" aca="1" ref="AW89" ca="1">SUMPRODUCT(($E89:$AH89)*(AW$5=$E$5:$AH$5))</f>
        <v>-56.925853347900784</v>
      </c>
    </row>
    <row r="90" spans="3:49" x14ac:dyDescent="0.25">
      <c r="C90" s="237" t="s">
        <v>427</v>
      </c>
      <c r="D90" s="238"/>
      <c r="E90" s="239">
        <f>SUM(E87:E89)</f>
        <v>-134.05556157355511</v>
      </c>
      <c r="F90" s="239">
        <f t="shared" ref="F90:AW90" si="62">SUM(F87:F89)</f>
        <v>-38.811123901661858</v>
      </c>
      <c r="G90" s="239">
        <f t="shared" si="62"/>
        <v>-18.036048748754411</v>
      </c>
      <c r="H90" s="239">
        <f t="shared" si="62"/>
        <v>-134.41900925897124</v>
      </c>
      <c r="I90" s="239">
        <f t="shared" si="62"/>
        <v>-110.46732897796898</v>
      </c>
      <c r="J90" s="239">
        <f t="shared" si="62"/>
        <v>-342.85701293385495</v>
      </c>
      <c r="K90" s="239">
        <f t="shared" si="62"/>
        <v>-269.73777283984748</v>
      </c>
      <c r="L90" s="239">
        <f t="shared" si="62"/>
        <v>-57.074503331757995</v>
      </c>
      <c r="M90" s="239">
        <f t="shared" si="62"/>
        <v>-112.06881377268684</v>
      </c>
      <c r="N90" s="239">
        <f t="shared" si="62"/>
        <v>-282.40553473801674</v>
      </c>
      <c r="O90" s="239">
        <f t="shared" si="62"/>
        <v>-331.81530888445127</v>
      </c>
      <c r="P90" s="241">
        <f t="shared" si="62"/>
        <v>-385.40401187736421</v>
      </c>
      <c r="Q90" s="239">
        <f t="shared" si="62"/>
        <v>-151.80027924090936</v>
      </c>
      <c r="R90" s="239">
        <f t="shared" si="62"/>
        <v>-13.159756792877033</v>
      </c>
      <c r="S90" s="239">
        <f t="shared" si="62"/>
        <v>-39.07730016354671</v>
      </c>
      <c r="T90" s="239">
        <f t="shared" si="62"/>
        <v>-151.40792764991181</v>
      </c>
      <c r="U90" s="239">
        <f t="shared" si="62"/>
        <v>-103.29003539712465</v>
      </c>
      <c r="V90" s="239">
        <f t="shared" si="62"/>
        <v>-451.28746179607242</v>
      </c>
      <c r="W90" s="239">
        <f t="shared" si="62"/>
        <v>-129.74738935392239</v>
      </c>
      <c r="X90" s="239">
        <f t="shared" si="62"/>
        <v>-77.58099224490843</v>
      </c>
      <c r="Y90" s="239">
        <f t="shared" si="62"/>
        <v>-124.30930836344544</v>
      </c>
      <c r="Z90" s="239">
        <f t="shared" si="62"/>
        <v>-385.23055168926629</v>
      </c>
      <c r="AA90" s="239">
        <f t="shared" si="62"/>
        <v>-231.02443468575029</v>
      </c>
      <c r="AB90" s="239">
        <f t="shared" si="62"/>
        <v>-440.92913408997049</v>
      </c>
      <c r="AC90" s="239">
        <f t="shared" si="62"/>
        <v>-153.49883301854078</v>
      </c>
      <c r="AD90" s="239">
        <f t="shared" si="62"/>
        <v>-12.995314944182041</v>
      </c>
      <c r="AE90" s="239">
        <f t="shared" si="62"/>
        <v>-40.095149548806745</v>
      </c>
      <c r="AF90" s="239">
        <f t="shared" si="62"/>
        <v>-157.78943382217184</v>
      </c>
      <c r="AG90" s="239">
        <f t="shared" si="62"/>
        <v>-107.44716262992495</v>
      </c>
      <c r="AH90" s="239">
        <f t="shared" si="62"/>
        <v>-471.4856530289311</v>
      </c>
      <c r="AJ90" s="239">
        <f t="shared" ca="1" si="62"/>
        <v>-190.90273422397138</v>
      </c>
      <c r="AK90" s="239">
        <f t="shared" ca="1" si="62"/>
        <v>-587.74335117079522</v>
      </c>
      <c r="AL90" s="239">
        <f t="shared" ca="1" si="62"/>
        <v>-438.8810899442924</v>
      </c>
      <c r="AM90" s="241">
        <f t="shared" ca="1" si="62"/>
        <v>-999.62485549983217</v>
      </c>
      <c r="AN90" s="239">
        <f t="shared" ca="1" si="62"/>
        <v>-204.03733619733316</v>
      </c>
      <c r="AO90" s="239">
        <f t="shared" ca="1" si="62"/>
        <v>-705.98542484310883</v>
      </c>
      <c r="AP90" s="239">
        <f t="shared" ca="1" si="62"/>
        <v>-331.63768996227623</v>
      </c>
      <c r="AQ90" s="239">
        <f t="shared" ca="1" si="62"/>
        <v>-1057.1841204649872</v>
      </c>
      <c r="AR90" s="239">
        <f t="shared" ca="1" si="62"/>
        <v>-206.58929751152959</v>
      </c>
      <c r="AS90" s="239">
        <f t="shared" ca="1" si="62"/>
        <v>-736.72224948102792</v>
      </c>
      <c r="AT90" s="13"/>
      <c r="AU90" s="239">
        <f t="shared" ca="1" si="62"/>
        <v>-778.64608539476649</v>
      </c>
      <c r="AV90" s="239">
        <f t="shared" ca="1" si="62"/>
        <v>-2348.5287064845666</v>
      </c>
      <c r="AW90" s="239">
        <f t="shared" ca="1" si="62"/>
        <v>-2332.1333574198206</v>
      </c>
    </row>
    <row r="91" spans="3:49" x14ac:dyDescent="0.25">
      <c r="C91" t="s">
        <v>426</v>
      </c>
      <c r="E91" s="61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6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M91" s="8"/>
      <c r="AT91" s="13"/>
    </row>
    <row r="92" spans="3:49" x14ac:dyDescent="0.25">
      <c r="C92" s="1" t="s">
        <v>418</v>
      </c>
      <c r="E92" s="61">
        <f t="shared" ref="E92:AH92" si="63">E22</f>
        <v>-211.79664771000716</v>
      </c>
      <c r="F92" s="15">
        <f t="shared" si="63"/>
        <v>-614.51486203020954</v>
      </c>
      <c r="G92" s="15">
        <f t="shared" si="63"/>
        <v>-275.08198918643211</v>
      </c>
      <c r="H92" s="15">
        <f t="shared" si="63"/>
        <v>57.021249449301195</v>
      </c>
      <c r="I92" s="15">
        <f t="shared" si="63"/>
        <v>120.73416065841116</v>
      </c>
      <c r="J92" s="15">
        <f t="shared" si="63"/>
        <v>219.68794014154901</v>
      </c>
      <c r="K92" s="15">
        <f t="shared" si="63"/>
        <v>266.29485263993229</v>
      </c>
      <c r="L92" s="15">
        <f t="shared" si="63"/>
        <v>-568.47732687002713</v>
      </c>
      <c r="M92" s="15">
        <f t="shared" si="63"/>
        <v>187.72675480696876</v>
      </c>
      <c r="N92" s="15">
        <f t="shared" si="63"/>
        <v>188.57483624253132</v>
      </c>
      <c r="O92" s="15">
        <f t="shared" si="63"/>
        <v>415.2112754105483</v>
      </c>
      <c r="P92" s="16">
        <f t="shared" si="63"/>
        <v>-25.874504026557815</v>
      </c>
      <c r="Q92" s="15">
        <f t="shared" si="63"/>
        <v>197.37620502541358</v>
      </c>
      <c r="R92" s="15">
        <f t="shared" si="63"/>
        <v>-970.42817056669969</v>
      </c>
      <c r="S92" s="15">
        <f t="shared" si="63"/>
        <v>133.3750119990591</v>
      </c>
      <c r="T92" s="15">
        <f t="shared" si="63"/>
        <v>-70.823245656963763</v>
      </c>
      <c r="U92" s="15">
        <f t="shared" si="63"/>
        <v>8.9564075519767812</v>
      </c>
      <c r="V92" s="15">
        <f t="shared" si="63"/>
        <v>566.68860373530788</v>
      </c>
      <c r="W92" s="15">
        <f t="shared" si="63"/>
        <v>-624.15180472748602</v>
      </c>
      <c r="X92" s="15">
        <f t="shared" si="63"/>
        <v>158.39213094285151</v>
      </c>
      <c r="Y92" s="15">
        <f t="shared" si="63"/>
        <v>120.17972498881136</v>
      </c>
      <c r="Z92" s="15">
        <f t="shared" si="63"/>
        <v>457.13867220689963</v>
      </c>
      <c r="AA92" s="15">
        <f t="shared" si="63"/>
        <v>-331.70964469358796</v>
      </c>
      <c r="AB92" s="15">
        <f t="shared" si="63"/>
        <v>568.2319856593881</v>
      </c>
      <c r="AC92" s="15">
        <f t="shared" si="63"/>
        <v>36.506683791049909</v>
      </c>
      <c r="AD92" s="15">
        <f t="shared" si="63"/>
        <v>-982.73549394327915</v>
      </c>
      <c r="AE92" s="15">
        <f t="shared" si="63"/>
        <v>139.44212972715309</v>
      </c>
      <c r="AF92" s="15">
        <f t="shared" si="63"/>
        <v>-69.890779279445724</v>
      </c>
      <c r="AG92" s="15">
        <f t="shared" si="63"/>
        <v>8.6912883503453031</v>
      </c>
      <c r="AH92" s="15">
        <f t="shared" si="63"/>
        <v>594.34435534220597</v>
      </c>
      <c r="AJ92" s="13" cm="1">
        <f t="array" aca="1" ref="AJ92" ca="1">SUMPRODUCT(($E92:$AH92)*(AJ$3&amp;AJ$4&amp;AJ$5&amp;AJ$6=$E$3:$AH$3&amp;$E$4:$AH$4&amp;$E$5:$AH$5&amp;$E$6:$AH$6))</f>
        <v>-1101.3934989266488</v>
      </c>
      <c r="AK92" s="13" cm="1">
        <f t="array" aca="1" ref="AK92" ca="1">SUMPRODUCT(($E92:$AH92)*(AK$3=$E$3:$AH$3)*(AK$4=$E$4:$AH$4)*(AK$5=$E$5:$AH$5)*(AK$6=$E$6:$AH$6))</f>
        <v>397.44335024926136</v>
      </c>
      <c r="AL92" s="13" cm="1">
        <f t="array" aca="1" ref="AL92" ca="1">SUMPRODUCT(($E92:$AH92)*(AL$3=$E$3:$AH$3)*(AL$4=$E$4:$AH$4)*(AL$5=$E$5:$AH$5)*(AL$6=$E$6:$AH$6))</f>
        <v>-114.45571942312608</v>
      </c>
      <c r="AM92" s="17" cm="1">
        <f t="array" aca="1" ref="AM92" ca="1">SUMPRODUCT(($E92:$AH92)*(AM$3=$E$3:$AH$3)*(AM$4=$E$4:$AH$4)*(AM$5=$E$5:$AH$5)*(AM$6=$E$6:$AH$6))</f>
        <v>577.9116076265218</v>
      </c>
      <c r="AN92" s="13" cm="1">
        <f t="array" aca="1" ref="AN92" ca="1">SUMPRODUCT(($E92:$AH92)*(AN$3=$E$3:$AH$3)*(AN$4=$E$4:$AH$4)*(AN$5=$E$5:$AH$5)*(AN$6=$E$6:$AH$6))</f>
        <v>-639.67695354222701</v>
      </c>
      <c r="AO92" s="13" cm="1">
        <f t="array" aca="1" ref="AO92" ca="1">SUMPRODUCT(($E92:$AH92)*(AO$3=$E$3:$AH$3)*(AO$4=$E$4:$AH$4)*(AO$5=$E$5:$AH$5)*(AO$6=$E$6:$AH$6))</f>
        <v>504.8217656303209</v>
      </c>
      <c r="AP92" s="13" cm="1">
        <f t="array" aca="1" ref="AP92" ca="1">SUMPRODUCT(($E92:$AH92)*(AP$3=$E$3:$AH$3)*(AP$4=$E$4:$AH$4)*(AP$5=$E$5:$AH$5)*(AP$6=$E$6:$AH$6))</f>
        <v>-345.57994879582316</v>
      </c>
      <c r="AQ92" s="13" cm="1">
        <f t="array" aca="1" ref="AQ92" ca="1">SUMPRODUCT(($E92:$AH92)*(AQ$3=$E$3:$AH$3)*(AQ$4=$E$4:$AH$4)*(AQ$5=$E$5:$AH$5)*(AQ$6=$E$6:$AH$6))</f>
        <v>693.66101317269977</v>
      </c>
      <c r="AR92" s="13" cm="1">
        <f t="array" aca="1" ref="AR92" ca="1">SUMPRODUCT(($E92:$AH92)*(AR$3=$E$3:$AH$3)*(AR$4=$E$4:$AH$4)*(AR$5=$E$5:$AH$5)*(AR$6=$E$6:$AH$6))</f>
        <v>-806.78668042507616</v>
      </c>
      <c r="AS92" s="13" cm="1">
        <f t="array" aca="1" ref="AS92" ca="1">SUMPRODUCT(($E92:$AH92)*(AS$3=$E$3:$AH$3)*(AS$4=$E$4:$AH$4)*(AS$5=$E$5:$AH$5)*(AS$6=$E$6:$AH$6))</f>
        <v>533.14486441310555</v>
      </c>
      <c r="AT92" s="13"/>
      <c r="AU92" s="13" cm="1">
        <f t="array" aca="1" ref="AU92" ca="1">SUMPRODUCT(($E92:$AH92)*(AU$5=$E$5:$AH$5))</f>
        <v>-703.95014867738746</v>
      </c>
      <c r="AV92" s="13" cm="1">
        <f t="array" aca="1" ref="AV92" ca="1">SUMPRODUCT(($E92:$AH92)*(AV$5=$E$5:$AH$5))</f>
        <v>328.6007002914896</v>
      </c>
      <c r="AW92" s="13" cm="1">
        <f t="array" aca="1" ref="AW92" ca="1">SUMPRODUCT(($E92:$AH92)*(AW$5=$E$5:$AH$5))</f>
        <v>74.439248364906007</v>
      </c>
    </row>
    <row r="93" spans="3:49" x14ac:dyDescent="0.25">
      <c r="C93" s="1" t="s">
        <v>221</v>
      </c>
      <c r="E93" s="61">
        <f t="shared" ref="E93:AH93" si="64">E26</f>
        <v>3.3594246778349657</v>
      </c>
      <c r="F93" s="15">
        <f t="shared" si="64"/>
        <v>-44.26725442814643</v>
      </c>
      <c r="G93" s="15">
        <f t="shared" si="64"/>
        <v>-41.910319029531252</v>
      </c>
      <c r="H93" s="15">
        <f t="shared" si="64"/>
        <v>-15.640783127337556</v>
      </c>
      <c r="I93" s="15">
        <f t="shared" si="64"/>
        <v>1.3513647762941332</v>
      </c>
      <c r="J93" s="15">
        <f t="shared" si="64"/>
        <v>-5</v>
      </c>
      <c r="K93" s="15">
        <f t="shared" si="64"/>
        <v>5</v>
      </c>
      <c r="L93" s="15">
        <f t="shared" si="64"/>
        <v>55</v>
      </c>
      <c r="M93" s="15">
        <f t="shared" si="64"/>
        <v>86.940618446054145</v>
      </c>
      <c r="N93" s="15">
        <f t="shared" si="64"/>
        <v>-76.816687571370437</v>
      </c>
      <c r="O93" s="15">
        <f t="shared" si="64"/>
        <v>24.604460555541777</v>
      </c>
      <c r="P93" s="16">
        <f t="shared" si="64"/>
        <v>41.40584566343324</v>
      </c>
      <c r="Q93" s="15">
        <f t="shared" si="64"/>
        <v>-34.166120525893007</v>
      </c>
      <c r="R93" s="15">
        <f t="shared" si="64"/>
        <v>-34.481044735337889</v>
      </c>
      <c r="S93" s="15">
        <f t="shared" si="64"/>
        <v>-33.858087479652625</v>
      </c>
      <c r="T93" s="15">
        <f t="shared" si="64"/>
        <v>-6.6441715926919755</v>
      </c>
      <c r="U93" s="15">
        <f t="shared" si="64"/>
        <v>-8.8058865842659202</v>
      </c>
      <c r="V93" s="15">
        <f t="shared" si="64"/>
        <v>67.092021772895521</v>
      </c>
      <c r="W93" s="15">
        <f t="shared" si="64"/>
        <v>0.57166756807464481</v>
      </c>
      <c r="X93" s="15">
        <f t="shared" si="64"/>
        <v>-43.750931283965883</v>
      </c>
      <c r="Y93" s="15">
        <f t="shared" si="64"/>
        <v>124.45321668997502</v>
      </c>
      <c r="Z93" s="15">
        <f t="shared" si="64"/>
        <v>-49.601098404098138</v>
      </c>
      <c r="AA93" s="15">
        <f t="shared" si="64"/>
        <v>3.7631806968107071</v>
      </c>
      <c r="AB93" s="15">
        <f t="shared" si="64"/>
        <v>33.491262703222276</v>
      </c>
      <c r="AC93" s="15">
        <f t="shared" si="64"/>
        <v>-24.002228816175204</v>
      </c>
      <c r="AD93" s="15">
        <f t="shared" si="64"/>
        <v>-47.752728128565707</v>
      </c>
      <c r="AE93" s="15">
        <f t="shared" si="64"/>
        <v>-33.816062470412533</v>
      </c>
      <c r="AF93" s="15">
        <f t="shared" si="64"/>
        <v>-5.2048878310237114</v>
      </c>
      <c r="AG93" s="15">
        <f t="shared" si="64"/>
        <v>-9.4513817732648135</v>
      </c>
      <c r="AH93" s="15">
        <f t="shared" si="64"/>
        <v>68.956786712025632</v>
      </c>
      <c r="AJ93" s="13" cm="1">
        <f t="array" aca="1" ref="AJ93" ca="1">SUMPRODUCT(($E93:$AH93)*(AJ$3&amp;AJ$4&amp;AJ$5&amp;AJ$6=$E$3:$AH$3&amp;$E$4:$AH$4&amp;$E$5:$AH$5&amp;$E$6:$AH$6))</f>
        <v>-82.818148779842716</v>
      </c>
      <c r="AK93" s="13" cm="1">
        <f t="array" aca="1" ref="AK93" ca="1">SUMPRODUCT(($E93:$AH93)*(AK$3=$E$3:$AH$3)*(AK$4=$E$4:$AH$4)*(AK$5=$E$5:$AH$5)*(AK$6=$E$6:$AH$6))</f>
        <v>-19.289418351043423</v>
      </c>
      <c r="AL93" s="13" cm="1">
        <f t="array" aca="1" ref="AL93" ca="1">SUMPRODUCT(($E93:$AH93)*(AL$3=$E$3:$AH$3)*(AL$4=$E$4:$AH$4)*(AL$5=$E$5:$AH$5)*(AL$6=$E$6:$AH$6))</f>
        <v>146.94061844605415</v>
      </c>
      <c r="AM93" s="17" cm="1">
        <f t="array" aca="1" ref="AM93" ca="1">SUMPRODUCT(($E93:$AH93)*(AM$3=$E$3:$AH$3)*(AM$4=$E$4:$AH$4)*(AM$5=$E$5:$AH$5)*(AM$6=$E$6:$AH$6))</f>
        <v>-10.80638135239542</v>
      </c>
      <c r="AN93" s="13" cm="1">
        <f t="array" aca="1" ref="AN93" ca="1">SUMPRODUCT(($E93:$AH93)*(AN$3=$E$3:$AH$3)*(AN$4=$E$4:$AH$4)*(AN$5=$E$5:$AH$5)*(AN$6=$E$6:$AH$6))</f>
        <v>-102.50525274088352</v>
      </c>
      <c r="AO93" s="13" cm="1">
        <f t="array" aca="1" ref="AO93" ca="1">SUMPRODUCT(($E93:$AH93)*(AO$3=$E$3:$AH$3)*(AO$4=$E$4:$AH$4)*(AO$5=$E$5:$AH$5)*(AO$6=$E$6:$AH$6))</f>
        <v>51.641963595937625</v>
      </c>
      <c r="AP93" s="13" cm="1">
        <f t="array" aca="1" ref="AP93" ca="1">SUMPRODUCT(($E93:$AH93)*(AP$3=$E$3:$AH$3)*(AP$4=$E$4:$AH$4)*(AP$5=$E$5:$AH$5)*(AP$6=$E$6:$AH$6))</f>
        <v>81.273952974083784</v>
      </c>
      <c r="AQ93" s="13" cm="1">
        <f t="array" aca="1" ref="AQ93" ca="1">SUMPRODUCT(($E93:$AH93)*(AQ$3=$E$3:$AH$3)*(AQ$4=$E$4:$AH$4)*(AQ$5=$E$5:$AH$5)*(AQ$6=$E$6:$AH$6))</f>
        <v>-12.346655004065155</v>
      </c>
      <c r="AR93" s="13" cm="1">
        <f t="array" aca="1" ref="AR93" ca="1">SUMPRODUCT(($E93:$AH93)*(AR$3=$E$3:$AH$3)*(AR$4=$E$4:$AH$4)*(AR$5=$E$5:$AH$5)*(AR$6=$E$6:$AH$6))</f>
        <v>-105.57101941515344</v>
      </c>
      <c r="AS93" s="13" cm="1">
        <f t="array" aca="1" ref="AS93" ca="1">SUMPRODUCT(($E93:$AH93)*(AS$3=$E$3:$AH$3)*(AS$4=$E$4:$AH$4)*(AS$5=$E$5:$AH$5)*(AS$6=$E$6:$AH$6))</f>
        <v>54.300517107737107</v>
      </c>
      <c r="AT93" s="13"/>
      <c r="AU93" s="13" cm="1">
        <f t="array" aca="1" ref="AU93" ca="1">SUMPRODUCT(($E93:$AH93)*(AU$5=$E$5:$AH$5))</f>
        <v>-102.10756713088614</v>
      </c>
      <c r="AV93" s="13" cm="1">
        <f t="array" aca="1" ref="AV93" ca="1">SUMPRODUCT(($E93:$AH93)*(AV$5=$E$5:$AH$5))</f>
        <v>85.270947948712831</v>
      </c>
      <c r="AW93" s="13" cm="1">
        <f t="array" aca="1" ref="AW93" ca="1">SUMPRODUCT(($E93:$AH93)*(AW$5=$E$5:$AH$5))</f>
        <v>17.656795662602292</v>
      </c>
    </row>
    <row r="94" spans="3:49" x14ac:dyDescent="0.25">
      <c r="C94" s="236" t="s">
        <v>428</v>
      </c>
      <c r="D94" s="27"/>
      <c r="E94" s="24">
        <f>SUM(E90:E93)</f>
        <v>-342.49278460572731</v>
      </c>
      <c r="F94" s="29">
        <f t="shared" ref="F94:AW94" si="65">SUM(F90:F93)</f>
        <v>-697.59324036001783</v>
      </c>
      <c r="G94" s="29">
        <f t="shared" si="65"/>
        <v>-335.02835696471777</v>
      </c>
      <c r="H94" s="29">
        <f t="shared" si="65"/>
        <v>-93.038542937007605</v>
      </c>
      <c r="I94" s="29">
        <f t="shared" si="65"/>
        <v>11.618196456736314</v>
      </c>
      <c r="J94" s="29">
        <f t="shared" si="65"/>
        <v>-128.16907279230594</v>
      </c>
      <c r="K94" s="29">
        <f t="shared" si="65"/>
        <v>1.5570798000848072</v>
      </c>
      <c r="L94" s="29">
        <f t="shared" si="65"/>
        <v>-570.55183020178515</v>
      </c>
      <c r="M94" s="29">
        <f t="shared" si="65"/>
        <v>162.59855948033606</v>
      </c>
      <c r="N94" s="29">
        <f t="shared" si="65"/>
        <v>-170.64738606685586</v>
      </c>
      <c r="O94" s="29">
        <f t="shared" si="65"/>
        <v>108.0004270816388</v>
      </c>
      <c r="P94" s="240">
        <f t="shared" si="65"/>
        <v>-369.87267024048879</v>
      </c>
      <c r="Q94" s="29">
        <f t="shared" si="65"/>
        <v>11.409805258611215</v>
      </c>
      <c r="R94" s="29">
        <f t="shared" si="65"/>
        <v>-1018.0689720949147</v>
      </c>
      <c r="S94" s="29">
        <f t="shared" si="65"/>
        <v>60.439624355859763</v>
      </c>
      <c r="T94" s="29">
        <f t="shared" si="65"/>
        <v>-228.87534489956755</v>
      </c>
      <c r="U94" s="29">
        <f t="shared" si="65"/>
        <v>-103.13951442941379</v>
      </c>
      <c r="V94" s="29">
        <f t="shared" si="65"/>
        <v>182.49316371213098</v>
      </c>
      <c r="W94" s="29">
        <f t="shared" si="65"/>
        <v>-753.32752651333374</v>
      </c>
      <c r="X94" s="29">
        <f t="shared" si="65"/>
        <v>37.060207413977196</v>
      </c>
      <c r="Y94" s="29">
        <f t="shared" si="65"/>
        <v>120.32363331534094</v>
      </c>
      <c r="Z94" s="29">
        <f t="shared" si="65"/>
        <v>22.307022113535197</v>
      </c>
      <c r="AA94" s="29">
        <f t="shared" si="65"/>
        <v>-558.9708986825276</v>
      </c>
      <c r="AB94" s="29">
        <f t="shared" si="65"/>
        <v>160.79411427263989</v>
      </c>
      <c r="AC94" s="29">
        <f t="shared" si="65"/>
        <v>-140.99437804366607</v>
      </c>
      <c r="AD94" s="29">
        <f t="shared" si="65"/>
        <v>-1043.483537016027</v>
      </c>
      <c r="AE94" s="29">
        <f t="shared" si="65"/>
        <v>65.53091770793381</v>
      </c>
      <c r="AF94" s="29">
        <f t="shared" si="65"/>
        <v>-232.88510093264128</v>
      </c>
      <c r="AG94" s="29">
        <f t="shared" si="65"/>
        <v>-108.20725605284446</v>
      </c>
      <c r="AH94" s="29">
        <f t="shared" si="65"/>
        <v>191.81548902530051</v>
      </c>
      <c r="AJ94" s="29">
        <f t="shared" ca="1" si="65"/>
        <v>-1375.1143819304627</v>
      </c>
      <c r="AK94" s="29">
        <f t="shared" ca="1" si="65"/>
        <v>-209.58941927257729</v>
      </c>
      <c r="AL94" s="29">
        <f t="shared" ca="1" si="65"/>
        <v>-406.39619092136434</v>
      </c>
      <c r="AM94" s="240">
        <f t="shared" ca="1" si="65"/>
        <v>-432.51962922570578</v>
      </c>
      <c r="AN94" s="29">
        <f t="shared" ca="1" si="65"/>
        <v>-946.21954248044369</v>
      </c>
      <c r="AO94" s="29">
        <f t="shared" ca="1" si="65"/>
        <v>-149.52169561685031</v>
      </c>
      <c r="AP94" s="29">
        <f t="shared" ca="1" si="65"/>
        <v>-595.94368578401554</v>
      </c>
      <c r="AQ94" s="29">
        <f t="shared" ca="1" si="65"/>
        <v>-375.86976229635263</v>
      </c>
      <c r="AR94" s="29">
        <f t="shared" ca="1" si="65"/>
        <v>-1118.9469973517591</v>
      </c>
      <c r="AS94" s="29">
        <f t="shared" ca="1" si="65"/>
        <v>-149.27686796018526</v>
      </c>
      <c r="AT94" s="13"/>
      <c r="AU94" s="29">
        <f t="shared" ca="1" si="65"/>
        <v>-1584.70380120304</v>
      </c>
      <c r="AV94" s="29">
        <f t="shared" ca="1" si="65"/>
        <v>-1934.6570582443642</v>
      </c>
      <c r="AW94" s="29">
        <f t="shared" ca="1" si="65"/>
        <v>-2240.0373133923122</v>
      </c>
    </row>
    <row r="95" spans="3:49" x14ac:dyDescent="0.25">
      <c r="C95" s="225" t="s">
        <v>429</v>
      </c>
      <c r="D95" s="225"/>
      <c r="E95" s="268">
        <f>-Expense!E122</f>
        <v>-290.25</v>
      </c>
      <c r="F95" s="268">
        <f>-Expense!F122</f>
        <v>-290.25</v>
      </c>
      <c r="G95" s="268">
        <f>-Expense!G122</f>
        <v>-290.25</v>
      </c>
      <c r="H95" s="268">
        <f>-Expense!H122</f>
        <v>-290.25</v>
      </c>
      <c r="I95" s="268">
        <f>-Expense!I122</f>
        <v>-290.25</v>
      </c>
      <c r="J95" s="268">
        <f>-Expense!J122</f>
        <v>-290.25</v>
      </c>
      <c r="K95" s="268">
        <f>-Expense!K122</f>
        <v>-290.25</v>
      </c>
      <c r="L95" s="268">
        <f>-Expense!L122</f>
        <v>-290.25</v>
      </c>
      <c r="M95" s="268">
        <f>-Expense!M122</f>
        <v>-290.25</v>
      </c>
      <c r="N95" s="268">
        <f>-Expense!N122</f>
        <v>-290.25</v>
      </c>
      <c r="O95" s="268">
        <f>-Expense!O122</f>
        <v>-290.25</v>
      </c>
      <c r="P95" s="269">
        <f>-Expense!P122</f>
        <v>-290.25</v>
      </c>
      <c r="Q95" s="268">
        <f>-Expense!Q122</f>
        <v>-297.01666666666665</v>
      </c>
      <c r="R95" s="268">
        <f>-Expense!R122</f>
        <v>-304.4083333333333</v>
      </c>
      <c r="S95" s="268">
        <f>-Expense!S122</f>
        <v>-319.97166666666664</v>
      </c>
      <c r="T95" s="268">
        <f>-Expense!T122</f>
        <v>-317.94166666666666</v>
      </c>
      <c r="U95" s="268">
        <f>-Expense!U122</f>
        <v>-317.94166666666666</v>
      </c>
      <c r="V95" s="268">
        <f>-Expense!V122</f>
        <v>-317.94166666666666</v>
      </c>
      <c r="W95" s="268">
        <f>-Expense!W122</f>
        <v>-317.94166666666666</v>
      </c>
      <c r="X95" s="268">
        <f>-Expense!X122</f>
        <v>-317.94166666666666</v>
      </c>
      <c r="Y95" s="268">
        <f>-Expense!Y122</f>
        <v>-333.22208333333339</v>
      </c>
      <c r="Z95" s="268">
        <f>-Expense!Z122</f>
        <v>-333.22208333333339</v>
      </c>
      <c r="AA95" s="268">
        <f>-Expense!AA122</f>
        <v>-333.22208333333339</v>
      </c>
      <c r="AB95" s="268">
        <f>-Expense!AB122</f>
        <v>-333.22208333333339</v>
      </c>
      <c r="AC95" s="268">
        <f>-Expense!AC122</f>
        <v>-333.22208333333339</v>
      </c>
      <c r="AD95" s="268">
        <f>-Expense!AD122</f>
        <v>-333.22208333333339</v>
      </c>
      <c r="AE95" s="268">
        <f>-Expense!AE122</f>
        <v>-333.22208333333339</v>
      </c>
      <c r="AF95" s="268">
        <f>-Expense!AF122</f>
        <v>-333.22208333333339</v>
      </c>
      <c r="AG95" s="268">
        <f>-Expense!AG122</f>
        <v>-333.22208333333339</v>
      </c>
      <c r="AH95" s="268">
        <f>-Expense!AH122</f>
        <v>-333.22208333333339</v>
      </c>
      <c r="AJ95" s="360" cm="1">
        <f t="array" aca="1" ref="AJ95" ca="1">SUMPRODUCT(($E95:$AH95)*(AJ$3&amp;AJ$4&amp;AJ$5&amp;AJ$6=$E$3:$AH$3&amp;$E$4:$AH$4&amp;$E$5:$AH$5&amp;$E$6:$AH$6))</f>
        <v>-870.75</v>
      </c>
      <c r="AK95" s="360" cm="1">
        <f t="array" aca="1" ref="AK95" ca="1">SUMPRODUCT(($E95:$AH95)*(AK$3=$E$3:$AH$3)*(AK$4=$E$4:$AH$4)*(AK$5=$E$5:$AH$5)*(AK$6=$E$6:$AH$6))</f>
        <v>-870.75</v>
      </c>
      <c r="AL95" s="360" cm="1">
        <f t="array" aca="1" ref="AL95" ca="1">SUMPRODUCT(($E95:$AH95)*(AL$3=$E$3:$AH$3)*(AL$4=$E$4:$AH$4)*(AL$5=$E$5:$AH$5)*(AL$6=$E$6:$AH$6))</f>
        <v>-870.75</v>
      </c>
      <c r="AM95" s="361" cm="1">
        <f t="array" aca="1" ref="AM95" ca="1">SUMPRODUCT(($E95:$AH95)*(AM$3=$E$3:$AH$3)*(AM$4=$E$4:$AH$4)*(AM$5=$E$5:$AH$5)*(AM$6=$E$6:$AH$6))</f>
        <v>-870.75</v>
      </c>
      <c r="AN95" s="360" cm="1">
        <f t="array" aca="1" ref="AN95" ca="1">SUMPRODUCT(($E95:$AH95)*(AN$3=$E$3:$AH$3)*(AN$4=$E$4:$AH$4)*(AN$5=$E$5:$AH$5)*(AN$6=$E$6:$AH$6))</f>
        <v>-921.39666666666653</v>
      </c>
      <c r="AO95" s="360" cm="1">
        <f t="array" aca="1" ref="AO95" ca="1">SUMPRODUCT(($E95:$AH95)*(AO$3=$E$3:$AH$3)*(AO$4=$E$4:$AH$4)*(AO$5=$E$5:$AH$5)*(AO$6=$E$6:$AH$6))</f>
        <v>-953.82500000000005</v>
      </c>
      <c r="AP95" s="360" cm="1">
        <f t="array" aca="1" ref="AP95" ca="1">SUMPRODUCT(($E95:$AH95)*(AP$3=$E$3:$AH$3)*(AP$4=$E$4:$AH$4)*(AP$5=$E$5:$AH$5)*(AP$6=$E$6:$AH$6))</f>
        <v>-969.10541666666677</v>
      </c>
      <c r="AQ95" s="360" cm="1">
        <f t="array" aca="1" ref="AQ95" ca="1">SUMPRODUCT(($E95:$AH95)*(AQ$3=$E$3:$AH$3)*(AQ$4=$E$4:$AH$4)*(AQ$5=$E$5:$AH$5)*(AQ$6=$E$6:$AH$6))</f>
        <v>-999.66625000000022</v>
      </c>
      <c r="AR95" s="360" cm="1">
        <f t="array" aca="1" ref="AR95" ca="1">SUMPRODUCT(($E95:$AH95)*(AR$3=$E$3:$AH$3)*(AR$4=$E$4:$AH$4)*(AR$5=$E$5:$AH$5)*(AR$6=$E$6:$AH$6))</f>
        <v>-999.66625000000022</v>
      </c>
      <c r="AS95" s="360" cm="1">
        <f t="array" aca="1" ref="AS95" ca="1">SUMPRODUCT(($E95:$AH95)*(AS$3=$E$3:$AH$3)*(AS$4=$E$4:$AH$4)*(AS$5=$E$5:$AH$5)*(AS$6=$E$6:$AH$6))</f>
        <v>-999.66625000000022</v>
      </c>
      <c r="AT95" s="13"/>
      <c r="AU95" s="360" cm="1">
        <f t="array" aca="1" ref="AU95" ca="1">SUMPRODUCT(($E95:$AH95)*(AU$5=$E$5:$AH$5))</f>
        <v>-1741.5</v>
      </c>
      <c r="AV95" s="360" cm="1">
        <f t="array" aca="1" ref="AV95" ca="1">SUMPRODUCT(($E95:$AH95)*(AV$5=$E$5:$AH$5))</f>
        <v>-3616.7216666666668</v>
      </c>
      <c r="AW95" s="360" cm="1">
        <f t="array" aca="1" ref="AW95" ca="1">SUMPRODUCT(($E95:$AH95)*(AW$5=$E$5:$AH$5))</f>
        <v>-3968.1041666666679</v>
      </c>
    </row>
    <row r="96" spans="3:49" x14ac:dyDescent="0.25">
      <c r="C96" s="225" t="s">
        <v>430</v>
      </c>
      <c r="D96" s="225"/>
      <c r="E96" s="268">
        <f>-Expense!E132</f>
        <v>-28.060805930349986</v>
      </c>
      <c r="F96" s="268">
        <f>-Expense!F132</f>
        <v>-27.904555160312505</v>
      </c>
      <c r="G96" s="268">
        <f>-Expense!G132</f>
        <v>-28.497594212365705</v>
      </c>
      <c r="H96" s="268">
        <f>-Expense!H132</f>
        <v>-28.123459268379939</v>
      </c>
      <c r="I96" s="268">
        <f>-Expense!I132</f>
        <v>-28.022409926223933</v>
      </c>
      <c r="J96" s="268">
        <f>-Expense!J132</f>
        <v>-28.45283808301085</v>
      </c>
      <c r="K96" s="268">
        <f>-Expense!K132</f>
        <v>-28.297291652640723</v>
      </c>
      <c r="L96" s="268">
        <f>-Expense!L132</f>
        <v>-28.509404654645248</v>
      </c>
      <c r="M96" s="268">
        <f>-Expense!M132</f>
        <v>-27.906239537241042</v>
      </c>
      <c r="N96" s="268">
        <f>-Expense!N132</f>
        <v>-28.148710076876299</v>
      </c>
      <c r="O96" s="268">
        <f>-Expense!O132</f>
        <v>-28.383349212334618</v>
      </c>
      <c r="P96" s="269">
        <f>-Expense!P132</f>
        <v>-27.956947696306809</v>
      </c>
      <c r="Q96" s="268">
        <f>-Expense!Q132</f>
        <v>-28.905331900132637</v>
      </c>
      <c r="R96" s="268">
        <f>-Expense!R132</f>
        <v>-29.593370621922006</v>
      </c>
      <c r="S96" s="268">
        <f>-Expense!S132</f>
        <v>-31.153925683917425</v>
      </c>
      <c r="T96" s="268">
        <f>-Expense!T132</f>
        <v>-30.983965605706587</v>
      </c>
      <c r="U96" s="268">
        <f>-Expense!U132</f>
        <v>-30.987363025897032</v>
      </c>
      <c r="V96" s="268">
        <f>-Expense!V132</f>
        <v>-30.948309507951851</v>
      </c>
      <c r="W96" s="268">
        <f>-Expense!W132</f>
        <v>-30.980920681620923</v>
      </c>
      <c r="X96" s="268">
        <f>-Expense!X132</f>
        <v>-30.974348097639698</v>
      </c>
      <c r="Y96" s="268">
        <f>-Expense!Y132</f>
        <v>-30.969642989450413</v>
      </c>
      <c r="Z96" s="268">
        <f>-Expense!Z132</f>
        <v>-30.974091651377751</v>
      </c>
      <c r="AA96" s="268">
        <f>-Expense!AA132</f>
        <v>-30.97244599232295</v>
      </c>
      <c r="AB96" s="268">
        <f>-Expense!AB132</f>
        <v>-30.969959820060602</v>
      </c>
      <c r="AC96" s="268">
        <f>-Expense!AC132</f>
        <v>-30.973568205412057</v>
      </c>
      <c r="AD96" s="268">
        <f>-Expense!AD132</f>
        <v>-30.972342792710581</v>
      </c>
      <c r="AE96" s="268">
        <f>-Expense!AE132</f>
        <v>-30.972008575222397</v>
      </c>
      <c r="AF96" s="268">
        <f>-Expense!AF132</f>
        <v>-30.972402839517724</v>
      </c>
      <c r="AG96" s="268">
        <f>-Expense!AG132</f>
        <v>-30.972121370874387</v>
      </c>
      <c r="AH96" s="268">
        <f>-Expense!AH132</f>
        <v>-30.972067267299625</v>
      </c>
      <c r="AJ96" s="360" cm="1">
        <f t="array" aca="1" ref="AJ96" ca="1">SUMPRODUCT(($E96:$AH96)*(AJ$3&amp;AJ$4&amp;AJ$5&amp;AJ$6=$E$3:$AH$3&amp;$E$4:$AH$4&amp;$E$5:$AH$5&amp;$E$6:$AH$6))</f>
        <v>-84.462955303028195</v>
      </c>
      <c r="AK96" s="360" cm="1">
        <f t="array" aca="1" ref="AK96" ca="1">SUMPRODUCT(($E96:$AH96)*(AK$3=$E$3:$AH$3)*(AK$4=$E$4:$AH$4)*(AK$5=$E$5:$AH$5)*(AK$6=$E$6:$AH$6))</f>
        <v>-84.598707277614722</v>
      </c>
      <c r="AL96" s="360" cm="1">
        <f t="array" aca="1" ref="AL96" ca="1">SUMPRODUCT(($E96:$AH96)*(AL$3=$E$3:$AH$3)*(AL$4=$E$4:$AH$4)*(AL$5=$E$5:$AH$5)*(AL$6=$E$6:$AH$6))</f>
        <v>-84.71293584452701</v>
      </c>
      <c r="AM96" s="361" cm="1">
        <f t="array" aca="1" ref="AM96" ca="1">SUMPRODUCT(($E96:$AH96)*(AM$3=$E$3:$AH$3)*(AM$4=$E$4:$AH$4)*(AM$5=$E$5:$AH$5)*(AM$6=$E$6:$AH$6))</f>
        <v>-84.489006985517733</v>
      </c>
      <c r="AN96" s="360" cm="1">
        <f t="array" aca="1" ref="AN96" ca="1">SUMPRODUCT(($E96:$AH96)*(AN$3=$E$3:$AH$3)*(AN$4=$E$4:$AH$4)*(AN$5=$E$5:$AH$5)*(AN$6=$E$6:$AH$6))</f>
        <v>-89.652628205972064</v>
      </c>
      <c r="AO96" s="360" cm="1">
        <f t="array" aca="1" ref="AO96" ca="1">SUMPRODUCT(($E96:$AH96)*(AO$3=$E$3:$AH$3)*(AO$4=$E$4:$AH$4)*(AO$5=$E$5:$AH$5)*(AO$6=$E$6:$AH$6))</f>
        <v>-92.919638139555474</v>
      </c>
      <c r="AP96" s="360" cm="1">
        <f t="array" aca="1" ref="AP96" ca="1">SUMPRODUCT(($E96:$AH96)*(AP$3=$E$3:$AH$3)*(AP$4=$E$4:$AH$4)*(AP$5=$E$5:$AH$5)*(AP$6=$E$6:$AH$6))</f>
        <v>-92.924911768711041</v>
      </c>
      <c r="AQ96" s="360" cm="1">
        <f t="array" aca="1" ref="AQ96" ca="1">SUMPRODUCT(($E96:$AH96)*(AQ$3=$E$3:$AH$3)*(AQ$4=$E$4:$AH$4)*(AQ$5=$E$5:$AH$5)*(AQ$6=$E$6:$AH$6))</f>
        <v>-92.916497463761303</v>
      </c>
      <c r="AR96" s="360" cm="1">
        <f t="array" aca="1" ref="AR96" ca="1">SUMPRODUCT(($E96:$AH96)*(AR$3=$E$3:$AH$3)*(AR$4=$E$4:$AH$4)*(AR$5=$E$5:$AH$5)*(AR$6=$E$6:$AH$6))</f>
        <v>-92.917919573345046</v>
      </c>
      <c r="AS96" s="360" cm="1">
        <f t="array" aca="1" ref="AS96" ca="1">SUMPRODUCT(($E96:$AH96)*(AS$3=$E$3:$AH$3)*(AS$4=$E$4:$AH$4)*(AS$5=$E$5:$AH$5)*(AS$6=$E$6:$AH$6))</f>
        <v>-92.916591477691739</v>
      </c>
      <c r="AT96" s="13"/>
      <c r="AU96" s="360" cm="1">
        <f t="array" aca="1" ref="AU96" ca="1">SUMPRODUCT(($E96:$AH96)*(AU$5=$E$5:$AH$5))</f>
        <v>-169.06166258064292</v>
      </c>
      <c r="AV96" s="360" cm="1">
        <f t="array" aca="1" ref="AV96" ca="1">SUMPRODUCT(($E96:$AH96)*(AV$5=$E$5:$AH$5))</f>
        <v>-351.77420917557225</v>
      </c>
      <c r="AW96" s="360" cm="1">
        <f t="array" aca="1" ref="AW96" ca="1">SUMPRODUCT(($E96:$AH96)*(AW$5=$E$5:$AH$5))</f>
        <v>-371.67592028350913</v>
      </c>
    </row>
    <row r="97" spans="1:49" x14ac:dyDescent="0.25">
      <c r="C97" s="225" t="s">
        <v>431</v>
      </c>
      <c r="D97" s="225"/>
      <c r="E97" s="268">
        <f>-Expense!E139</f>
        <v>-12.185942010647937</v>
      </c>
      <c r="F97" s="268">
        <f>-Expense!F139</f>
        <v>-12.154127233632403</v>
      </c>
      <c r="G97" s="268">
        <f>-Expense!G139</f>
        <v>-12.328902667974944</v>
      </c>
      <c r="H97" s="268">
        <f>-Expense!H139</f>
        <v>-12.400810951891399</v>
      </c>
      <c r="I97" s="268">
        <f>-Expense!I139</f>
        <v>-12.303925584841489</v>
      </c>
      <c r="J97" s="268">
        <f>-Expense!J139</f>
        <v>-12.439424274400615</v>
      </c>
      <c r="K97" s="268">
        <f>-Expense!K139</f>
        <v>-12.133899957740798</v>
      </c>
      <c r="L97" s="268">
        <f>-Expense!L139</f>
        <v>-11.954454082828804</v>
      </c>
      <c r="M97" s="268">
        <f>-Expense!M139</f>
        <v>-12.175428824138924</v>
      </c>
      <c r="N97" s="268">
        <f>-Expense!N139</f>
        <v>-12.290006021446709</v>
      </c>
      <c r="O97" s="268">
        <f>-Expense!O139</f>
        <v>-12.287552615320768</v>
      </c>
      <c r="P97" s="269">
        <f>-Expense!P139</f>
        <v>-12.014487223248898</v>
      </c>
      <c r="Q97" s="268">
        <f>-Expense!Q139</f>
        <v>-12.502927861150672</v>
      </c>
      <c r="R97" s="268">
        <f>-Expense!R139</f>
        <v>-12.836725378004083</v>
      </c>
      <c r="S97" s="268">
        <f>-Expense!S139</f>
        <v>-13.488623685091827</v>
      </c>
      <c r="T97" s="268">
        <f>-Expense!T139</f>
        <v>-13.395502751164264</v>
      </c>
      <c r="U97" s="268">
        <f>-Expense!U139</f>
        <v>-13.379288892813278</v>
      </c>
      <c r="V97" s="268">
        <f>-Expense!V139</f>
        <v>-13.370571948981249</v>
      </c>
      <c r="W97" s="268">
        <f>-Expense!W139</f>
        <v>-13.348754156828482</v>
      </c>
      <c r="X97" s="268">
        <f>-Expense!X139</f>
        <v>-13.353020265286903</v>
      </c>
      <c r="Y97" s="268">
        <f>-Expense!Y139</f>
        <v>-13.37402980182433</v>
      </c>
      <c r="Z97" s="268">
        <f>-Expense!Z139</f>
        <v>-13.376609584635258</v>
      </c>
      <c r="AA97" s="268">
        <f>-Expense!AA139</f>
        <v>-13.368940571150336</v>
      </c>
      <c r="AB97" s="268">
        <f>-Expense!AB139</f>
        <v>-13.360856530857955</v>
      </c>
      <c r="AC97" s="268">
        <f>-Expense!AC139</f>
        <v>-13.377036554776186</v>
      </c>
      <c r="AD97" s="268">
        <f>-Expense!AD139</f>
        <v>-13.375576022591504</v>
      </c>
      <c r="AE97" s="268">
        <f>-Expense!AE139</f>
        <v>-13.373716216095815</v>
      </c>
      <c r="AF97" s="268">
        <f>-Expense!AF139</f>
        <v>-13.371158608083796</v>
      </c>
      <c r="AG97" s="268">
        <f>-Expense!AG139</f>
        <v>-13.369129929493756</v>
      </c>
      <c r="AH97" s="268">
        <f>-Expense!AH139</f>
        <v>-13.36828334921713</v>
      </c>
      <c r="AJ97" s="360" cm="1">
        <f t="array" aca="1" ref="AJ97" ca="1">SUMPRODUCT(($E97:$AH97)*(AJ$3&amp;AJ$4&amp;AJ$5&amp;AJ$6=$E$3:$AH$3&amp;$E$4:$AH$4&amp;$E$5:$AH$5&amp;$E$6:$AH$6))</f>
        <v>-36.668971912255287</v>
      </c>
      <c r="AK97" s="360" cm="1">
        <f t="array" aca="1" ref="AK97" ca="1">SUMPRODUCT(($E97:$AH97)*(AK$3=$E$3:$AH$3)*(AK$4=$E$4:$AH$4)*(AK$5=$E$5:$AH$5)*(AK$6=$E$6:$AH$6))</f>
        <v>-37.144160811133503</v>
      </c>
      <c r="AL97" s="360" cm="1">
        <f t="array" aca="1" ref="AL97" ca="1">SUMPRODUCT(($E97:$AH97)*(AL$3=$E$3:$AH$3)*(AL$4=$E$4:$AH$4)*(AL$5=$E$5:$AH$5)*(AL$6=$E$6:$AH$6))</f>
        <v>-36.263782864708524</v>
      </c>
      <c r="AM97" s="361" cm="1">
        <f t="array" aca="1" ref="AM97" ca="1">SUMPRODUCT(($E97:$AH97)*(AM$3=$E$3:$AH$3)*(AM$4=$E$4:$AH$4)*(AM$5=$E$5:$AH$5)*(AM$6=$E$6:$AH$6))</f>
        <v>-36.592045860016377</v>
      </c>
      <c r="AN97" s="360" cm="1">
        <f t="array" aca="1" ref="AN97" ca="1">SUMPRODUCT(($E97:$AH97)*(AN$3=$E$3:$AH$3)*(AN$4=$E$4:$AH$4)*(AN$5=$E$5:$AH$5)*(AN$6=$E$6:$AH$6))</f>
        <v>-38.82827692424658</v>
      </c>
      <c r="AO97" s="360" cm="1">
        <f t="array" aca="1" ref="AO97" ca="1">SUMPRODUCT(($E97:$AH97)*(AO$3=$E$3:$AH$3)*(AO$4=$E$4:$AH$4)*(AO$5=$E$5:$AH$5)*(AO$6=$E$6:$AH$6))</f>
        <v>-40.145363592958795</v>
      </c>
      <c r="AP97" s="360" cm="1">
        <f t="array" aca="1" ref="AP97" ca="1">SUMPRODUCT(($E97:$AH97)*(AP$3=$E$3:$AH$3)*(AP$4=$E$4:$AH$4)*(AP$5=$E$5:$AH$5)*(AP$6=$E$6:$AH$6))</f>
        <v>-40.075804223939713</v>
      </c>
      <c r="AQ97" s="360" cm="1">
        <f t="array" aca="1" ref="AQ97" ca="1">SUMPRODUCT(($E97:$AH97)*(AQ$3=$E$3:$AH$3)*(AQ$4=$E$4:$AH$4)*(AQ$5=$E$5:$AH$5)*(AQ$6=$E$6:$AH$6))</f>
        <v>-40.106406686643552</v>
      </c>
      <c r="AR97" s="360" cm="1">
        <f t="array" aca="1" ref="AR97" ca="1">SUMPRODUCT(($E97:$AH97)*(AR$3=$E$3:$AH$3)*(AR$4=$E$4:$AH$4)*(AR$5=$E$5:$AH$5)*(AR$6=$E$6:$AH$6))</f>
        <v>-40.126328793463507</v>
      </c>
      <c r="AS97" s="360" cm="1">
        <f t="array" aca="1" ref="AS97" ca="1">SUMPRODUCT(($E97:$AH97)*(AS$3=$E$3:$AH$3)*(AS$4=$E$4:$AH$4)*(AS$5=$E$5:$AH$5)*(AS$6=$E$6:$AH$6))</f>
        <v>-40.108571886794678</v>
      </c>
      <c r="AT97" s="13"/>
      <c r="AU97" s="360" cm="1">
        <f t="array" aca="1" ref="AU97" ca="1">SUMPRODUCT(($E97:$AH97)*(AU$5=$E$5:$AH$5))</f>
        <v>-73.81313272338879</v>
      </c>
      <c r="AV97" s="360" cm="1">
        <f t="array" aca="1" ref="AV97" ca="1">SUMPRODUCT(($E97:$AH97)*(AV$5=$E$5:$AH$5))</f>
        <v>-151.82946924193027</v>
      </c>
      <c r="AW97" s="360" cm="1">
        <f t="array" aca="1" ref="AW97" ca="1">SUMPRODUCT(($E97:$AH97)*(AW$5=$E$5:$AH$5))</f>
        <v>-160.41711159084147</v>
      </c>
    </row>
    <row r="98" spans="1:49" x14ac:dyDescent="0.25">
      <c r="C98" t="s">
        <v>419</v>
      </c>
      <c r="E98" s="56">
        <f>-Expense!E127</f>
        <v>0</v>
      </c>
      <c r="F98" s="33">
        <f>-Expense!F127</f>
        <v>0</v>
      </c>
      <c r="G98" s="33">
        <f>-Expense!G127</f>
        <v>0</v>
      </c>
      <c r="H98" s="33">
        <f>-Expense!H127</f>
        <v>0</v>
      </c>
      <c r="I98" s="33">
        <f>-Expense!I127</f>
        <v>0</v>
      </c>
      <c r="J98" s="33">
        <f>-Expense!J127</f>
        <v>0</v>
      </c>
      <c r="K98" s="33">
        <f>-Expense!K127</f>
        <v>0</v>
      </c>
      <c r="L98" s="33">
        <f>-Expense!L127</f>
        <v>0</v>
      </c>
      <c r="M98" s="33">
        <f>-Expense!M127</f>
        <v>-389.76</v>
      </c>
      <c r="N98" s="33">
        <f>-Expense!N127</f>
        <v>0</v>
      </c>
      <c r="O98" s="33">
        <f>-Expense!O127</f>
        <v>0</v>
      </c>
      <c r="P98" s="34">
        <f>-Expense!P127</f>
        <v>0</v>
      </c>
      <c r="Q98" s="33">
        <f>-Expense!Q127</f>
        <v>0</v>
      </c>
      <c r="R98" s="33">
        <f>-Expense!R127</f>
        <v>0</v>
      </c>
      <c r="S98" s="33">
        <f>-Expense!S127</f>
        <v>0</v>
      </c>
      <c r="T98" s="33">
        <f>-Expense!T127</f>
        <v>0</v>
      </c>
      <c r="U98" s="33">
        <f>-Expense!U127</f>
        <v>0</v>
      </c>
      <c r="V98" s="33">
        <f>-Expense!V127</f>
        <v>0</v>
      </c>
      <c r="W98" s="33">
        <f>-Expense!W127</f>
        <v>0</v>
      </c>
      <c r="X98" s="33">
        <f>-Expense!X127</f>
        <v>0</v>
      </c>
      <c r="Y98" s="33">
        <f>-Expense!Y127</f>
        <v>-375.14400000000001</v>
      </c>
      <c r="Z98" s="33">
        <f>-Expense!Z127</f>
        <v>0</v>
      </c>
      <c r="AA98" s="33">
        <f>-Expense!AA127</f>
        <v>0</v>
      </c>
      <c r="AB98" s="33">
        <f>-Expense!AB127</f>
        <v>0</v>
      </c>
      <c r="AC98" s="33">
        <f>-Expense!AC127</f>
        <v>0</v>
      </c>
      <c r="AD98" s="33">
        <f>-Expense!AD127</f>
        <v>0</v>
      </c>
      <c r="AE98" s="33">
        <f>-Expense!AE127</f>
        <v>0</v>
      </c>
      <c r="AF98" s="33">
        <f>-Expense!AF127</f>
        <v>0</v>
      </c>
      <c r="AG98" s="33">
        <f>-Expense!AG127</f>
        <v>0</v>
      </c>
      <c r="AH98" s="33">
        <f>-Expense!AH127</f>
        <v>0</v>
      </c>
      <c r="AJ98" s="13" cm="1">
        <f t="array" aca="1" ref="AJ98" ca="1">SUMPRODUCT(($E98:$AH98)*(AJ$3&amp;AJ$4&amp;AJ$5&amp;AJ$6=$E$3:$AH$3&amp;$E$4:$AH$4&amp;$E$5:$AH$5&amp;$E$6:$AH$6))</f>
        <v>0</v>
      </c>
      <c r="AK98" s="13" cm="1">
        <f t="array" aca="1" ref="AK98" ca="1">SUMPRODUCT(($E98:$AH98)*(AK$3=$E$3:$AH$3)*(AK$4=$E$4:$AH$4)*(AK$5=$E$5:$AH$5)*(AK$6=$E$6:$AH$6))</f>
        <v>0</v>
      </c>
      <c r="AL98" s="13" cm="1">
        <f t="array" aca="1" ref="AL98" ca="1">SUMPRODUCT(($E98:$AH98)*(AL$3=$E$3:$AH$3)*(AL$4=$E$4:$AH$4)*(AL$5=$E$5:$AH$5)*(AL$6=$E$6:$AH$6))</f>
        <v>-389.76</v>
      </c>
      <c r="AM98" s="17" cm="1">
        <f t="array" aca="1" ref="AM98" ca="1">SUMPRODUCT(($E98:$AH98)*(AM$3=$E$3:$AH$3)*(AM$4=$E$4:$AH$4)*(AM$5=$E$5:$AH$5)*(AM$6=$E$6:$AH$6))</f>
        <v>0</v>
      </c>
      <c r="AN98" s="13" cm="1">
        <f t="array" aca="1" ref="AN98" ca="1">SUMPRODUCT(($E98:$AH98)*(AN$3=$E$3:$AH$3)*(AN$4=$E$4:$AH$4)*(AN$5=$E$5:$AH$5)*(AN$6=$E$6:$AH$6))</f>
        <v>0</v>
      </c>
      <c r="AO98" s="13" cm="1">
        <f t="array" aca="1" ref="AO98" ca="1">SUMPRODUCT(($E98:$AH98)*(AO$3=$E$3:$AH$3)*(AO$4=$E$4:$AH$4)*(AO$5=$E$5:$AH$5)*(AO$6=$E$6:$AH$6))</f>
        <v>0</v>
      </c>
      <c r="AP98" s="13" cm="1">
        <f t="array" aca="1" ref="AP98" ca="1">SUMPRODUCT(($E98:$AH98)*(AP$3=$E$3:$AH$3)*(AP$4=$E$4:$AH$4)*(AP$5=$E$5:$AH$5)*(AP$6=$E$6:$AH$6))</f>
        <v>-375.14400000000001</v>
      </c>
      <c r="AQ98" s="13" cm="1">
        <f t="array" aca="1" ref="AQ98" ca="1">SUMPRODUCT(($E98:$AH98)*(AQ$3=$E$3:$AH$3)*(AQ$4=$E$4:$AH$4)*(AQ$5=$E$5:$AH$5)*(AQ$6=$E$6:$AH$6))</f>
        <v>0</v>
      </c>
      <c r="AR98" s="13" cm="1">
        <f t="array" aca="1" ref="AR98" ca="1">SUMPRODUCT(($E98:$AH98)*(AR$3=$E$3:$AH$3)*(AR$4=$E$4:$AH$4)*(AR$5=$E$5:$AH$5)*(AR$6=$E$6:$AH$6))</f>
        <v>0</v>
      </c>
      <c r="AS98" s="13" cm="1">
        <f t="array" aca="1" ref="AS98" ca="1">SUMPRODUCT(($E98:$AH98)*(AS$3=$E$3:$AH$3)*(AS$4=$E$4:$AH$4)*(AS$5=$E$5:$AH$5)*(AS$6=$E$6:$AH$6))</f>
        <v>0</v>
      </c>
      <c r="AT98" s="13"/>
      <c r="AU98" s="13" cm="1">
        <f t="array" aca="1" ref="AU98" ca="1">SUMPRODUCT(($E98:$AH98)*(AU$5=$E$5:$AH$5))</f>
        <v>0</v>
      </c>
      <c r="AV98" s="13" cm="1">
        <f t="array" aca="1" ref="AV98" ca="1">SUMPRODUCT(($E98:$AH98)*(AV$5=$E$5:$AH$5))</f>
        <v>-389.76</v>
      </c>
      <c r="AW98" s="13" cm="1">
        <f t="array" aca="1" ref="AW98" ca="1">SUMPRODUCT(($E98:$AH98)*(AW$5=$E$5:$AH$5))</f>
        <v>-375.14400000000001</v>
      </c>
    </row>
    <row r="99" spans="1:49" x14ac:dyDescent="0.25">
      <c r="C99" t="s">
        <v>432</v>
      </c>
      <c r="E99" s="61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6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M99" s="8"/>
      <c r="AT99" s="13"/>
    </row>
    <row r="100" spans="1:49" x14ac:dyDescent="0.25">
      <c r="C100" s="1" t="s">
        <v>420</v>
      </c>
      <c r="E100" s="61">
        <f t="shared" ref="E100:AH100" si="66">E24</f>
        <v>-225.77691192089037</v>
      </c>
      <c r="F100" s="15">
        <f t="shared" si="66"/>
        <v>0</v>
      </c>
      <c r="G100" s="15">
        <f t="shared" si="66"/>
        <v>0</v>
      </c>
      <c r="H100" s="15">
        <f t="shared" si="66"/>
        <v>0</v>
      </c>
      <c r="I100" s="15">
        <f t="shared" si="66"/>
        <v>0</v>
      </c>
      <c r="J100" s="15">
        <f t="shared" si="66"/>
        <v>0</v>
      </c>
      <c r="K100" s="15">
        <f t="shared" si="66"/>
        <v>0</v>
      </c>
      <c r="L100" s="15">
        <f t="shared" si="66"/>
        <v>0</v>
      </c>
      <c r="M100" s="15">
        <f t="shared" si="66"/>
        <v>389.76</v>
      </c>
      <c r="N100" s="15">
        <f t="shared" si="66"/>
        <v>-389.76</v>
      </c>
      <c r="O100" s="15">
        <f t="shared" si="66"/>
        <v>0</v>
      </c>
      <c r="P100" s="16">
        <f t="shared" si="66"/>
        <v>0</v>
      </c>
      <c r="Q100" s="15">
        <f t="shared" si="66"/>
        <v>0</v>
      </c>
      <c r="R100" s="15">
        <f t="shared" si="66"/>
        <v>0</v>
      </c>
      <c r="S100" s="15">
        <f t="shared" si="66"/>
        <v>0</v>
      </c>
      <c r="T100" s="15">
        <f t="shared" si="66"/>
        <v>0</v>
      </c>
      <c r="U100" s="15">
        <f t="shared" si="66"/>
        <v>0</v>
      </c>
      <c r="V100" s="15">
        <f t="shared" si="66"/>
        <v>0</v>
      </c>
      <c r="W100" s="15">
        <f t="shared" si="66"/>
        <v>0</v>
      </c>
      <c r="X100" s="15">
        <f t="shared" si="66"/>
        <v>0</v>
      </c>
      <c r="Y100" s="15">
        <f t="shared" si="66"/>
        <v>375.14400000000001</v>
      </c>
      <c r="Z100" s="15">
        <f t="shared" si="66"/>
        <v>-375.14400000000001</v>
      </c>
      <c r="AA100" s="15">
        <f t="shared" si="66"/>
        <v>0</v>
      </c>
      <c r="AB100" s="15">
        <f t="shared" si="66"/>
        <v>0</v>
      </c>
      <c r="AC100" s="15">
        <f t="shared" si="66"/>
        <v>0</v>
      </c>
      <c r="AD100" s="15">
        <f t="shared" si="66"/>
        <v>0</v>
      </c>
      <c r="AE100" s="15">
        <f t="shared" si="66"/>
        <v>0</v>
      </c>
      <c r="AF100" s="15">
        <f t="shared" si="66"/>
        <v>0</v>
      </c>
      <c r="AG100" s="15">
        <f t="shared" si="66"/>
        <v>0</v>
      </c>
      <c r="AH100" s="15">
        <f t="shared" si="66"/>
        <v>0</v>
      </c>
      <c r="AJ100" s="13" cm="1">
        <f t="array" aca="1" ref="AJ100" ca="1">SUMPRODUCT(($E100:$AH100)*(AJ$3&amp;AJ$4&amp;AJ$5&amp;AJ$6=$E$3:$AH$3&amp;$E$4:$AH$4&amp;$E$5:$AH$5&amp;$E$6:$AH$6))</f>
        <v>-225.77691192089037</v>
      </c>
      <c r="AK100" s="13" cm="1">
        <f t="array" aca="1" ref="AK100" ca="1">SUMPRODUCT(($E100:$AH100)*(AK$3=$E$3:$AH$3)*(AK$4=$E$4:$AH$4)*(AK$5=$E$5:$AH$5)*(AK$6=$E$6:$AH$6))</f>
        <v>0</v>
      </c>
      <c r="AL100" s="13" cm="1">
        <f t="array" aca="1" ref="AL100" ca="1">SUMPRODUCT(($E100:$AH100)*(AL$3=$E$3:$AH$3)*(AL$4=$E$4:$AH$4)*(AL$5=$E$5:$AH$5)*(AL$6=$E$6:$AH$6))</f>
        <v>389.76</v>
      </c>
      <c r="AM100" s="17" cm="1">
        <f t="array" aca="1" ref="AM100" ca="1">SUMPRODUCT(($E100:$AH100)*(AM$3=$E$3:$AH$3)*(AM$4=$E$4:$AH$4)*(AM$5=$E$5:$AH$5)*(AM$6=$E$6:$AH$6))</f>
        <v>-389.76</v>
      </c>
      <c r="AN100" s="13" cm="1">
        <f t="array" aca="1" ref="AN100" ca="1">SUMPRODUCT(($E100:$AH100)*(AN$3=$E$3:$AH$3)*(AN$4=$E$4:$AH$4)*(AN$5=$E$5:$AH$5)*(AN$6=$E$6:$AH$6))</f>
        <v>0</v>
      </c>
      <c r="AO100" s="13" cm="1">
        <f t="array" aca="1" ref="AO100" ca="1">SUMPRODUCT(($E100:$AH100)*(AO$3=$E$3:$AH$3)*(AO$4=$E$4:$AH$4)*(AO$5=$E$5:$AH$5)*(AO$6=$E$6:$AH$6))</f>
        <v>0</v>
      </c>
      <c r="AP100" s="13" cm="1">
        <f t="array" aca="1" ref="AP100" ca="1">SUMPRODUCT(($E100:$AH100)*(AP$3=$E$3:$AH$3)*(AP$4=$E$4:$AH$4)*(AP$5=$E$5:$AH$5)*(AP$6=$E$6:$AH$6))</f>
        <v>375.14400000000001</v>
      </c>
      <c r="AQ100" s="13" cm="1">
        <f t="array" aca="1" ref="AQ100" ca="1">SUMPRODUCT(($E100:$AH100)*(AQ$3=$E$3:$AH$3)*(AQ$4=$E$4:$AH$4)*(AQ$5=$E$5:$AH$5)*(AQ$6=$E$6:$AH$6))</f>
        <v>-375.14400000000001</v>
      </c>
      <c r="AR100" s="13" cm="1">
        <f t="array" aca="1" ref="AR100" ca="1">SUMPRODUCT(($E100:$AH100)*(AR$3=$E$3:$AH$3)*(AR$4=$E$4:$AH$4)*(AR$5=$E$5:$AH$5)*(AR$6=$E$6:$AH$6))</f>
        <v>0</v>
      </c>
      <c r="AS100" s="13" cm="1">
        <f t="array" aca="1" ref="AS100" ca="1">SUMPRODUCT(($E100:$AH100)*(AS$3=$E$3:$AH$3)*(AS$4=$E$4:$AH$4)*(AS$5=$E$5:$AH$5)*(AS$6=$E$6:$AH$6))</f>
        <v>0</v>
      </c>
      <c r="AT100" s="13"/>
      <c r="AU100" s="13" cm="1">
        <f t="array" aca="1" ref="AU100" ca="1">SUMPRODUCT(($E100:$AH100)*(AU$5=$E$5:$AH$5))</f>
        <v>-225.77691192089037</v>
      </c>
      <c r="AV100" s="13" cm="1">
        <f t="array" aca="1" ref="AV100" ca="1">SUMPRODUCT(($E100:$AH100)*(AV$5=$E$5:$AH$5))</f>
        <v>0</v>
      </c>
      <c r="AW100" s="13" cm="1">
        <f t="array" aca="1" ref="AW100" ca="1">SUMPRODUCT(($E100:$AH100)*(AW$5=$E$5:$AH$5))</f>
        <v>0</v>
      </c>
    </row>
    <row r="101" spans="1:49" x14ac:dyDescent="0.25">
      <c r="C101" s="235" t="s">
        <v>433</v>
      </c>
      <c r="D101" s="27"/>
      <c r="E101" s="24">
        <f>SUM(E98:E100)</f>
        <v>-225.77691192089037</v>
      </c>
      <c r="F101" s="29">
        <f t="shared" ref="F101:AW101" si="67">SUM(F98:F100)</f>
        <v>0</v>
      </c>
      <c r="G101" s="29">
        <f t="shared" si="67"/>
        <v>0</v>
      </c>
      <c r="H101" s="29">
        <f t="shared" si="67"/>
        <v>0</v>
      </c>
      <c r="I101" s="29">
        <f t="shared" si="67"/>
        <v>0</v>
      </c>
      <c r="J101" s="29">
        <f t="shared" si="67"/>
        <v>0</v>
      </c>
      <c r="K101" s="29">
        <f t="shared" si="67"/>
        <v>0</v>
      </c>
      <c r="L101" s="29">
        <f t="shared" si="67"/>
        <v>0</v>
      </c>
      <c r="M101" s="29">
        <f t="shared" si="67"/>
        <v>0</v>
      </c>
      <c r="N101" s="29">
        <f t="shared" si="67"/>
        <v>-389.76</v>
      </c>
      <c r="O101" s="29">
        <f t="shared" si="67"/>
        <v>0</v>
      </c>
      <c r="P101" s="240">
        <f t="shared" si="67"/>
        <v>0</v>
      </c>
      <c r="Q101" s="29">
        <f t="shared" si="67"/>
        <v>0</v>
      </c>
      <c r="R101" s="29">
        <f t="shared" si="67"/>
        <v>0</v>
      </c>
      <c r="S101" s="29">
        <f t="shared" si="67"/>
        <v>0</v>
      </c>
      <c r="T101" s="29">
        <f t="shared" si="67"/>
        <v>0</v>
      </c>
      <c r="U101" s="29">
        <f t="shared" si="67"/>
        <v>0</v>
      </c>
      <c r="V101" s="29">
        <f t="shared" si="67"/>
        <v>0</v>
      </c>
      <c r="W101" s="29">
        <f t="shared" si="67"/>
        <v>0</v>
      </c>
      <c r="X101" s="29">
        <f t="shared" si="67"/>
        <v>0</v>
      </c>
      <c r="Y101" s="29">
        <f t="shared" si="67"/>
        <v>0</v>
      </c>
      <c r="Z101" s="29">
        <f t="shared" si="67"/>
        <v>-375.14400000000001</v>
      </c>
      <c r="AA101" s="29">
        <f t="shared" si="67"/>
        <v>0</v>
      </c>
      <c r="AB101" s="29">
        <f t="shared" si="67"/>
        <v>0</v>
      </c>
      <c r="AC101" s="29">
        <f t="shared" si="67"/>
        <v>0</v>
      </c>
      <c r="AD101" s="29">
        <f t="shared" si="67"/>
        <v>0</v>
      </c>
      <c r="AE101" s="29">
        <f t="shared" si="67"/>
        <v>0</v>
      </c>
      <c r="AF101" s="29">
        <f t="shared" si="67"/>
        <v>0</v>
      </c>
      <c r="AG101" s="29">
        <f t="shared" si="67"/>
        <v>0</v>
      </c>
      <c r="AH101" s="29">
        <f t="shared" si="67"/>
        <v>0</v>
      </c>
      <c r="AJ101" s="29">
        <f t="shared" ca="1" si="67"/>
        <v>-225.77691192089037</v>
      </c>
      <c r="AK101" s="29">
        <f t="shared" ca="1" si="67"/>
        <v>0</v>
      </c>
      <c r="AL101" s="29">
        <f t="shared" ca="1" si="67"/>
        <v>0</v>
      </c>
      <c r="AM101" s="240">
        <f t="shared" ca="1" si="67"/>
        <v>-389.76</v>
      </c>
      <c r="AN101" s="29">
        <f t="shared" ca="1" si="67"/>
        <v>0</v>
      </c>
      <c r="AO101" s="29">
        <f t="shared" ca="1" si="67"/>
        <v>0</v>
      </c>
      <c r="AP101" s="29">
        <f t="shared" ca="1" si="67"/>
        <v>0</v>
      </c>
      <c r="AQ101" s="29">
        <f t="shared" ca="1" si="67"/>
        <v>-375.14400000000001</v>
      </c>
      <c r="AR101" s="29">
        <f t="shared" ca="1" si="67"/>
        <v>0</v>
      </c>
      <c r="AS101" s="29">
        <f t="shared" ca="1" si="67"/>
        <v>0</v>
      </c>
      <c r="AT101" s="13"/>
      <c r="AU101" s="29">
        <f t="shared" ca="1" si="67"/>
        <v>-225.77691192089037</v>
      </c>
      <c r="AV101" s="29">
        <f t="shared" ca="1" si="67"/>
        <v>-389.76</v>
      </c>
      <c r="AW101" s="29">
        <f t="shared" ca="1" si="67"/>
        <v>-375.14400000000001</v>
      </c>
    </row>
    <row r="102" spans="1:49" x14ac:dyDescent="0.25">
      <c r="C102" t="s">
        <v>421</v>
      </c>
      <c r="E102" s="56">
        <f>-Expense!E162</f>
        <v>-466.33051765939143</v>
      </c>
      <c r="F102" s="33">
        <f>-Expense!F162</f>
        <v>-411.25055864271195</v>
      </c>
      <c r="G102" s="33">
        <f>-Expense!G162</f>
        <v>-325.43115049900075</v>
      </c>
      <c r="H102" s="33">
        <f>-Expense!H162</f>
        <v>-283.09912311626232</v>
      </c>
      <c r="I102" s="33">
        <f>-Expense!I162</f>
        <v>-255.76143729257313</v>
      </c>
      <c r="J102" s="33">
        <f>-Expense!J162</f>
        <v>-331.3179786842739</v>
      </c>
      <c r="K102" s="33">
        <f>-Expense!K162</f>
        <v>-347.25322529242891</v>
      </c>
      <c r="L102" s="33">
        <f>-Expense!L162</f>
        <v>-287.43922102738668</v>
      </c>
      <c r="M102" s="33">
        <f>-Expense!M162</f>
        <v>-276.18080868502204</v>
      </c>
      <c r="N102" s="33">
        <f>-Expense!N162</f>
        <v>-331.1039208234501</v>
      </c>
      <c r="O102" s="33">
        <f>-Expense!O162</f>
        <v>-410.12473139176257</v>
      </c>
      <c r="P102" s="34">
        <f>-Expense!P162</f>
        <v>-492.55763835999801</v>
      </c>
      <c r="Q102" s="33">
        <f>-Expense!Q162</f>
        <v>-432.20772937043762</v>
      </c>
      <c r="R102" s="33">
        <f>-Expense!R162</f>
        <v>-383.23952647174065</v>
      </c>
      <c r="S102" s="33">
        <f>-Expense!S162</f>
        <v>-316.40296995337928</v>
      </c>
      <c r="T102" s="33">
        <f>-Expense!T162</f>
        <v>-295.37424700548763</v>
      </c>
      <c r="U102" s="33">
        <f>-Expense!U162</f>
        <v>-266.97544533134896</v>
      </c>
      <c r="V102" s="33">
        <f>-Expense!V162</f>
        <v>-333.59895535371396</v>
      </c>
      <c r="W102" s="33">
        <f>-Expense!W162</f>
        <v>-380.1638588506043</v>
      </c>
      <c r="X102" s="33">
        <f>-Expense!X162</f>
        <v>-316.68053689956969</v>
      </c>
      <c r="Y102" s="33">
        <f>-Expense!Y162</f>
        <v>-291.68898121936365</v>
      </c>
      <c r="Z102" s="33">
        <f>-Expense!Z162</f>
        <v>-362.42338948565737</v>
      </c>
      <c r="AA102" s="33">
        <f>-Expense!AA162</f>
        <v>-410.19191364067774</v>
      </c>
      <c r="AB102" s="33">
        <f>-Expense!AB162</f>
        <v>-461.76165226450257</v>
      </c>
      <c r="AC102" s="33">
        <f>-Expense!AC162</f>
        <v>-444.58111164429289</v>
      </c>
      <c r="AD102" s="33">
        <f>-Expense!AD162</f>
        <v>-394.21537567945734</v>
      </c>
      <c r="AE102" s="33">
        <f>-Expense!AE162</f>
        <v>-325.89553846687261</v>
      </c>
      <c r="AF102" s="33">
        <f>-Expense!AF162</f>
        <v>-305.27140096194086</v>
      </c>
      <c r="AG102" s="33">
        <f>-Expense!AG162</f>
        <v>-275.79428618588832</v>
      </c>
      <c r="AH102" s="33">
        <f>-Expense!AH162</f>
        <v>-344.02824903576118</v>
      </c>
      <c r="AJ102" s="13" cm="1">
        <f t="array" aca="1" ref="AJ102" ca="1">SUMPRODUCT(($E102:$AH102)*(AJ$3&amp;AJ$4&amp;AJ$5&amp;AJ$6=$E$3:$AH$3&amp;$E$4:$AH$4&amp;$E$5:$AH$5&amp;$E$6:$AH$6))</f>
        <v>-1203.0122268011041</v>
      </c>
      <c r="AK102" s="13" cm="1">
        <f t="array" aca="1" ref="AK102" ca="1">SUMPRODUCT(($E102:$AH102)*(AK$3=$E$3:$AH$3)*(AK$4=$E$4:$AH$4)*(AK$5=$E$5:$AH$5)*(AK$6=$E$6:$AH$6))</f>
        <v>-870.17853909310929</v>
      </c>
      <c r="AL102" s="13" cm="1">
        <f t="array" aca="1" ref="AL102" ca="1">SUMPRODUCT(($E102:$AH102)*(AL$3=$E$3:$AH$3)*(AL$4=$E$4:$AH$4)*(AL$5=$E$5:$AH$5)*(AL$6=$E$6:$AH$6))</f>
        <v>-910.87325500483769</v>
      </c>
      <c r="AM102" s="17" cm="1">
        <f t="array" aca="1" ref="AM102" ca="1">SUMPRODUCT(($E102:$AH102)*(AM$3=$E$3:$AH$3)*(AM$4=$E$4:$AH$4)*(AM$5=$E$5:$AH$5)*(AM$6=$E$6:$AH$6))</f>
        <v>-1233.7862905752106</v>
      </c>
      <c r="AN102" s="13" cm="1">
        <f t="array" aca="1" ref="AN102" ca="1">SUMPRODUCT(($E102:$AH102)*(AN$3=$E$3:$AH$3)*(AN$4=$E$4:$AH$4)*(AN$5=$E$5:$AH$5)*(AN$6=$E$6:$AH$6))</f>
        <v>-1131.8502257955574</v>
      </c>
      <c r="AO102" s="13" cm="1">
        <f t="array" aca="1" ref="AO102" ca="1">SUMPRODUCT(($E102:$AH102)*(AO$3=$E$3:$AH$3)*(AO$4=$E$4:$AH$4)*(AO$5=$E$5:$AH$5)*(AO$6=$E$6:$AH$6))</f>
        <v>-895.94864769055062</v>
      </c>
      <c r="AP102" s="13" cm="1">
        <f t="array" aca="1" ref="AP102" ca="1">SUMPRODUCT(($E102:$AH102)*(AP$3=$E$3:$AH$3)*(AP$4=$E$4:$AH$4)*(AP$5=$E$5:$AH$5)*(AP$6=$E$6:$AH$6))</f>
        <v>-988.5333769695377</v>
      </c>
      <c r="AQ102" s="13" cm="1">
        <f t="array" aca="1" ref="AQ102" ca="1">SUMPRODUCT(($E102:$AH102)*(AQ$3=$E$3:$AH$3)*(AQ$4=$E$4:$AH$4)*(AQ$5=$E$5:$AH$5)*(AQ$6=$E$6:$AH$6))</f>
        <v>-1234.3769553908378</v>
      </c>
      <c r="AR102" s="13" cm="1">
        <f t="array" aca="1" ref="AR102" ca="1">SUMPRODUCT(($E102:$AH102)*(AR$3=$E$3:$AH$3)*(AR$4=$E$4:$AH$4)*(AR$5=$E$5:$AH$5)*(AR$6=$E$6:$AH$6))</f>
        <v>-1164.6920257906227</v>
      </c>
      <c r="AS102" s="13" cm="1">
        <f t="array" aca="1" ref="AS102" ca="1">SUMPRODUCT(($E102:$AH102)*(AS$3=$E$3:$AH$3)*(AS$4=$E$4:$AH$4)*(AS$5=$E$5:$AH$5)*(AS$6=$E$6:$AH$6))</f>
        <v>-925.09393618359036</v>
      </c>
      <c r="AT102" s="13"/>
      <c r="AU102" s="13" cm="1">
        <f t="array" aca="1" ref="AU102" ca="1">SUMPRODUCT(($E102:$AH102)*(AU$5=$E$5:$AH$5))</f>
        <v>-2073.1907658942137</v>
      </c>
      <c r="AV102" s="13" cm="1">
        <f t="array" aca="1" ref="AV102" ca="1">SUMPRODUCT(($E102:$AH102)*(AV$5=$E$5:$AH$5))</f>
        <v>-4172.4584190661562</v>
      </c>
      <c r="AW102" s="13" cm="1">
        <f t="array" aca="1" ref="AW102" ca="1">SUMPRODUCT(($E102:$AH102)*(AW$5=$E$5:$AH$5))</f>
        <v>-4312.6962943345879</v>
      </c>
    </row>
    <row r="103" spans="1:49" x14ac:dyDescent="0.25">
      <c r="C103" t="s">
        <v>434</v>
      </c>
      <c r="E103" s="61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6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M103" s="8"/>
      <c r="AT103" s="13"/>
    </row>
    <row r="104" spans="1:49" x14ac:dyDescent="0.25">
      <c r="C104" s="1" t="s">
        <v>422</v>
      </c>
      <c r="E104" s="61">
        <f t="shared" ref="E104:AH104" si="68">E23</f>
        <v>26.197525675355337</v>
      </c>
      <c r="F104" s="15">
        <f t="shared" si="68"/>
        <v>-135.73920112124756</v>
      </c>
      <c r="G104" s="15">
        <f t="shared" si="68"/>
        <v>-200.99999479827761</v>
      </c>
      <c r="H104" s="15">
        <f t="shared" si="68"/>
        <v>-128.90060063734791</v>
      </c>
      <c r="I104" s="15">
        <f t="shared" si="68"/>
        <v>-59.718360723264595</v>
      </c>
      <c r="J104" s="15">
        <f t="shared" si="68"/>
        <v>174.34702139727506</v>
      </c>
      <c r="K104" s="15">
        <f t="shared" si="68"/>
        <v>60.010453142977212</v>
      </c>
      <c r="L104" s="15">
        <f t="shared" si="68"/>
        <v>-155.89236361400003</v>
      </c>
      <c r="M104" s="15">
        <f t="shared" si="68"/>
        <v>-33.610918948701283</v>
      </c>
      <c r="N104" s="15">
        <f t="shared" si="68"/>
        <v>151.44058391469753</v>
      </c>
      <c r="O104" s="15">
        <f t="shared" si="68"/>
        <v>172.30705747421871</v>
      </c>
      <c r="P104" s="16">
        <f t="shared" si="68"/>
        <v>205.43760255141501</v>
      </c>
      <c r="Q104" s="15">
        <f t="shared" si="68"/>
        <v>-230.16314734257389</v>
      </c>
      <c r="R104" s="15">
        <f t="shared" si="68"/>
        <v>-186.75547134335352</v>
      </c>
      <c r="S104" s="15">
        <f t="shared" si="68"/>
        <v>-254.90199510436582</v>
      </c>
      <c r="T104" s="15">
        <f t="shared" si="68"/>
        <v>-80.19957509992264</v>
      </c>
      <c r="U104" s="15">
        <f t="shared" si="68"/>
        <v>-108.30766248890302</v>
      </c>
      <c r="V104" s="15">
        <f t="shared" si="68"/>
        <v>254.0894760323439</v>
      </c>
      <c r="W104" s="15">
        <f t="shared" si="68"/>
        <v>177.5897416249868</v>
      </c>
      <c r="X104" s="15">
        <f t="shared" si="68"/>
        <v>-242.11339219317802</v>
      </c>
      <c r="Y104" s="15">
        <f t="shared" si="68"/>
        <v>-95.31307020427198</v>
      </c>
      <c r="Z104" s="15">
        <f t="shared" si="68"/>
        <v>269.76766501505404</v>
      </c>
      <c r="AA104" s="15">
        <f t="shared" si="68"/>
        <v>182.18012334254126</v>
      </c>
      <c r="AB104" s="15">
        <f t="shared" si="68"/>
        <v>196.67723693413768</v>
      </c>
      <c r="AC104" s="15">
        <f t="shared" si="68"/>
        <v>-65.523334971034501</v>
      </c>
      <c r="AD104" s="15">
        <f t="shared" si="68"/>
        <v>-192.08539833750024</v>
      </c>
      <c r="AE104" s="15">
        <f t="shared" si="68"/>
        <v>-260.55894734656385</v>
      </c>
      <c r="AF104" s="15">
        <f t="shared" si="68"/>
        <v>-78.656562683172524</v>
      </c>
      <c r="AG104" s="15">
        <f t="shared" si="68"/>
        <v>-112.42014486895346</v>
      </c>
      <c r="AH104" s="15">
        <f t="shared" si="68"/>
        <v>260.23143875659684</v>
      </c>
      <c r="AJ104" s="13" cm="1">
        <f t="array" aca="1" ref="AJ104" ca="1">SUMPRODUCT(($E104:$AH104)*(AJ$3&amp;AJ$4&amp;AJ$5&amp;AJ$6=$E$3:$AH$3&amp;$E$4:$AH$4&amp;$E$5:$AH$5&amp;$E$6:$AH$6))</f>
        <v>-310.54167024416984</v>
      </c>
      <c r="AK104" s="13" cm="1">
        <f t="array" aca="1" ref="AK104" ca="1">SUMPRODUCT(($E104:$AH104)*(AK$3=$E$3:$AH$3)*(AK$4=$E$4:$AH$4)*(AK$5=$E$5:$AH$5)*(AK$6=$E$6:$AH$6))</f>
        <v>-14.271939963337445</v>
      </c>
      <c r="AL104" s="13" cm="1">
        <f t="array" aca="1" ref="AL104" ca="1">SUMPRODUCT(($E104:$AH104)*(AL$3=$E$3:$AH$3)*(AL$4=$E$4:$AH$4)*(AL$5=$E$5:$AH$5)*(AL$6=$E$6:$AH$6))</f>
        <v>-129.4928294197241</v>
      </c>
      <c r="AM104" s="17" cm="1">
        <f t="array" aca="1" ref="AM104" ca="1">SUMPRODUCT(($E104:$AH104)*(AM$3=$E$3:$AH$3)*(AM$4=$E$4:$AH$4)*(AM$5=$E$5:$AH$5)*(AM$6=$E$6:$AH$6))</f>
        <v>529.18524394033125</v>
      </c>
      <c r="AN104" s="13" cm="1">
        <f t="array" aca="1" ref="AN104" ca="1">SUMPRODUCT(($E104:$AH104)*(AN$3=$E$3:$AH$3)*(AN$4=$E$4:$AH$4)*(AN$5=$E$5:$AH$5)*(AN$6=$E$6:$AH$6))</f>
        <v>-671.82061379029324</v>
      </c>
      <c r="AO104" s="13" cm="1">
        <f t="array" aca="1" ref="AO104" ca="1">SUMPRODUCT(($E104:$AH104)*(AO$3=$E$3:$AH$3)*(AO$4=$E$4:$AH$4)*(AO$5=$E$5:$AH$5)*(AO$6=$E$6:$AH$6))</f>
        <v>65.582238443518236</v>
      </c>
      <c r="AP104" s="13" cm="1">
        <f t="array" aca="1" ref="AP104" ca="1">SUMPRODUCT(($E104:$AH104)*(AP$3=$E$3:$AH$3)*(AP$4=$E$4:$AH$4)*(AP$5=$E$5:$AH$5)*(AP$6=$E$6:$AH$6))</f>
        <v>-159.8367207724632</v>
      </c>
      <c r="AQ104" s="13" cm="1">
        <f t="array" aca="1" ref="AQ104" ca="1">SUMPRODUCT(($E104:$AH104)*(AQ$3=$E$3:$AH$3)*(AQ$4=$E$4:$AH$4)*(AQ$5=$E$5:$AH$5)*(AQ$6=$E$6:$AH$6))</f>
        <v>648.62502529173298</v>
      </c>
      <c r="AR104" s="13" cm="1">
        <f t="array" aca="1" ref="AR104" ca="1">SUMPRODUCT(($E104:$AH104)*(AR$3=$E$3:$AH$3)*(AR$4=$E$4:$AH$4)*(AR$5=$E$5:$AH$5)*(AR$6=$E$6:$AH$6))</f>
        <v>-518.16768065509859</v>
      </c>
      <c r="AS104" s="13" cm="1">
        <f t="array" aca="1" ref="AS104" ca="1">SUMPRODUCT(($E104:$AH104)*(AS$3=$E$3:$AH$3)*(AS$4=$E$4:$AH$4)*(AS$5=$E$5:$AH$5)*(AS$6=$E$6:$AH$6))</f>
        <v>69.154731204470863</v>
      </c>
      <c r="AT104" s="13"/>
      <c r="AU104" s="13" cm="1">
        <f t="array" aca="1" ref="AU104" ca="1">SUMPRODUCT(($E104:$AH104)*(AU$5=$E$5:$AH$5))</f>
        <v>-324.81361020750728</v>
      </c>
      <c r="AV104" s="13" cm="1">
        <f t="array" aca="1" ref="AV104" ca="1">SUMPRODUCT(($E104:$AH104)*(AV$5=$E$5:$AH$5))</f>
        <v>-206.54596082616786</v>
      </c>
      <c r="AW104" s="13" cm="1">
        <f t="array" aca="1" ref="AW104" ca="1">SUMPRODUCT(($E104:$AH104)*(AW$5=$E$5:$AH$5))</f>
        <v>39.775355068642057</v>
      </c>
    </row>
    <row r="105" spans="1:49" x14ac:dyDescent="0.25">
      <c r="C105" s="235" t="s">
        <v>435</v>
      </c>
      <c r="D105" s="27"/>
      <c r="E105" s="24">
        <f>SUM(E102:E104)</f>
        <v>-440.1329919840361</v>
      </c>
      <c r="F105" s="29">
        <f t="shared" ref="F105:AW105" si="69">SUM(F102:F104)</f>
        <v>-546.98975976395946</v>
      </c>
      <c r="G105" s="29">
        <f t="shared" si="69"/>
        <v>-526.43114529727836</v>
      </c>
      <c r="H105" s="29">
        <f t="shared" si="69"/>
        <v>-411.99972375361023</v>
      </c>
      <c r="I105" s="29">
        <f t="shared" si="69"/>
        <v>-315.47979801583773</v>
      </c>
      <c r="J105" s="29">
        <f t="shared" si="69"/>
        <v>-156.97095728699884</v>
      </c>
      <c r="K105" s="29">
        <f t="shared" si="69"/>
        <v>-287.2427721494517</v>
      </c>
      <c r="L105" s="29">
        <f t="shared" si="69"/>
        <v>-443.33158464138671</v>
      </c>
      <c r="M105" s="29">
        <f t="shared" si="69"/>
        <v>-309.79172763372333</v>
      </c>
      <c r="N105" s="29">
        <f t="shared" si="69"/>
        <v>-179.66333690875257</v>
      </c>
      <c r="O105" s="29">
        <f t="shared" si="69"/>
        <v>-237.81767391754386</v>
      </c>
      <c r="P105" s="240">
        <f t="shared" si="69"/>
        <v>-287.120035808583</v>
      </c>
      <c r="Q105" s="29">
        <f t="shared" si="69"/>
        <v>-662.37087671301151</v>
      </c>
      <c r="R105" s="29">
        <f t="shared" si="69"/>
        <v>-569.99499781509417</v>
      </c>
      <c r="S105" s="29">
        <f t="shared" si="69"/>
        <v>-571.30496505774511</v>
      </c>
      <c r="T105" s="29">
        <f t="shared" si="69"/>
        <v>-375.57382210541027</v>
      </c>
      <c r="U105" s="29">
        <f t="shared" si="69"/>
        <v>-375.28310782025198</v>
      </c>
      <c r="V105" s="29">
        <f t="shared" si="69"/>
        <v>-79.509479321370065</v>
      </c>
      <c r="W105" s="29">
        <f t="shared" si="69"/>
        <v>-202.5741172256175</v>
      </c>
      <c r="X105" s="29">
        <f t="shared" si="69"/>
        <v>-558.7939290927477</v>
      </c>
      <c r="Y105" s="29">
        <f t="shared" si="69"/>
        <v>-387.00205142363563</v>
      </c>
      <c r="Z105" s="29">
        <f t="shared" si="69"/>
        <v>-92.655724470603332</v>
      </c>
      <c r="AA105" s="29">
        <f t="shared" si="69"/>
        <v>-228.01179029813648</v>
      </c>
      <c r="AB105" s="29">
        <f t="shared" si="69"/>
        <v>-265.08441533036489</v>
      </c>
      <c r="AC105" s="29">
        <f t="shared" si="69"/>
        <v>-510.10444661532739</v>
      </c>
      <c r="AD105" s="29">
        <f t="shared" si="69"/>
        <v>-586.30077401695758</v>
      </c>
      <c r="AE105" s="29">
        <f t="shared" si="69"/>
        <v>-586.45448581343646</v>
      </c>
      <c r="AF105" s="29">
        <f t="shared" si="69"/>
        <v>-383.92796364511338</v>
      </c>
      <c r="AG105" s="29">
        <f t="shared" si="69"/>
        <v>-388.21443105484178</v>
      </c>
      <c r="AH105" s="29">
        <f t="shared" si="69"/>
        <v>-83.796810279164333</v>
      </c>
      <c r="AJ105" s="29">
        <f t="shared" ca="1" si="69"/>
        <v>-1513.553897045274</v>
      </c>
      <c r="AK105" s="29">
        <f t="shared" ca="1" si="69"/>
        <v>-884.45047905644674</v>
      </c>
      <c r="AL105" s="29">
        <f t="shared" ca="1" si="69"/>
        <v>-1040.3660844245619</v>
      </c>
      <c r="AM105" s="240">
        <f t="shared" ca="1" si="69"/>
        <v>-704.60104663487937</v>
      </c>
      <c r="AN105" s="29">
        <f t="shared" ca="1" si="69"/>
        <v>-1803.6708395858507</v>
      </c>
      <c r="AO105" s="29">
        <f t="shared" ca="1" si="69"/>
        <v>-830.36640924703238</v>
      </c>
      <c r="AP105" s="29">
        <f t="shared" ca="1" si="69"/>
        <v>-1148.3700977420008</v>
      </c>
      <c r="AQ105" s="29">
        <f t="shared" ca="1" si="69"/>
        <v>-585.75193009910481</v>
      </c>
      <c r="AR105" s="29">
        <f t="shared" ca="1" si="69"/>
        <v>-1682.8597064457213</v>
      </c>
      <c r="AS105" s="29">
        <f t="shared" ca="1" si="69"/>
        <v>-855.93920497911949</v>
      </c>
      <c r="AT105" s="13"/>
      <c r="AU105" s="29">
        <f t="shared" ca="1" si="69"/>
        <v>-2398.0043761017209</v>
      </c>
      <c r="AV105" s="29">
        <f t="shared" ca="1" si="69"/>
        <v>-4379.0043798923243</v>
      </c>
      <c r="AW105" s="29">
        <f t="shared" ca="1" si="69"/>
        <v>-4272.9209392659459</v>
      </c>
    </row>
    <row r="106" spans="1:49" x14ac:dyDescent="0.25">
      <c r="C106" s="225" t="s">
        <v>439</v>
      </c>
      <c r="D106" s="225"/>
      <c r="E106" s="268">
        <f>-Expense!E42</f>
        <v>-4.75</v>
      </c>
      <c r="F106" s="268">
        <f>-Expense!F42</f>
        <v>-4.75</v>
      </c>
      <c r="G106" s="268">
        <f>-Expense!G42</f>
        <v>-4.75</v>
      </c>
      <c r="H106" s="268">
        <f>-Expense!H42</f>
        <v>-4.75</v>
      </c>
      <c r="I106" s="268">
        <f>-Expense!I42</f>
        <v>-4.75</v>
      </c>
      <c r="J106" s="268">
        <f>-Expense!J42</f>
        <v>-4.75</v>
      </c>
      <c r="K106" s="268">
        <f>-Expense!K42</f>
        <v>-4.75</v>
      </c>
      <c r="L106" s="268">
        <f>-Expense!L42</f>
        <v>-4.75</v>
      </c>
      <c r="M106" s="268">
        <f>-Expense!M42</f>
        <v>-4.75</v>
      </c>
      <c r="N106" s="268">
        <f>-Expense!N42</f>
        <v>-4.75</v>
      </c>
      <c r="O106" s="268">
        <f>-Expense!O42</f>
        <v>-4.75</v>
      </c>
      <c r="P106" s="269">
        <f>-Expense!P42</f>
        <v>-4.75</v>
      </c>
      <c r="Q106" s="268">
        <f>-Expense!Q42</f>
        <v>-4.75</v>
      </c>
      <c r="R106" s="268">
        <f>-Expense!R42</f>
        <v>-4.75</v>
      </c>
      <c r="S106" s="268">
        <f>-Expense!S42</f>
        <v>-4.75</v>
      </c>
      <c r="T106" s="268">
        <f>-Expense!T42</f>
        <v>-4.75</v>
      </c>
      <c r="U106" s="268">
        <f>-Expense!U42</f>
        <v>-4.75</v>
      </c>
      <c r="V106" s="268">
        <f>-Expense!V42</f>
        <v>-4.75</v>
      </c>
      <c r="W106" s="268">
        <f>-Expense!W42</f>
        <v>-5.25</v>
      </c>
      <c r="X106" s="268">
        <f>-Expense!X42</f>
        <v>-5.25</v>
      </c>
      <c r="Y106" s="268">
        <f>-Expense!Y42</f>
        <v>-5.25</v>
      </c>
      <c r="Z106" s="268">
        <f>-Expense!Z42</f>
        <v>-5.25</v>
      </c>
      <c r="AA106" s="268">
        <f>-Expense!AA42</f>
        <v>-5.25</v>
      </c>
      <c r="AB106" s="268">
        <f>-Expense!AB42</f>
        <v>-5.25</v>
      </c>
      <c r="AC106" s="268">
        <f>-Expense!AC42</f>
        <v>-5.25</v>
      </c>
      <c r="AD106" s="268">
        <f>-Expense!AD42</f>
        <v>-5.25</v>
      </c>
      <c r="AE106" s="268">
        <f>-Expense!AE42</f>
        <v>-5.25</v>
      </c>
      <c r="AF106" s="268">
        <f>-Expense!AF42</f>
        <v>-5.25</v>
      </c>
      <c r="AG106" s="268">
        <f>-Expense!AG42</f>
        <v>-5.25</v>
      </c>
      <c r="AH106" s="268">
        <f>-Expense!AH42</f>
        <v>-5.25</v>
      </c>
      <c r="AJ106" s="360" cm="1">
        <f t="array" aca="1" ref="AJ106" ca="1">SUMPRODUCT(($E106:$AH106)*(AJ$3&amp;AJ$4&amp;AJ$5&amp;AJ$6=$E$3:$AH$3&amp;$E$4:$AH$4&amp;$E$5:$AH$5&amp;$E$6:$AH$6))</f>
        <v>-14.25</v>
      </c>
      <c r="AK106" s="360" cm="1">
        <f t="array" aca="1" ref="AK106" ca="1">SUMPRODUCT(($E106:$AH106)*(AK$3=$E$3:$AH$3)*(AK$4=$E$4:$AH$4)*(AK$5=$E$5:$AH$5)*(AK$6=$E$6:$AH$6))</f>
        <v>-14.25</v>
      </c>
      <c r="AL106" s="360" cm="1">
        <f t="array" aca="1" ref="AL106" ca="1">SUMPRODUCT(($E106:$AH106)*(AL$3=$E$3:$AH$3)*(AL$4=$E$4:$AH$4)*(AL$5=$E$5:$AH$5)*(AL$6=$E$6:$AH$6))</f>
        <v>-14.25</v>
      </c>
      <c r="AM106" s="361" cm="1">
        <f t="array" aca="1" ref="AM106" ca="1">SUMPRODUCT(($E106:$AH106)*(AM$3=$E$3:$AH$3)*(AM$4=$E$4:$AH$4)*(AM$5=$E$5:$AH$5)*(AM$6=$E$6:$AH$6))</f>
        <v>-14.25</v>
      </c>
      <c r="AN106" s="360" cm="1">
        <f t="array" aca="1" ref="AN106" ca="1">SUMPRODUCT(($E106:$AH106)*(AN$3=$E$3:$AH$3)*(AN$4=$E$4:$AH$4)*(AN$5=$E$5:$AH$5)*(AN$6=$E$6:$AH$6))</f>
        <v>-14.25</v>
      </c>
      <c r="AO106" s="360" cm="1">
        <f t="array" aca="1" ref="AO106" ca="1">SUMPRODUCT(($E106:$AH106)*(AO$3=$E$3:$AH$3)*(AO$4=$E$4:$AH$4)*(AO$5=$E$5:$AH$5)*(AO$6=$E$6:$AH$6))</f>
        <v>-14.25</v>
      </c>
      <c r="AP106" s="360" cm="1">
        <f t="array" aca="1" ref="AP106" ca="1">SUMPRODUCT(($E106:$AH106)*(AP$3=$E$3:$AH$3)*(AP$4=$E$4:$AH$4)*(AP$5=$E$5:$AH$5)*(AP$6=$E$6:$AH$6))</f>
        <v>-15.75</v>
      </c>
      <c r="AQ106" s="360" cm="1">
        <f t="array" aca="1" ref="AQ106" ca="1">SUMPRODUCT(($E106:$AH106)*(AQ$3=$E$3:$AH$3)*(AQ$4=$E$4:$AH$4)*(AQ$5=$E$5:$AH$5)*(AQ$6=$E$6:$AH$6))</f>
        <v>-15.75</v>
      </c>
      <c r="AR106" s="360" cm="1">
        <f t="array" aca="1" ref="AR106" ca="1">SUMPRODUCT(($E106:$AH106)*(AR$3=$E$3:$AH$3)*(AR$4=$E$4:$AH$4)*(AR$5=$E$5:$AH$5)*(AR$6=$E$6:$AH$6))</f>
        <v>-15.75</v>
      </c>
      <c r="AS106" s="360" cm="1">
        <f t="array" aca="1" ref="AS106" ca="1">SUMPRODUCT(($E106:$AH106)*(AS$3=$E$3:$AH$3)*(AS$4=$E$4:$AH$4)*(AS$5=$E$5:$AH$5)*(AS$6=$E$6:$AH$6))</f>
        <v>-15.75</v>
      </c>
      <c r="AT106" s="13"/>
      <c r="AU106" s="360" cm="1">
        <f t="array" aca="1" ref="AU106" ca="1">SUMPRODUCT(($E106:$AH106)*(AU$5=$E$5:$AH$5))</f>
        <v>-28.5</v>
      </c>
      <c r="AV106" s="360" cm="1">
        <f t="array" aca="1" ref="AV106" ca="1">SUMPRODUCT(($E106:$AH106)*(AV$5=$E$5:$AH$5))</f>
        <v>-57</v>
      </c>
      <c r="AW106" s="360" cm="1">
        <f t="array" aca="1" ref="AW106" ca="1">SUMPRODUCT(($E106:$AH106)*(AW$5=$E$5:$AH$5))</f>
        <v>-63</v>
      </c>
    </row>
    <row r="107" spans="1:49" x14ac:dyDescent="0.25">
      <c r="C107" s="225" t="s">
        <v>513</v>
      </c>
      <c r="D107" s="225"/>
      <c r="E107" s="268">
        <f>Revenue!E23</f>
        <v>3.3744595889674516</v>
      </c>
      <c r="F107" s="268">
        <f>Revenue!F23</f>
        <v>3.2450814881140135</v>
      </c>
      <c r="G107" s="268">
        <f>Revenue!G23</f>
        <v>3.2976924758437418</v>
      </c>
      <c r="H107" s="268">
        <f>Revenue!H23</f>
        <v>2.9677844432075244</v>
      </c>
      <c r="I107" s="268">
        <f>Revenue!I23</f>
        <v>2.8582736617052311</v>
      </c>
      <c r="J107" s="268">
        <f>Revenue!J23</f>
        <v>3.8250688753711319</v>
      </c>
      <c r="K107" s="268">
        <f>Revenue!K23</f>
        <v>2.4197863728242792</v>
      </c>
      <c r="L107" s="268">
        <f>Revenue!L23</f>
        <v>2.7617830449740515</v>
      </c>
      <c r="M107" s="268">
        <f>Revenue!M23</f>
        <v>2.5974477714382833</v>
      </c>
      <c r="N107" s="268">
        <f>Revenue!N23</f>
        <v>2.8611841580341184</v>
      </c>
      <c r="O107" s="268">
        <f>Revenue!O23</f>
        <v>2.4159900510676793</v>
      </c>
      <c r="P107" s="269">
        <f>Revenue!P23</f>
        <v>2.6664271522326408</v>
      </c>
      <c r="Q107" s="268">
        <f>Revenue!Q23</f>
        <v>2.4913976369110307</v>
      </c>
      <c r="R107" s="268">
        <f>Revenue!R23</f>
        <v>2.6852990617847854</v>
      </c>
      <c r="S107" s="268">
        <f>Revenue!S23</f>
        <v>2.3944873688478592</v>
      </c>
      <c r="T107" s="268">
        <f>Revenue!T23</f>
        <v>2.4663263305371519</v>
      </c>
      <c r="U107" s="268">
        <f>Revenue!U23</f>
        <v>2.3378808649596778</v>
      </c>
      <c r="V107" s="268">
        <f>Revenue!V23</f>
        <v>2.297852352126819</v>
      </c>
      <c r="W107" s="268">
        <f>Revenue!W23</f>
        <v>2.1826158798677953</v>
      </c>
      <c r="X107" s="268">
        <f>Revenue!X23</f>
        <v>2.4658732419601668</v>
      </c>
      <c r="Y107" s="268">
        <f>Revenue!Y23</f>
        <v>2.8558387572411696</v>
      </c>
      <c r="Z107" s="268">
        <f>Revenue!Z23</f>
        <v>3.1339629355741745</v>
      </c>
      <c r="AA107" s="268">
        <f>Revenue!AA23</f>
        <v>2.4541921527379218</v>
      </c>
      <c r="AB107" s="268">
        <f>Revenue!AB23</f>
        <v>2.6029146682817945</v>
      </c>
      <c r="AC107" s="268">
        <f>Revenue!AC23</f>
        <v>3.0055193721070621</v>
      </c>
      <c r="AD107" s="268">
        <f>Revenue!AD23</f>
        <v>3.3939311566232919</v>
      </c>
      <c r="AE107" s="268">
        <f>Revenue!AE23</f>
        <v>3.1510273264952429</v>
      </c>
      <c r="AF107" s="268">
        <f>Revenue!AF23</f>
        <v>3.2615433868236448</v>
      </c>
      <c r="AG107" s="268">
        <f>Revenue!AG23</f>
        <v>3.1508103271121133</v>
      </c>
      <c r="AH107" s="268">
        <f>Revenue!AH23</f>
        <v>3.1572611628700624</v>
      </c>
      <c r="AJ107" s="360" cm="1">
        <f t="array" aca="1" ref="AJ107" ca="1">SUMPRODUCT(($E107:$AH107)*(AJ$3&amp;AJ$4&amp;AJ$5&amp;AJ$6=$E$3:$AH$3&amp;$E$4:$AH$4&amp;$E$5:$AH$5&amp;$E$6:$AH$6))</f>
        <v>9.9172335529252074</v>
      </c>
      <c r="AK107" s="360" cm="1">
        <f t="array" aca="1" ref="AK107" ca="1">SUMPRODUCT(($E107:$AH107)*(AK$3=$E$3:$AH$3)*(AK$4=$E$4:$AH$4)*(AK$5=$E$5:$AH$5)*(AK$6=$E$6:$AH$6))</f>
        <v>9.6511269802838875</v>
      </c>
      <c r="AL107" s="360" cm="1">
        <f t="array" aca="1" ref="AL107" ca="1">SUMPRODUCT(($E107:$AH107)*(AL$3=$E$3:$AH$3)*(AL$4=$E$4:$AH$4)*(AL$5=$E$5:$AH$5)*(AL$6=$E$6:$AH$6))</f>
        <v>7.7790171892366136</v>
      </c>
      <c r="AM107" s="361" cm="1">
        <f t="array" aca="1" ref="AM107" ca="1">SUMPRODUCT(($E107:$AH107)*(AM$3=$E$3:$AH$3)*(AM$4=$E$4:$AH$4)*(AM$5=$E$5:$AH$5)*(AM$6=$E$6:$AH$6))</f>
        <v>7.9436013613344389</v>
      </c>
      <c r="AN107" s="360" cm="1">
        <f t="array" aca="1" ref="AN107" ca="1">SUMPRODUCT(($E107:$AH107)*(AN$3=$E$3:$AH$3)*(AN$4=$E$4:$AH$4)*(AN$5=$E$5:$AH$5)*(AN$6=$E$6:$AH$6))</f>
        <v>7.5711840675436743</v>
      </c>
      <c r="AO107" s="360" cm="1">
        <f t="array" aca="1" ref="AO107" ca="1">SUMPRODUCT(($E107:$AH107)*(AO$3=$E$3:$AH$3)*(AO$4=$E$4:$AH$4)*(AO$5=$E$5:$AH$5)*(AO$6=$E$6:$AH$6))</f>
        <v>7.1020595476236483</v>
      </c>
      <c r="AP107" s="360" cm="1">
        <f t="array" aca="1" ref="AP107" ca="1">SUMPRODUCT(($E107:$AH107)*(AP$3=$E$3:$AH$3)*(AP$4=$E$4:$AH$4)*(AP$5=$E$5:$AH$5)*(AP$6=$E$6:$AH$6))</f>
        <v>7.5043278790691321</v>
      </c>
      <c r="AQ107" s="360" cm="1">
        <f t="array" aca="1" ref="AQ107" ca="1">SUMPRODUCT(($E107:$AH107)*(AQ$3=$E$3:$AH$3)*(AQ$4=$E$4:$AH$4)*(AQ$5=$E$5:$AH$5)*(AQ$6=$E$6:$AH$6))</f>
        <v>8.1910697565938904</v>
      </c>
      <c r="AR107" s="360" cm="1">
        <f t="array" aca="1" ref="AR107" ca="1">SUMPRODUCT(($E107:$AH107)*(AR$3=$E$3:$AH$3)*(AR$4=$E$4:$AH$4)*(AR$5=$E$5:$AH$5)*(AR$6=$E$6:$AH$6))</f>
        <v>9.550477855225596</v>
      </c>
      <c r="AS107" s="360" cm="1">
        <f t="array" aca="1" ref="AS107" ca="1">SUMPRODUCT(($E107:$AH107)*(AS$3=$E$3:$AH$3)*(AS$4=$E$4:$AH$4)*(AS$5=$E$5:$AH$5)*(AS$6=$E$6:$AH$6))</f>
        <v>9.5696148768058205</v>
      </c>
      <c r="AT107" s="13"/>
      <c r="AU107" s="360" cm="1">
        <f t="array" aca="1" ref="AU107" ca="1">SUMPRODUCT(($E107:$AH107)*(AU$5=$E$5:$AH$5))</f>
        <v>19.568360533209095</v>
      </c>
      <c r="AV107" s="360" cm="1">
        <f t="array" aca="1" ref="AV107" ca="1">SUMPRODUCT(($E107:$AH107)*(AV$5=$E$5:$AH$5))</f>
        <v>30.395862165738379</v>
      </c>
      <c r="AW107" s="360" cm="1">
        <f t="array" aca="1" ref="AW107" ca="1">SUMPRODUCT(($E107:$AH107)*(AW$5=$E$5:$AH$5))</f>
        <v>34.815490367694444</v>
      </c>
    </row>
    <row r="108" spans="1:49" x14ac:dyDescent="0.25">
      <c r="C108" s="225" t="s">
        <v>436</v>
      </c>
      <c r="D108" s="225"/>
      <c r="E108" s="268">
        <f>-Expense!E175</f>
        <v>-20.029275765633791</v>
      </c>
      <c r="F108" s="268">
        <f>-Expense!F175</f>
        <v>-20.029275765633791</v>
      </c>
      <c r="G108" s="268">
        <f>-Expense!G175</f>
        <v>-20.856150765633792</v>
      </c>
      <c r="H108" s="268">
        <f>-Expense!H175</f>
        <v>-20.856150765633792</v>
      </c>
      <c r="I108" s="268">
        <f>-Expense!I175</f>
        <v>-20.856150765633792</v>
      </c>
      <c r="J108" s="268">
        <f>-Expense!J175</f>
        <v>-24.39781743230046</v>
      </c>
      <c r="K108" s="268">
        <f>-Expense!K175</f>
        <v>-19.065109098967124</v>
      </c>
      <c r="L108" s="268">
        <f>-Expense!L175</f>
        <v>-19.065109098967124</v>
      </c>
      <c r="M108" s="268">
        <f>-Expense!M175</f>
        <v>-19.065109098967124</v>
      </c>
      <c r="N108" s="268">
        <f>-Expense!N175</f>
        <v>-19.065109098967124</v>
      </c>
      <c r="O108" s="268">
        <f>-Expense!O175</f>
        <v>-19.065109098967124</v>
      </c>
      <c r="P108" s="269">
        <f>-Expense!P175</f>
        <v>-19.117609098967126</v>
      </c>
      <c r="Q108" s="268">
        <f>-Expense!Q175</f>
        <v>-19.117609098967126</v>
      </c>
      <c r="R108" s="268">
        <f>-Expense!R175</f>
        <v>-19.117609098967126</v>
      </c>
      <c r="S108" s="268">
        <f>-Expense!S175</f>
        <v>-19.117609098967126</v>
      </c>
      <c r="T108" s="268">
        <f>-Expense!T175</f>
        <v>-19.117609098967126</v>
      </c>
      <c r="U108" s="268">
        <f>-Expense!U175</f>
        <v>-19.117609098967126</v>
      </c>
      <c r="V108" s="268">
        <f>-Expense!V175</f>
        <v>-19.117609098967126</v>
      </c>
      <c r="W108" s="268">
        <f>-Expense!W175</f>
        <v>-19.117609098967126</v>
      </c>
      <c r="X108" s="268">
        <f>-Expense!X175</f>
        <v>-19.117609098967126</v>
      </c>
      <c r="Y108" s="268">
        <f>-Expense!Y175</f>
        <v>-19.117609098967126</v>
      </c>
      <c r="Z108" s="268">
        <f>-Expense!Z175</f>
        <v>-19.117609098967126</v>
      </c>
      <c r="AA108" s="268">
        <f>-Expense!AA175</f>
        <v>-19.117609098967126</v>
      </c>
      <c r="AB108" s="268">
        <f>-Expense!AB175</f>
        <v>-19.117609098967126</v>
      </c>
      <c r="AC108" s="268">
        <f>-Expense!AC175</f>
        <v>-19.117609098967126</v>
      </c>
      <c r="AD108" s="268">
        <f>-Expense!AD175</f>
        <v>-19.117609098967126</v>
      </c>
      <c r="AE108" s="268">
        <f>-Expense!AE175</f>
        <v>-19.117609098967126</v>
      </c>
      <c r="AF108" s="268">
        <f>-Expense!AF175</f>
        <v>-19.117609098967126</v>
      </c>
      <c r="AG108" s="268">
        <f>-Expense!AG175</f>
        <v>-19.117609098967126</v>
      </c>
      <c r="AH108" s="268">
        <f>-Expense!AH175</f>
        <v>-19.117609098967126</v>
      </c>
      <c r="AJ108" s="360" cm="1">
        <f t="array" aca="1" ref="AJ108" ca="1">SUMPRODUCT(($E108:$AH108)*(AJ$3&amp;AJ$4&amp;AJ$5&amp;AJ$6=$E$3:$AH$3&amp;$E$4:$AH$4&amp;$E$5:$AH$5&amp;$E$6:$AH$6))</f>
        <v>-60.914702296901375</v>
      </c>
      <c r="AK108" s="360" cm="1">
        <f t="array" aca="1" ref="AK108" ca="1">SUMPRODUCT(($E108:$AH108)*(AK$3=$E$3:$AH$3)*(AK$4=$E$4:$AH$4)*(AK$5=$E$5:$AH$5)*(AK$6=$E$6:$AH$6))</f>
        <v>-66.110118963568041</v>
      </c>
      <c r="AL108" s="360" cm="1">
        <f t="array" aca="1" ref="AL108" ca="1">SUMPRODUCT(($E108:$AH108)*(AL$3=$E$3:$AH$3)*(AL$4=$E$4:$AH$4)*(AL$5=$E$5:$AH$5)*(AL$6=$E$6:$AH$6))</f>
        <v>-57.195327296901368</v>
      </c>
      <c r="AM108" s="361" cm="1">
        <f t="array" aca="1" ref="AM108" ca="1">SUMPRODUCT(($E108:$AH108)*(AM$3=$E$3:$AH$3)*(AM$4=$E$4:$AH$4)*(AM$5=$E$5:$AH$5)*(AM$6=$E$6:$AH$6))</f>
        <v>-57.247827296901377</v>
      </c>
      <c r="AN108" s="360" cm="1">
        <f t="array" aca="1" ref="AN108" ca="1">SUMPRODUCT(($E108:$AH108)*(AN$3=$E$3:$AH$3)*(AN$4=$E$4:$AH$4)*(AN$5=$E$5:$AH$5)*(AN$6=$E$6:$AH$6))</f>
        <v>-57.352827296901381</v>
      </c>
      <c r="AO108" s="360" cm="1">
        <f t="array" aca="1" ref="AO108" ca="1">SUMPRODUCT(($E108:$AH108)*(AO$3=$E$3:$AH$3)*(AO$4=$E$4:$AH$4)*(AO$5=$E$5:$AH$5)*(AO$6=$E$6:$AH$6))</f>
        <v>-57.352827296901381</v>
      </c>
      <c r="AP108" s="360" cm="1">
        <f t="array" aca="1" ref="AP108" ca="1">SUMPRODUCT(($E108:$AH108)*(AP$3=$E$3:$AH$3)*(AP$4=$E$4:$AH$4)*(AP$5=$E$5:$AH$5)*(AP$6=$E$6:$AH$6))</f>
        <v>-57.352827296901381</v>
      </c>
      <c r="AQ108" s="360" cm="1">
        <f t="array" aca="1" ref="AQ108" ca="1">SUMPRODUCT(($E108:$AH108)*(AQ$3=$E$3:$AH$3)*(AQ$4=$E$4:$AH$4)*(AQ$5=$E$5:$AH$5)*(AQ$6=$E$6:$AH$6))</f>
        <v>-57.352827296901381</v>
      </c>
      <c r="AR108" s="360" cm="1">
        <f t="array" aca="1" ref="AR108" ca="1">SUMPRODUCT(($E108:$AH108)*(AR$3=$E$3:$AH$3)*(AR$4=$E$4:$AH$4)*(AR$5=$E$5:$AH$5)*(AR$6=$E$6:$AH$6))</f>
        <v>-57.352827296901381</v>
      </c>
      <c r="AS108" s="360" cm="1">
        <f t="array" aca="1" ref="AS108" ca="1">SUMPRODUCT(($E108:$AH108)*(AS$3=$E$3:$AH$3)*(AS$4=$E$4:$AH$4)*(AS$5=$E$5:$AH$5)*(AS$6=$E$6:$AH$6))</f>
        <v>-57.352827296901381</v>
      </c>
      <c r="AT108" s="13"/>
      <c r="AU108" s="360" cm="1">
        <f t="array" aca="1" ref="AU108" ca="1">SUMPRODUCT(($E108:$AH108)*(AU$5=$E$5:$AH$5))</f>
        <v>-127.02482126046942</v>
      </c>
      <c r="AV108" s="360" cm="1">
        <f t="array" aca="1" ref="AV108" ca="1">SUMPRODUCT(($E108:$AH108)*(AV$5=$E$5:$AH$5))</f>
        <v>-229.14880918760556</v>
      </c>
      <c r="AW108" s="360" cm="1">
        <f t="array" aca="1" ref="AW108" ca="1">SUMPRODUCT(($E108:$AH108)*(AW$5=$E$5:$AH$5))</f>
        <v>-229.41130918760555</v>
      </c>
    </row>
    <row r="109" spans="1:49" x14ac:dyDescent="0.25">
      <c r="C109" s="225" t="s">
        <v>437</v>
      </c>
      <c r="D109" s="225"/>
      <c r="E109" s="268">
        <f>-Expense!E180</f>
        <v>-7.7421516354157198</v>
      </c>
      <c r="F109" s="268">
        <f>-Expense!F180</f>
        <v>21.963393407128883</v>
      </c>
      <c r="G109" s="268">
        <f>-Expense!G180</f>
        <v>5.7711994128083015</v>
      </c>
      <c r="H109" s="268">
        <f>-Expense!H180</f>
        <v>-7.1737120765139561</v>
      </c>
      <c r="I109" s="268">
        <f>-Expense!I180</f>
        <v>-15.405349451822646</v>
      </c>
      <c r="J109" s="268">
        <f>-Expense!J180</f>
        <v>-62.586579612999735</v>
      </c>
      <c r="K109" s="268">
        <f>-Expense!K180</f>
        <v>-14.52854240424319</v>
      </c>
      <c r="L109" s="268">
        <f>-Expense!L180</f>
        <v>-5.407872102788402</v>
      </c>
      <c r="M109" s="268">
        <f>-Expense!M180</f>
        <v>72.079688395221268</v>
      </c>
      <c r="N109" s="268">
        <f>-Expense!N180</f>
        <v>-56.773908354049304</v>
      </c>
      <c r="O109" s="268">
        <f>-Expense!O180</f>
        <v>-36.826816824970841</v>
      </c>
      <c r="P109" s="269">
        <f>-Expense!P180</f>
        <v>-32.056646284226957</v>
      </c>
      <c r="Q109" s="268">
        <f>-Expense!Q180</f>
        <v>-21.58499303568021</v>
      </c>
      <c r="R109" s="268">
        <f>-Expense!R180</f>
        <v>8.2866705843963633</v>
      </c>
      <c r="S109" s="268">
        <f>-Expense!S180</f>
        <v>4.0166065763790026</v>
      </c>
      <c r="T109" s="268">
        <f>-Expense!T180</f>
        <v>-4.0778734873360101</v>
      </c>
      <c r="U109" s="268">
        <f>-Expense!U180</f>
        <v>-14.369603096713893</v>
      </c>
      <c r="V109" s="268">
        <f>-Expense!V180</f>
        <v>-51.703960431934661</v>
      </c>
      <c r="W109" s="268">
        <f>-Expense!W180</f>
        <v>-12.284393359800481</v>
      </c>
      <c r="X109" s="268">
        <f>-Expense!X180</f>
        <v>0.77886972860836157</v>
      </c>
      <c r="Y109" s="268">
        <f>-Expense!Y180</f>
        <v>78.352511585961579</v>
      </c>
      <c r="Z109" s="268">
        <f>-Expense!Z180</f>
        <v>-54.291956728506747</v>
      </c>
      <c r="AA109" s="268">
        <f>-Expense!AA180</f>
        <v>-30.950433497367548</v>
      </c>
      <c r="AB109" s="268">
        <f>-Expense!AB180</f>
        <v>-39.661160734609318</v>
      </c>
      <c r="AC109" s="268">
        <f>-Expense!AC180</f>
        <v>-20.019197706304155</v>
      </c>
      <c r="AD109" s="268">
        <f>-Expense!AD180</f>
        <v>9.4848917467789899</v>
      </c>
      <c r="AE109" s="268">
        <f>-Expense!AE180</f>
        <v>1.429432158424033</v>
      </c>
      <c r="AF109" s="268">
        <f>-Expense!AF180</f>
        <v>-6.2809290417376173</v>
      </c>
      <c r="AG109" s="268">
        <f>-Expense!AG180</f>
        <v>-17.011676086441497</v>
      </c>
      <c r="AH109" s="268">
        <f>-Expense!AH180</f>
        <v>-56.370665549365306</v>
      </c>
      <c r="AJ109" s="360" cm="1">
        <f t="array" aca="1" ref="AJ109" ca="1">SUMPRODUCT(($E109:$AH109)*(AJ$3&amp;AJ$4&amp;AJ$5&amp;AJ$6=$E$3:$AH$3&amp;$E$4:$AH$4&amp;$E$5:$AH$5&amp;$E$6:$AH$6))</f>
        <v>19.992441184521464</v>
      </c>
      <c r="AK109" s="360" cm="1">
        <f t="array" aca="1" ref="AK109" ca="1">SUMPRODUCT(($E109:$AH109)*(AK$3=$E$3:$AH$3)*(AK$4=$E$4:$AH$4)*(AK$5=$E$5:$AH$5)*(AK$6=$E$6:$AH$6))</f>
        <v>-85.165641141336337</v>
      </c>
      <c r="AL109" s="360" cm="1">
        <f t="array" aca="1" ref="AL109" ca="1">SUMPRODUCT(($E109:$AH109)*(AL$3=$E$3:$AH$3)*(AL$4=$E$4:$AH$4)*(AL$5=$E$5:$AH$5)*(AL$6=$E$6:$AH$6))</f>
        <v>52.143273888189675</v>
      </c>
      <c r="AM109" s="361" cm="1">
        <f t="array" aca="1" ref="AM109" ca="1">SUMPRODUCT(($E109:$AH109)*(AM$3=$E$3:$AH$3)*(AM$4=$E$4:$AH$4)*(AM$5=$E$5:$AH$5)*(AM$6=$E$6:$AH$6))</f>
        <v>-125.6573714632471</v>
      </c>
      <c r="AN109" s="360" cm="1">
        <f t="array" aca="1" ref="AN109" ca="1">SUMPRODUCT(($E109:$AH109)*(AN$3=$E$3:$AH$3)*(AN$4=$E$4:$AH$4)*(AN$5=$E$5:$AH$5)*(AN$6=$E$6:$AH$6))</f>
        <v>-9.2817158749048438</v>
      </c>
      <c r="AO109" s="360" cm="1">
        <f t="array" aca="1" ref="AO109" ca="1">SUMPRODUCT(($E109:$AH109)*(AO$3=$E$3:$AH$3)*(AO$4=$E$4:$AH$4)*(AO$5=$E$5:$AH$5)*(AO$6=$E$6:$AH$6))</f>
        <v>-70.151437015984556</v>
      </c>
      <c r="AP109" s="360" cm="1">
        <f t="array" aca="1" ref="AP109" ca="1">SUMPRODUCT(($E109:$AH109)*(AP$3=$E$3:$AH$3)*(AP$4=$E$4:$AH$4)*(AP$5=$E$5:$AH$5)*(AP$6=$E$6:$AH$6))</f>
        <v>66.84698795476946</v>
      </c>
      <c r="AQ109" s="360" cm="1">
        <f t="array" aca="1" ref="AQ109" ca="1">SUMPRODUCT(($E109:$AH109)*(AQ$3=$E$3:$AH$3)*(AQ$4=$E$4:$AH$4)*(AQ$5=$E$5:$AH$5)*(AQ$6=$E$6:$AH$6))</f>
        <v>-124.90355096048361</v>
      </c>
      <c r="AR109" s="360" cm="1">
        <f t="array" aca="1" ref="AR109" ca="1">SUMPRODUCT(($E109:$AH109)*(AR$3=$E$3:$AH$3)*(AR$4=$E$4:$AH$4)*(AR$5=$E$5:$AH$5)*(AR$6=$E$6:$AH$6))</f>
        <v>-9.1048738011011316</v>
      </c>
      <c r="AS109" s="360" cm="1">
        <f t="array" aca="1" ref="AS109" ca="1">SUMPRODUCT(($E109:$AH109)*(AS$3=$E$3:$AH$3)*(AS$4=$E$4:$AH$4)*(AS$5=$E$5:$AH$5)*(AS$6=$E$6:$AH$6))</f>
        <v>-79.663270677544418</v>
      </c>
      <c r="AT109" s="13"/>
      <c r="AU109" s="360" cm="1">
        <f t="array" aca="1" ref="AU109" ca="1">SUMPRODUCT(($E109:$AH109)*(AU$5=$E$5:$AH$5))</f>
        <v>-65.173199956814869</v>
      </c>
      <c r="AV109" s="360" cm="1">
        <f t="array" aca="1" ref="AV109" ca="1">SUMPRODUCT(($E109:$AH109)*(AV$5=$E$5:$AH$5))</f>
        <v>-152.94725046594684</v>
      </c>
      <c r="AW109" s="360" cm="1">
        <f t="array" aca="1" ref="AW109" ca="1">SUMPRODUCT(($E109:$AH109)*(AW$5=$E$5:$AH$5))</f>
        <v>-146.82470748435972</v>
      </c>
    </row>
    <row r="110" spans="1:49" ht="15.75" thickBot="1" x14ac:dyDescent="0.3">
      <c r="B110" t="s">
        <v>231</v>
      </c>
      <c r="C110" s="242" t="s">
        <v>438</v>
      </c>
      <c r="D110" s="105"/>
      <c r="E110" s="78">
        <f t="shared" ref="E110:AW110" si="70">E86+E107+E94+E95+E96+E97+E101+E105+E106+E108+E109</f>
        <v>-155.25372102412567</v>
      </c>
      <c r="F110" s="106">
        <f t="shared" si="70"/>
        <v>-251.86681472432605</v>
      </c>
      <c r="G110" s="106">
        <f t="shared" si="70"/>
        <v>-395.88963916346091</v>
      </c>
      <c r="H110" s="106">
        <f t="shared" si="70"/>
        <v>-131.41293780275245</v>
      </c>
      <c r="I110" s="106">
        <f t="shared" si="70"/>
        <v>160.15425639908074</v>
      </c>
      <c r="J110" s="106">
        <f t="shared" si="70"/>
        <v>-91.339003056223191</v>
      </c>
      <c r="K110" s="106">
        <f t="shared" si="70"/>
        <v>410.39600657972665</v>
      </c>
      <c r="L110" s="106">
        <f t="shared" si="70"/>
        <v>-197.20232824292182</v>
      </c>
      <c r="M110" s="106">
        <f t="shared" si="70"/>
        <v>316.48366391500201</v>
      </c>
      <c r="N110" s="106">
        <f t="shared" si="70"/>
        <v>-534.23292835972677</v>
      </c>
      <c r="O110" s="106">
        <f t="shared" si="70"/>
        <v>280.52452139795389</v>
      </c>
      <c r="P110" s="107">
        <f t="shared" si="70"/>
        <v>-210.03541838593216</v>
      </c>
      <c r="Q110" s="106">
        <f t="shared" si="70"/>
        <v>232.68170984850599</v>
      </c>
      <c r="R110" s="106">
        <f t="shared" si="70"/>
        <v>-348.97403152431178</v>
      </c>
      <c r="S110" s="106">
        <f t="shared" si="70"/>
        <v>86.206754027151106</v>
      </c>
      <c r="T110" s="106">
        <f t="shared" si="70"/>
        <v>-154.13455869296845</v>
      </c>
      <c r="U110" s="106">
        <f t="shared" si="70"/>
        <v>-48.034215399430643</v>
      </c>
      <c r="V110" s="106">
        <f t="shared" si="70"/>
        <v>-138.28376671082822</v>
      </c>
      <c r="W110" s="106">
        <f t="shared" si="70"/>
        <v>339.90883451084574</v>
      </c>
      <c r="X110" s="106">
        <f t="shared" si="70"/>
        <v>467.95861833720369</v>
      </c>
      <c r="Y110" s="106">
        <f t="shared" si="70"/>
        <v>333.74901399960561</v>
      </c>
      <c r="Z110" s="106">
        <f t="shared" si="70"/>
        <v>-815.72493940350307</v>
      </c>
      <c r="AA110" s="106">
        <f t="shared" si="70"/>
        <v>178.46701865264731</v>
      </c>
      <c r="AB110" s="106">
        <f t="shared" si="70"/>
        <v>483.12564459032103</v>
      </c>
      <c r="AC110" s="106">
        <f t="shared" si="70"/>
        <v>466.09414141947582</v>
      </c>
      <c r="AD110" s="106">
        <f t="shared" si="70"/>
        <v>-291.4845961536592</v>
      </c>
      <c r="AE110" s="106">
        <f t="shared" si="70"/>
        <v>132.61927239408229</v>
      </c>
      <c r="AF110" s="106">
        <f t="shared" si="70"/>
        <v>-132.87967165383785</v>
      </c>
      <c r="AG110" s="106">
        <f t="shared" si="70"/>
        <v>7.7410029095390023</v>
      </c>
      <c r="AH110" s="106">
        <f t="shared" si="70"/>
        <v>-145.09324376350125</v>
      </c>
      <c r="AJ110" s="106">
        <f t="shared" ca="1" si="70"/>
        <v>-803.01017491191271</v>
      </c>
      <c r="AK110" s="106">
        <f t="shared" ca="1" si="70"/>
        <v>-62.59768445989468</v>
      </c>
      <c r="AL110" s="106">
        <f t="shared" ca="1" si="70"/>
        <v>529.67734225180709</v>
      </c>
      <c r="AM110" s="107">
        <f t="shared" ca="1" si="70"/>
        <v>-463.74382534770513</v>
      </c>
      <c r="AN110" s="106">
        <f t="shared" ca="1" si="70"/>
        <v>-30.085567648654258</v>
      </c>
      <c r="AO110" s="106">
        <f t="shared" ca="1" si="70"/>
        <v>-340.45254080322741</v>
      </c>
      <c r="AP110" s="106">
        <f t="shared" ca="1" si="70"/>
        <v>1141.6164668476549</v>
      </c>
      <c r="AQ110" s="106">
        <f t="shared" ca="1" si="70"/>
        <v>-154.13227616053518</v>
      </c>
      <c r="AR110" s="106">
        <f t="shared" ca="1" si="70"/>
        <v>307.22881765989939</v>
      </c>
      <c r="AS110" s="106">
        <f t="shared" ca="1" si="70"/>
        <v>-270.2319125077999</v>
      </c>
      <c r="AT110" s="13"/>
      <c r="AU110" s="106">
        <f t="shared" ca="1" si="70"/>
        <v>-865.60785937180799</v>
      </c>
      <c r="AV110" s="106">
        <f t="shared" ca="1" si="70"/>
        <v>-304.60459154777709</v>
      </c>
      <c r="AW110" s="106">
        <f t="shared" ca="1" si="70"/>
        <v>1024.4810958392227</v>
      </c>
    </row>
    <row r="111" spans="1:49" ht="15.75" thickTop="1" x14ac:dyDescent="0.25">
      <c r="P111" s="8"/>
      <c r="AT111" s="13"/>
    </row>
    <row r="112" spans="1:49" x14ac:dyDescent="0.25">
      <c r="A112" t="s">
        <v>231</v>
      </c>
      <c r="B112" t="s">
        <v>231</v>
      </c>
      <c r="C112" s="110" t="s">
        <v>415</v>
      </c>
      <c r="E112" s="110" t="b">
        <f t="shared" ref="E112:AH112" si="71">ABS(E27-E110)&lt;0.001</f>
        <v>1</v>
      </c>
      <c r="F112" s="110" t="b">
        <f t="shared" si="71"/>
        <v>1</v>
      </c>
      <c r="G112" s="110" t="b">
        <f t="shared" si="71"/>
        <v>1</v>
      </c>
      <c r="H112" s="110" t="b">
        <f t="shared" si="71"/>
        <v>1</v>
      </c>
      <c r="I112" s="110" t="b">
        <f t="shared" si="71"/>
        <v>1</v>
      </c>
      <c r="J112" s="110" t="b">
        <f t="shared" si="71"/>
        <v>1</v>
      </c>
      <c r="K112" s="110" t="b">
        <f t="shared" si="71"/>
        <v>1</v>
      </c>
      <c r="L112" s="110" t="b">
        <f t="shared" si="71"/>
        <v>1</v>
      </c>
      <c r="M112" s="110" t="b">
        <f t="shared" si="71"/>
        <v>1</v>
      </c>
      <c r="N112" s="110" t="b">
        <f t="shared" si="71"/>
        <v>1</v>
      </c>
      <c r="O112" s="110" t="b">
        <f t="shared" si="71"/>
        <v>1</v>
      </c>
      <c r="P112" s="111" t="b">
        <f t="shared" si="71"/>
        <v>1</v>
      </c>
      <c r="Q112" s="110" t="b">
        <f t="shared" si="71"/>
        <v>1</v>
      </c>
      <c r="R112" s="110" t="b">
        <f t="shared" si="71"/>
        <v>1</v>
      </c>
      <c r="S112" s="110" t="b">
        <f t="shared" si="71"/>
        <v>1</v>
      </c>
      <c r="T112" s="110" t="b">
        <f t="shared" si="71"/>
        <v>1</v>
      </c>
      <c r="U112" s="110" t="b">
        <f t="shared" si="71"/>
        <v>1</v>
      </c>
      <c r="V112" s="110" t="b">
        <f t="shared" si="71"/>
        <v>1</v>
      </c>
      <c r="W112" s="110" t="b">
        <f t="shared" si="71"/>
        <v>1</v>
      </c>
      <c r="X112" s="110" t="b">
        <f t="shared" si="71"/>
        <v>1</v>
      </c>
      <c r="Y112" s="110" t="b">
        <f t="shared" si="71"/>
        <v>1</v>
      </c>
      <c r="Z112" s="110" t="b">
        <f t="shared" si="71"/>
        <v>1</v>
      </c>
      <c r="AA112" s="110" t="b">
        <f t="shared" si="71"/>
        <v>1</v>
      </c>
      <c r="AB112" s="110" t="b">
        <f t="shared" si="71"/>
        <v>1</v>
      </c>
      <c r="AC112" s="110" t="b">
        <f t="shared" si="71"/>
        <v>1</v>
      </c>
      <c r="AD112" s="110" t="b">
        <f t="shared" si="71"/>
        <v>1</v>
      </c>
      <c r="AE112" s="110" t="b">
        <f t="shared" si="71"/>
        <v>1</v>
      </c>
      <c r="AF112" s="110" t="b">
        <f t="shared" si="71"/>
        <v>1</v>
      </c>
      <c r="AG112" s="110" t="b">
        <f t="shared" si="71"/>
        <v>1</v>
      </c>
      <c r="AH112" s="110" t="b">
        <f t="shared" si="71"/>
        <v>1</v>
      </c>
      <c r="AJ112" s="110" t="b">
        <f t="shared" ref="AJ112:AS112" ca="1" si="72">ABS(AJ27-AJ110)&lt;0.001</f>
        <v>1</v>
      </c>
      <c r="AK112" s="110" t="b">
        <f t="shared" ca="1" si="72"/>
        <v>1</v>
      </c>
      <c r="AL112" s="110" t="b">
        <f t="shared" ca="1" si="72"/>
        <v>1</v>
      </c>
      <c r="AM112" s="110" t="b">
        <f t="shared" ca="1" si="72"/>
        <v>1</v>
      </c>
      <c r="AN112" s="110" t="b">
        <f t="shared" ca="1" si="72"/>
        <v>1</v>
      </c>
      <c r="AO112" s="110" t="b">
        <f t="shared" ca="1" si="72"/>
        <v>1</v>
      </c>
      <c r="AP112" s="110" t="b">
        <f t="shared" ca="1" si="72"/>
        <v>1</v>
      </c>
      <c r="AQ112" s="110" t="b">
        <f t="shared" ca="1" si="72"/>
        <v>1</v>
      </c>
      <c r="AR112" s="110" t="b">
        <f t="shared" ca="1" si="72"/>
        <v>1</v>
      </c>
      <c r="AS112" s="110" t="b">
        <f t="shared" ca="1" si="72"/>
        <v>1</v>
      </c>
      <c r="AT112" s="13"/>
      <c r="AU112" s="110" t="b">
        <f ca="1">ABS(AU27-AU110)&lt;0.001</f>
        <v>1</v>
      </c>
      <c r="AV112" s="110" t="b">
        <f ca="1">ABS(AV27-AV110)&lt;0.001</f>
        <v>1</v>
      </c>
      <c r="AW112" s="110" t="b">
        <f ca="1">ABS(AW27-AW110)&lt;0.001</f>
        <v>1</v>
      </c>
    </row>
    <row r="113" spans="5:16" x14ac:dyDescent="0.25">
      <c r="P113" s="8"/>
    </row>
    <row r="114" spans="5:16" x14ac:dyDescent="0.25">
      <c r="E114" s="13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465-E9C2-45EB-BB52-F49424FCC27C}">
  <sheetPr>
    <tabColor theme="7"/>
  </sheetPr>
  <dimension ref="C3:AW91"/>
  <sheetViews>
    <sheetView showGridLines="0" zoomScale="85" zoomScaleNormal="85" workbookViewId="0">
      <pane xSplit="3" ySplit="10" topLeftCell="D32" activePane="bottomRight" state="frozen"/>
      <selection pane="topRight" activeCell="D1" sqref="D1"/>
      <selection pane="bottomLeft" activeCell="A11" sqref="A11"/>
      <selection pane="bottomRight" activeCell="F32" sqref="F32"/>
    </sheetView>
  </sheetViews>
  <sheetFormatPr defaultRowHeight="15" outlineLevelRow="1" outlineLevelCol="1" x14ac:dyDescent="0.25"/>
  <cols>
    <col min="1" max="2" width="2.5703125" customWidth="1"/>
    <col min="3" max="3" width="26.28515625" bestFit="1" customWidth="1"/>
    <col min="4" max="4" width="10.42578125" customWidth="1" outlineLevel="1"/>
    <col min="5" max="5" width="13.28515625" bestFit="1" customWidth="1" outlineLevel="1"/>
    <col min="6" max="10" width="9.7109375" bestFit="1" customWidth="1" outlineLevel="1"/>
    <col min="11" max="22" width="9.7109375" bestFit="1" customWidth="1"/>
    <col min="23" max="34" width="9.7109375" customWidth="1" outlineLevel="1"/>
    <col min="35" max="35" width="2.5703125" customWidth="1"/>
    <col min="36" max="45" width="10.140625" bestFit="1" customWidth="1" outlineLevel="1"/>
    <col min="46" max="46" width="2.5703125" customWidth="1"/>
    <col min="47" max="49" width="10.140625" bestFit="1" customWidth="1" outlineLevel="1"/>
    <col min="50" max="50" width="2.5703125" customWidth="1"/>
  </cols>
  <sheetData>
    <row r="3" spans="3:49" outlineLevel="1" x14ac:dyDescent="0.25"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J3" t="str">
        <f ca="1">OFFSET($D3,0,3*COLUMNS($AJ$3:AJ$3))</f>
        <v>Actual</v>
      </c>
      <c r="AK3" t="str">
        <f ca="1">OFFSET($D3,0,3*COLUMNS($AJ$3:AK$3))</f>
        <v>Actual</v>
      </c>
      <c r="AL3" t="str">
        <f ca="1">OFFSET($D3,0,3*COLUMNS($AJ$3:AL$3))</f>
        <v>Actual</v>
      </c>
      <c r="AM3" s="8" t="str">
        <f ca="1">OFFSET($D3,0,3*COLUMNS($AJ$3:AM$3))</f>
        <v>Actual</v>
      </c>
      <c r="AN3" t="str">
        <f ca="1">OFFSET($D3,0,3*COLUMNS($AJ$3:AN$3))</f>
        <v>Forecast</v>
      </c>
      <c r="AO3" t="str">
        <f ca="1">OFFSET($D3,0,3*COLUMNS($AJ$3:AO$3))</f>
        <v>Forecast</v>
      </c>
      <c r="AP3" t="str">
        <f ca="1">OFFSET($D3,0,3*COLUMNS($AJ$3:AP$3))</f>
        <v>Forecast</v>
      </c>
      <c r="AQ3" t="str">
        <f ca="1">OFFSET($D3,0,3*COLUMNS($AJ$3:AQ$3))</f>
        <v>Forecast</v>
      </c>
      <c r="AR3" t="str">
        <f ca="1">OFFSET($D3,0,3*COLUMNS($AJ$3:AR$3))</f>
        <v>Forecast</v>
      </c>
      <c r="AS3" t="str">
        <f ca="1">OFFSET($D3,0,3*COLUMNS($AJ$3:AS$3))</f>
        <v>Forecast</v>
      </c>
      <c r="AT3" s="318"/>
    </row>
    <row r="4" spans="3:49" outlineLevel="1" x14ac:dyDescent="0.25"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J4" t="str">
        <f ca="1">OFFSET($D4,0,3*COLUMNS($AJ$3:AJ$3))</f>
        <v>Jun_Fcst</v>
      </c>
      <c r="AK4" t="str">
        <f ca="1">OFFSET($D4,0,3*COLUMNS($AJ$3:AK$3))</f>
        <v>Jun_Fcst</v>
      </c>
      <c r="AL4" t="str">
        <f ca="1">OFFSET($D4,0,3*COLUMNS($AJ$3:AL$3))</f>
        <v>Jun_Fcst</v>
      </c>
      <c r="AM4" s="8" t="str">
        <f ca="1">OFFSET($D4,0,3*COLUMNS($AJ$3:AM$3))</f>
        <v>Jun_Fcst</v>
      </c>
      <c r="AN4" t="str">
        <f ca="1">OFFSET($D4,0,3*COLUMNS($AJ$3:AN$3))</f>
        <v>Jun_Fcst</v>
      </c>
      <c r="AO4" t="str">
        <f ca="1">OFFSET($D4,0,3*COLUMNS($AJ$3:AO$3))</f>
        <v>Jun_Fcst</v>
      </c>
      <c r="AP4" t="str">
        <f ca="1">OFFSET($D4,0,3*COLUMNS($AJ$3:AP$3))</f>
        <v>Jun_Fcst</v>
      </c>
      <c r="AQ4" t="str">
        <f ca="1">OFFSET($D4,0,3*COLUMNS($AJ$3:AQ$3))</f>
        <v>Jun_Fcst</v>
      </c>
      <c r="AR4" t="str">
        <f ca="1">OFFSET($D4,0,3*COLUMNS($AJ$3:AR$3))</f>
        <v>Jun_Fcst</v>
      </c>
      <c r="AS4" t="str">
        <f ca="1">OFFSET($D4,0,3*COLUMNS($AJ$3:AS$3))</f>
        <v>Jun_Fcst</v>
      </c>
    </row>
    <row r="5" spans="3:49" outlineLevel="1" x14ac:dyDescent="0.25">
      <c r="C5" t="s">
        <v>11</v>
      </c>
      <c r="D5" s="5">
        <f t="shared" ref="D5" si="0">YEAR(D8)</f>
        <v>2020</v>
      </c>
      <c r="E5" s="5">
        <f t="shared" ref="E5:AH5" si="1">YEAR(E8)</f>
        <v>2020</v>
      </c>
      <c r="F5" s="5">
        <f t="shared" si="1"/>
        <v>2020</v>
      </c>
      <c r="G5" s="5">
        <f t="shared" si="1"/>
        <v>2020</v>
      </c>
      <c r="H5" s="5">
        <f t="shared" si="1"/>
        <v>2020</v>
      </c>
      <c r="I5" s="5">
        <f t="shared" si="1"/>
        <v>2020</v>
      </c>
      <c r="J5" s="5">
        <f t="shared" si="1"/>
        <v>2020</v>
      </c>
      <c r="K5" s="5">
        <f t="shared" si="1"/>
        <v>2021</v>
      </c>
      <c r="L5" s="5">
        <f t="shared" si="1"/>
        <v>2021</v>
      </c>
      <c r="M5" s="5">
        <f t="shared" si="1"/>
        <v>2021</v>
      </c>
      <c r="N5" s="5">
        <f t="shared" si="1"/>
        <v>2021</v>
      </c>
      <c r="O5" s="5">
        <f t="shared" si="1"/>
        <v>2021</v>
      </c>
      <c r="P5" s="9">
        <f t="shared" si="1"/>
        <v>2021</v>
      </c>
      <c r="Q5" s="5">
        <f t="shared" si="1"/>
        <v>2021</v>
      </c>
      <c r="R5" s="5">
        <f t="shared" si="1"/>
        <v>2021</v>
      </c>
      <c r="S5" s="5">
        <f t="shared" si="1"/>
        <v>2021</v>
      </c>
      <c r="T5" s="5">
        <f t="shared" si="1"/>
        <v>2021</v>
      </c>
      <c r="U5" s="5">
        <f t="shared" si="1"/>
        <v>2021</v>
      </c>
      <c r="V5" s="5">
        <f t="shared" si="1"/>
        <v>2021</v>
      </c>
      <c r="W5" s="5">
        <f t="shared" si="1"/>
        <v>2022</v>
      </c>
      <c r="X5" s="5">
        <f t="shared" si="1"/>
        <v>2022</v>
      </c>
      <c r="Y5" s="5">
        <f t="shared" si="1"/>
        <v>2022</v>
      </c>
      <c r="Z5" s="5">
        <f t="shared" si="1"/>
        <v>2022</v>
      </c>
      <c r="AA5" s="5">
        <f t="shared" si="1"/>
        <v>2022</v>
      </c>
      <c r="AB5" s="5">
        <f t="shared" si="1"/>
        <v>2022</v>
      </c>
      <c r="AC5" s="5">
        <f t="shared" si="1"/>
        <v>2022</v>
      </c>
      <c r="AD5" s="5">
        <f t="shared" si="1"/>
        <v>2022</v>
      </c>
      <c r="AE5" s="5">
        <f t="shared" si="1"/>
        <v>2022</v>
      </c>
      <c r="AF5" s="5">
        <f t="shared" si="1"/>
        <v>2022</v>
      </c>
      <c r="AG5" s="5">
        <f t="shared" si="1"/>
        <v>2022</v>
      </c>
      <c r="AH5" s="5">
        <f t="shared" si="1"/>
        <v>2022</v>
      </c>
      <c r="AJ5" s="5">
        <f ca="1">OFFSET($D5,0,3*COLUMNS($AJ$3:AJ$3))</f>
        <v>2020</v>
      </c>
      <c r="AK5" s="5">
        <f ca="1">OFFSET($D5,0,3*COLUMNS($AJ$3:AK$3))</f>
        <v>2020</v>
      </c>
      <c r="AL5" s="5">
        <f ca="1">OFFSET($D5,0,3*COLUMNS($AJ$3:AL$3))</f>
        <v>2021</v>
      </c>
      <c r="AM5" s="9">
        <f ca="1">OFFSET($D5,0,3*COLUMNS($AJ$3:AM$3))</f>
        <v>2021</v>
      </c>
      <c r="AN5" s="5">
        <f ca="1">OFFSET($D5,0,3*COLUMNS($AJ$3:AN$3))</f>
        <v>2021</v>
      </c>
      <c r="AO5" s="5">
        <f ca="1">OFFSET($D5,0,3*COLUMNS($AJ$3:AO$3))</f>
        <v>2021</v>
      </c>
      <c r="AP5" s="5">
        <f ca="1">OFFSET($D5,0,3*COLUMNS($AJ$3:AP$3))</f>
        <v>2022</v>
      </c>
      <c r="AQ5" s="5">
        <f ca="1">OFFSET($D5,0,3*COLUMNS($AJ$3:AQ$3))</f>
        <v>2022</v>
      </c>
      <c r="AR5" s="319">
        <v>2022</v>
      </c>
      <c r="AS5" s="319">
        <v>2022</v>
      </c>
      <c r="AU5" s="5">
        <f ca="1">AJ5</f>
        <v>2020</v>
      </c>
      <c r="AV5">
        <f ca="1">AU5+1</f>
        <v>2021</v>
      </c>
      <c r="AW5">
        <f ca="1">AV5+1</f>
        <v>2022</v>
      </c>
    </row>
    <row r="6" spans="3:49" outlineLevel="1" x14ac:dyDescent="0.25">
      <c r="C6" t="s">
        <v>10</v>
      </c>
      <c r="D6" s="5" t="str">
        <f t="shared" ref="D6:AH6" si="2">"Q"&amp;ROUNDUP(D7/3,0)</f>
        <v>Q2</v>
      </c>
      <c r="E6" s="5" t="str">
        <f t="shared" si="2"/>
        <v>Q3</v>
      </c>
      <c r="F6" s="5" t="str">
        <f t="shared" si="2"/>
        <v>Q3</v>
      </c>
      <c r="G6" s="5" t="str">
        <f t="shared" si="2"/>
        <v>Q3</v>
      </c>
      <c r="H6" s="5" t="str">
        <f t="shared" si="2"/>
        <v>Q4</v>
      </c>
      <c r="I6" s="5" t="str">
        <f t="shared" si="2"/>
        <v>Q4</v>
      </c>
      <c r="J6" s="5" t="str">
        <f t="shared" si="2"/>
        <v>Q4</v>
      </c>
      <c r="K6" s="5" t="str">
        <f t="shared" si="2"/>
        <v>Q1</v>
      </c>
      <c r="L6" s="5" t="str">
        <f t="shared" si="2"/>
        <v>Q1</v>
      </c>
      <c r="M6" s="5" t="str">
        <f t="shared" si="2"/>
        <v>Q1</v>
      </c>
      <c r="N6" s="5" t="str">
        <f t="shared" si="2"/>
        <v>Q2</v>
      </c>
      <c r="O6" s="5" t="str">
        <f t="shared" si="2"/>
        <v>Q2</v>
      </c>
      <c r="P6" s="9" t="str">
        <f t="shared" si="2"/>
        <v>Q2</v>
      </c>
      <c r="Q6" s="5" t="str">
        <f t="shared" si="2"/>
        <v>Q3</v>
      </c>
      <c r="R6" s="5" t="str">
        <f t="shared" si="2"/>
        <v>Q3</v>
      </c>
      <c r="S6" s="5" t="str">
        <f t="shared" si="2"/>
        <v>Q3</v>
      </c>
      <c r="T6" s="5" t="str">
        <f t="shared" si="2"/>
        <v>Q4</v>
      </c>
      <c r="U6" s="5" t="str">
        <f t="shared" si="2"/>
        <v>Q4</v>
      </c>
      <c r="V6" s="5" t="str">
        <f t="shared" si="2"/>
        <v>Q4</v>
      </c>
      <c r="W6" s="5" t="str">
        <f t="shared" si="2"/>
        <v>Q1</v>
      </c>
      <c r="X6" s="5" t="str">
        <f t="shared" si="2"/>
        <v>Q1</v>
      </c>
      <c r="Y6" s="5" t="str">
        <f t="shared" si="2"/>
        <v>Q1</v>
      </c>
      <c r="Z6" s="5" t="str">
        <f t="shared" si="2"/>
        <v>Q2</v>
      </c>
      <c r="AA6" s="5" t="str">
        <f t="shared" si="2"/>
        <v>Q2</v>
      </c>
      <c r="AB6" s="5" t="str">
        <f t="shared" si="2"/>
        <v>Q2</v>
      </c>
      <c r="AC6" s="5" t="str">
        <f t="shared" si="2"/>
        <v>Q3</v>
      </c>
      <c r="AD6" s="5" t="str">
        <f t="shared" si="2"/>
        <v>Q3</v>
      </c>
      <c r="AE6" s="5" t="str">
        <f t="shared" si="2"/>
        <v>Q3</v>
      </c>
      <c r="AF6" s="5" t="str">
        <f t="shared" si="2"/>
        <v>Q4</v>
      </c>
      <c r="AG6" s="5" t="str">
        <f t="shared" si="2"/>
        <v>Q4</v>
      </c>
      <c r="AH6" s="5" t="str">
        <f t="shared" si="2"/>
        <v>Q4</v>
      </c>
      <c r="AJ6" s="5" t="str">
        <f ca="1">OFFSET($D6,0,3*COLUMNS($AJ$3:AJ$3))</f>
        <v>Q3</v>
      </c>
      <c r="AK6" s="5" t="str">
        <f ca="1">OFFSET($D6,0,3*COLUMNS($AJ$3:AK$3))</f>
        <v>Q4</v>
      </c>
      <c r="AL6" s="5" t="str">
        <f ca="1">OFFSET($D6,0,3*COLUMNS($AJ$3:AL$3))</f>
        <v>Q1</v>
      </c>
      <c r="AM6" s="9" t="str">
        <f ca="1">OFFSET($D6,0,3*COLUMNS($AJ$3:AM$3))</f>
        <v>Q2</v>
      </c>
      <c r="AN6" s="5" t="str">
        <f ca="1">OFFSET($D6,0,3*COLUMNS($AJ$3:AN$3))</f>
        <v>Q3</v>
      </c>
      <c r="AO6" s="5" t="str">
        <f ca="1">OFFSET($D6,0,3*COLUMNS($AJ$3:AO$3))</f>
        <v>Q4</v>
      </c>
      <c r="AP6" s="5" t="str">
        <f ca="1">OFFSET($D6,0,3*COLUMNS($AJ$3:AP$3))</f>
        <v>Q1</v>
      </c>
      <c r="AQ6" s="5" t="str">
        <f ca="1">OFFSET($D6,0,3*COLUMNS($AJ$3:AQ$3))</f>
        <v>Q2</v>
      </c>
      <c r="AR6" s="319" t="s">
        <v>585</v>
      </c>
      <c r="AS6" s="319" t="s">
        <v>586</v>
      </c>
    </row>
    <row r="7" spans="3:49" outlineLevel="1" x14ac:dyDescent="0.25">
      <c r="C7" t="s">
        <v>12</v>
      </c>
      <c r="D7" s="5">
        <f t="shared" ref="D7:AH7" si="3">MONTH(D8)</f>
        <v>6</v>
      </c>
      <c r="E7" s="5">
        <f t="shared" si="3"/>
        <v>7</v>
      </c>
      <c r="F7" s="5">
        <f t="shared" si="3"/>
        <v>8</v>
      </c>
      <c r="G7" s="5">
        <f t="shared" si="3"/>
        <v>9</v>
      </c>
      <c r="H7" s="5">
        <f t="shared" si="3"/>
        <v>10</v>
      </c>
      <c r="I7" s="5">
        <f t="shared" si="3"/>
        <v>11</v>
      </c>
      <c r="J7" s="5">
        <f t="shared" si="3"/>
        <v>12</v>
      </c>
      <c r="K7" s="5">
        <f t="shared" si="3"/>
        <v>1</v>
      </c>
      <c r="L7" s="5">
        <f t="shared" si="3"/>
        <v>2</v>
      </c>
      <c r="M7" s="5">
        <f t="shared" si="3"/>
        <v>3</v>
      </c>
      <c r="N7" s="5">
        <f t="shared" si="3"/>
        <v>4</v>
      </c>
      <c r="O7" s="5">
        <f t="shared" si="3"/>
        <v>5</v>
      </c>
      <c r="P7" s="9">
        <f t="shared" si="3"/>
        <v>6</v>
      </c>
      <c r="Q7" s="5">
        <f t="shared" si="3"/>
        <v>7</v>
      </c>
      <c r="R7" s="5">
        <f t="shared" si="3"/>
        <v>8</v>
      </c>
      <c r="S7" s="5">
        <f t="shared" si="3"/>
        <v>9</v>
      </c>
      <c r="T7" s="5">
        <f t="shared" si="3"/>
        <v>10</v>
      </c>
      <c r="U7" s="5">
        <f t="shared" si="3"/>
        <v>11</v>
      </c>
      <c r="V7" s="5">
        <f t="shared" si="3"/>
        <v>12</v>
      </c>
      <c r="W7" s="5">
        <f t="shared" si="3"/>
        <v>1</v>
      </c>
      <c r="X7" s="5">
        <f t="shared" si="3"/>
        <v>2</v>
      </c>
      <c r="Y7" s="5">
        <f t="shared" si="3"/>
        <v>3</v>
      </c>
      <c r="Z7" s="5">
        <f t="shared" si="3"/>
        <v>4</v>
      </c>
      <c r="AA7" s="5">
        <f t="shared" si="3"/>
        <v>5</v>
      </c>
      <c r="AB7" s="5">
        <f t="shared" si="3"/>
        <v>6</v>
      </c>
      <c r="AC7" s="5">
        <f t="shared" si="3"/>
        <v>7</v>
      </c>
      <c r="AD7" s="5">
        <f t="shared" si="3"/>
        <v>8</v>
      </c>
      <c r="AE7" s="5">
        <f t="shared" si="3"/>
        <v>9</v>
      </c>
      <c r="AF7" s="5">
        <f t="shared" si="3"/>
        <v>10</v>
      </c>
      <c r="AG7" s="5">
        <f t="shared" si="3"/>
        <v>11</v>
      </c>
      <c r="AH7" s="5">
        <f t="shared" si="3"/>
        <v>12</v>
      </c>
      <c r="AJ7" s="5"/>
      <c r="AM7" s="8"/>
    </row>
    <row r="8" spans="3:49" outlineLevel="1" x14ac:dyDescent="0.25">
      <c r="C8" t="s">
        <v>9</v>
      </c>
      <c r="D8" s="6">
        <f>EOMONTH(E8,-1)</f>
        <v>44012</v>
      </c>
      <c r="E8" s="6">
        <v>44043</v>
      </c>
      <c r="F8" s="7">
        <f t="shared" ref="F8:AH8" si="4">EOMONTH(E8,1)</f>
        <v>44074</v>
      </c>
      <c r="G8" s="7">
        <f t="shared" si="4"/>
        <v>44104</v>
      </c>
      <c r="H8" s="7">
        <f t="shared" si="4"/>
        <v>44135</v>
      </c>
      <c r="I8" s="7">
        <f t="shared" si="4"/>
        <v>44165</v>
      </c>
      <c r="J8" s="7">
        <f t="shared" si="4"/>
        <v>44196</v>
      </c>
      <c r="K8" s="7">
        <f t="shared" si="4"/>
        <v>44227</v>
      </c>
      <c r="L8" s="7">
        <f t="shared" si="4"/>
        <v>44255</v>
      </c>
      <c r="M8" s="7">
        <f t="shared" si="4"/>
        <v>44286</v>
      </c>
      <c r="N8" s="7">
        <f t="shared" si="4"/>
        <v>44316</v>
      </c>
      <c r="O8" s="7">
        <f t="shared" si="4"/>
        <v>44347</v>
      </c>
      <c r="P8" s="10">
        <f t="shared" si="4"/>
        <v>44377</v>
      </c>
      <c r="Q8" s="7">
        <f t="shared" si="4"/>
        <v>44408</v>
      </c>
      <c r="R8" s="7">
        <f t="shared" si="4"/>
        <v>44439</v>
      </c>
      <c r="S8" s="7">
        <f t="shared" si="4"/>
        <v>44469</v>
      </c>
      <c r="T8" s="7">
        <f t="shared" si="4"/>
        <v>44500</v>
      </c>
      <c r="U8" s="7">
        <f t="shared" si="4"/>
        <v>44530</v>
      </c>
      <c r="V8" s="7">
        <f t="shared" si="4"/>
        <v>44561</v>
      </c>
      <c r="W8" s="7">
        <f t="shared" si="4"/>
        <v>44592</v>
      </c>
      <c r="X8" s="7">
        <f t="shared" si="4"/>
        <v>44620</v>
      </c>
      <c r="Y8" s="7">
        <f t="shared" si="4"/>
        <v>44651</v>
      </c>
      <c r="Z8" s="7">
        <f t="shared" si="4"/>
        <v>44681</v>
      </c>
      <c r="AA8" s="7">
        <f t="shared" si="4"/>
        <v>44712</v>
      </c>
      <c r="AB8" s="7">
        <f t="shared" si="4"/>
        <v>44742</v>
      </c>
      <c r="AC8" s="7">
        <f t="shared" si="4"/>
        <v>44773</v>
      </c>
      <c r="AD8" s="7">
        <f t="shared" si="4"/>
        <v>44804</v>
      </c>
      <c r="AE8" s="7">
        <f t="shared" si="4"/>
        <v>44834</v>
      </c>
      <c r="AF8" s="7">
        <f t="shared" si="4"/>
        <v>44865</v>
      </c>
      <c r="AG8" s="7">
        <f t="shared" si="4"/>
        <v>44895</v>
      </c>
      <c r="AH8" s="7">
        <f t="shared" si="4"/>
        <v>44926</v>
      </c>
      <c r="AM8" s="8"/>
    </row>
    <row r="9" spans="3:49" outlineLevel="1" x14ac:dyDescent="0.25">
      <c r="C9" t="s">
        <v>17</v>
      </c>
      <c r="D9" s="5" t="str">
        <f t="shared" ref="D9" si="5">TEXT(D8,"mmm-yy")&amp;LEFT(D3,1)</f>
        <v>Jun-20A</v>
      </c>
      <c r="E9" s="5" t="str">
        <f t="shared" ref="E9:AH9" si="6">TEXT(E8,"mmm-yy")&amp;LEFT(E3,1)</f>
        <v>Jul-20A</v>
      </c>
      <c r="F9" s="5" t="str">
        <f t="shared" si="6"/>
        <v>Aug-20A</v>
      </c>
      <c r="G9" s="5" t="str">
        <f t="shared" si="6"/>
        <v>Sep-20A</v>
      </c>
      <c r="H9" s="5" t="str">
        <f t="shared" si="6"/>
        <v>Oct-20A</v>
      </c>
      <c r="I9" s="5" t="str">
        <f t="shared" si="6"/>
        <v>Nov-20A</v>
      </c>
      <c r="J9" s="5" t="str">
        <f t="shared" si="6"/>
        <v>Dec-20A</v>
      </c>
      <c r="K9" s="5" t="str">
        <f t="shared" si="6"/>
        <v>Jan-21A</v>
      </c>
      <c r="L9" s="5" t="str">
        <f t="shared" si="6"/>
        <v>Feb-21A</v>
      </c>
      <c r="M9" s="5" t="str">
        <f t="shared" si="6"/>
        <v>Mar-21A</v>
      </c>
      <c r="N9" s="5" t="str">
        <f t="shared" si="6"/>
        <v>Apr-21A</v>
      </c>
      <c r="O9" s="5" t="str">
        <f t="shared" si="6"/>
        <v>May-21A</v>
      </c>
      <c r="P9" s="9" t="str">
        <f t="shared" si="6"/>
        <v>Jun-21A</v>
      </c>
      <c r="Q9" s="5" t="str">
        <f t="shared" si="6"/>
        <v>Jul-21F</v>
      </c>
      <c r="R9" s="5" t="str">
        <f t="shared" si="6"/>
        <v>Aug-21F</v>
      </c>
      <c r="S9" s="5" t="str">
        <f t="shared" si="6"/>
        <v>Sep-21F</v>
      </c>
      <c r="T9" s="5" t="str">
        <f t="shared" si="6"/>
        <v>Oct-21F</v>
      </c>
      <c r="U9" s="5" t="str">
        <f t="shared" si="6"/>
        <v>Nov-21F</v>
      </c>
      <c r="V9" s="5" t="str">
        <f t="shared" si="6"/>
        <v>Dec-21F</v>
      </c>
      <c r="W9" s="5" t="str">
        <f t="shared" si="6"/>
        <v>Jan-22F</v>
      </c>
      <c r="X9" s="5" t="str">
        <f t="shared" si="6"/>
        <v>Feb-22F</v>
      </c>
      <c r="Y9" s="5" t="str">
        <f t="shared" si="6"/>
        <v>Mar-22F</v>
      </c>
      <c r="Z9" s="5" t="str">
        <f t="shared" si="6"/>
        <v>Apr-22F</v>
      </c>
      <c r="AA9" s="5" t="str">
        <f t="shared" si="6"/>
        <v>May-22F</v>
      </c>
      <c r="AB9" s="5" t="str">
        <f t="shared" si="6"/>
        <v>Jun-22F</v>
      </c>
      <c r="AC9" s="5" t="str">
        <f t="shared" si="6"/>
        <v>Jul-22F</v>
      </c>
      <c r="AD9" s="5" t="str">
        <f t="shared" si="6"/>
        <v>Aug-22F</v>
      </c>
      <c r="AE9" s="5" t="str">
        <f t="shared" si="6"/>
        <v>Sep-22F</v>
      </c>
      <c r="AF9" s="5" t="str">
        <f t="shared" si="6"/>
        <v>Oct-22F</v>
      </c>
      <c r="AG9" s="5" t="str">
        <f t="shared" si="6"/>
        <v>Nov-22F</v>
      </c>
      <c r="AH9" s="5" t="str">
        <f t="shared" si="6"/>
        <v>Dec-22F</v>
      </c>
      <c r="AM9" s="8"/>
      <c r="AU9" s="319" t="str">
        <f ca="1">COUNTIF($E$5:$AH$5,AU$5)&amp;"m"</f>
        <v>6m</v>
      </c>
      <c r="AV9" s="319" t="str">
        <f t="shared" ref="AV9:AW9" ca="1" si="7">COUNTIF($E$5:$AH$5,AV$5)&amp;"m"</f>
        <v>12m</v>
      </c>
      <c r="AW9" s="319" t="str">
        <f t="shared" ca="1" si="7"/>
        <v>12m</v>
      </c>
    </row>
    <row r="10" spans="3:49" x14ac:dyDescent="0.25">
      <c r="D10" s="43" t="str">
        <f t="shared" ref="D10:AH10" si="8">D$9</f>
        <v>Jun-20A</v>
      </c>
      <c r="E10" s="43" t="str">
        <f t="shared" si="8"/>
        <v>Jul-20A</v>
      </c>
      <c r="F10" s="43" t="str">
        <f t="shared" si="8"/>
        <v>Aug-20A</v>
      </c>
      <c r="G10" s="43" t="str">
        <f t="shared" si="8"/>
        <v>Sep-20A</v>
      </c>
      <c r="H10" s="43" t="str">
        <f t="shared" si="8"/>
        <v>Oct-20A</v>
      </c>
      <c r="I10" s="43" t="str">
        <f t="shared" si="8"/>
        <v>Nov-20A</v>
      </c>
      <c r="J10" s="43" t="str">
        <f t="shared" si="8"/>
        <v>Dec-20A</v>
      </c>
      <c r="K10" s="43" t="str">
        <f t="shared" si="8"/>
        <v>Jan-21A</v>
      </c>
      <c r="L10" s="43" t="str">
        <f t="shared" si="8"/>
        <v>Feb-21A</v>
      </c>
      <c r="M10" s="43" t="str">
        <f t="shared" si="8"/>
        <v>Mar-21A</v>
      </c>
      <c r="N10" s="43" t="str">
        <f t="shared" si="8"/>
        <v>Apr-21A</v>
      </c>
      <c r="O10" s="43" t="str">
        <f t="shared" si="8"/>
        <v>May-21A</v>
      </c>
      <c r="P10" s="44" t="str">
        <f t="shared" si="8"/>
        <v>Jun-21A</v>
      </c>
      <c r="Q10" s="43" t="str">
        <f t="shared" si="8"/>
        <v>Jul-21F</v>
      </c>
      <c r="R10" s="43" t="str">
        <f t="shared" si="8"/>
        <v>Aug-21F</v>
      </c>
      <c r="S10" s="43" t="str">
        <f t="shared" si="8"/>
        <v>Sep-21F</v>
      </c>
      <c r="T10" s="43" t="str">
        <f t="shared" si="8"/>
        <v>Oct-21F</v>
      </c>
      <c r="U10" s="43" t="str">
        <f t="shared" si="8"/>
        <v>Nov-21F</v>
      </c>
      <c r="V10" s="43" t="str">
        <f t="shared" si="8"/>
        <v>Dec-21F</v>
      </c>
      <c r="W10" s="43" t="str">
        <f t="shared" si="8"/>
        <v>Jan-22F</v>
      </c>
      <c r="X10" s="43" t="str">
        <f t="shared" si="8"/>
        <v>Feb-22F</v>
      </c>
      <c r="Y10" s="43" t="str">
        <f t="shared" si="8"/>
        <v>Mar-22F</v>
      </c>
      <c r="Z10" s="43" t="str">
        <f t="shared" si="8"/>
        <v>Apr-22F</v>
      </c>
      <c r="AA10" s="43" t="str">
        <f t="shared" si="8"/>
        <v>May-22F</v>
      </c>
      <c r="AB10" s="43" t="str">
        <f t="shared" si="8"/>
        <v>Jun-22F</v>
      </c>
      <c r="AC10" s="43" t="str">
        <f t="shared" si="8"/>
        <v>Jul-22F</v>
      </c>
      <c r="AD10" s="43" t="str">
        <f t="shared" si="8"/>
        <v>Aug-22F</v>
      </c>
      <c r="AE10" s="43" t="str">
        <f t="shared" si="8"/>
        <v>Sep-22F</v>
      </c>
      <c r="AF10" s="43" t="str">
        <f t="shared" si="8"/>
        <v>Oct-22F</v>
      </c>
      <c r="AG10" s="43" t="str">
        <f t="shared" si="8"/>
        <v>Nov-22F</v>
      </c>
      <c r="AH10" s="43" t="str">
        <f t="shared" si="8"/>
        <v>Dec-22F</v>
      </c>
      <c r="AJ10" s="5" t="str">
        <f ca="1">AJ6&amp;"'"&amp;RIGHT(AJ5,2)&amp;LEFT(AJ3,1)</f>
        <v>Q3'20A</v>
      </c>
      <c r="AK10" s="5" t="str">
        <f t="shared" ref="AK10:AS10" ca="1" si="9">AK6&amp;"'"&amp;RIGHT(AK5,2)&amp;LEFT(AK3,1)</f>
        <v>Q4'20A</v>
      </c>
      <c r="AL10" s="5" t="str">
        <f t="shared" ca="1" si="9"/>
        <v>Q1'21A</v>
      </c>
      <c r="AM10" s="9" t="str">
        <f t="shared" ca="1" si="9"/>
        <v>Q2'21A</v>
      </c>
      <c r="AN10" s="5" t="str">
        <f t="shared" ca="1" si="9"/>
        <v>Q3'21F</v>
      </c>
      <c r="AO10" s="5" t="str">
        <f t="shared" ca="1" si="9"/>
        <v>Q4'21F</v>
      </c>
      <c r="AP10" s="5" t="str">
        <f t="shared" ca="1" si="9"/>
        <v>Q1'22F</v>
      </c>
      <c r="AQ10" s="5" t="str">
        <f t="shared" ca="1" si="9"/>
        <v>Q2'22F</v>
      </c>
      <c r="AR10" s="5" t="str">
        <f t="shared" ca="1" si="9"/>
        <v>Q3'22F</v>
      </c>
      <c r="AS10" s="5" t="str">
        <f t="shared" ca="1" si="9"/>
        <v>Q4'22F</v>
      </c>
      <c r="AU10" s="319" t="str">
        <f ca="1">"FY"&amp;RIGHT(AU5,2)</f>
        <v>FY20</v>
      </c>
      <c r="AV10" s="319" t="str">
        <f t="shared" ref="AV10:AW10" ca="1" si="10">"FY"&amp;RIGHT(AV5,2)</f>
        <v>FY21</v>
      </c>
      <c r="AW10" s="319" t="str">
        <f t="shared" ca="1" si="10"/>
        <v>FY22</v>
      </c>
    </row>
    <row r="11" spans="3:49" x14ac:dyDescent="0.25"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J11" s="5"/>
      <c r="AK11" s="5"/>
      <c r="AL11" s="5"/>
      <c r="AM11" s="5"/>
      <c r="AN11" s="5"/>
      <c r="AO11" s="5"/>
      <c r="AP11" s="5"/>
      <c r="AQ11" s="5"/>
      <c r="AR11" s="5"/>
      <c r="AS11" s="5"/>
      <c r="AU11" s="319"/>
      <c r="AV11" s="319"/>
      <c r="AW11" s="319"/>
    </row>
    <row r="12" spans="3:49" ht="23.25" x14ac:dyDescent="0.35">
      <c r="C12" s="378" t="s">
        <v>491</v>
      </c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  <c r="X12" s="379"/>
      <c r="Y12" s="379"/>
      <c r="Z12" s="379"/>
      <c r="AA12" s="379"/>
      <c r="AB12" s="379"/>
      <c r="AC12" s="379"/>
      <c r="AD12" s="379"/>
      <c r="AE12" s="379"/>
      <c r="AF12" s="379"/>
      <c r="AG12" s="379"/>
      <c r="AH12" s="379"/>
      <c r="AI12" s="378"/>
      <c r="AJ12" s="379"/>
      <c r="AK12" s="379"/>
      <c r="AL12" s="379"/>
      <c r="AM12" s="379"/>
      <c r="AN12" s="379"/>
      <c r="AO12" s="379"/>
      <c r="AP12" s="379"/>
      <c r="AQ12" s="379"/>
      <c r="AR12" s="379"/>
      <c r="AS12" s="379"/>
      <c r="AT12" s="378"/>
      <c r="AU12" s="380"/>
      <c r="AV12" s="380"/>
      <c r="AW12" s="380"/>
    </row>
    <row r="13" spans="3:49" x14ac:dyDescent="0.25">
      <c r="C13" s="11" t="s">
        <v>519</v>
      </c>
      <c r="D13" s="11"/>
    </row>
    <row r="14" spans="3:49" x14ac:dyDescent="0.25">
      <c r="C14" s="203" t="s">
        <v>526</v>
      </c>
      <c r="D14" s="11"/>
      <c r="E14" s="45" t="str">
        <f t="shared" ref="E14:AH14" si="11">E$9</f>
        <v>Jul-20A</v>
      </c>
      <c r="F14" s="45" t="str">
        <f t="shared" si="11"/>
        <v>Aug-20A</v>
      </c>
      <c r="G14" s="45" t="str">
        <f t="shared" si="11"/>
        <v>Sep-20A</v>
      </c>
      <c r="H14" s="45" t="str">
        <f t="shared" si="11"/>
        <v>Oct-20A</v>
      </c>
      <c r="I14" s="45" t="str">
        <f t="shared" si="11"/>
        <v>Nov-20A</v>
      </c>
      <c r="J14" s="45" t="str">
        <f t="shared" si="11"/>
        <v>Dec-20A</v>
      </c>
      <c r="K14" s="45" t="str">
        <f t="shared" si="11"/>
        <v>Jan-21A</v>
      </c>
      <c r="L14" s="45" t="str">
        <f t="shared" si="11"/>
        <v>Feb-21A</v>
      </c>
      <c r="M14" s="45" t="str">
        <f t="shared" si="11"/>
        <v>Mar-21A</v>
      </c>
      <c r="N14" s="45" t="str">
        <f t="shared" si="11"/>
        <v>Apr-21A</v>
      </c>
      <c r="O14" s="45" t="str">
        <f t="shared" si="11"/>
        <v>May-21A</v>
      </c>
      <c r="P14" s="46" t="str">
        <f t="shared" si="11"/>
        <v>Jun-21A</v>
      </c>
      <c r="Q14" s="45" t="str">
        <f t="shared" si="11"/>
        <v>Jul-21F</v>
      </c>
      <c r="R14" s="45" t="str">
        <f t="shared" si="11"/>
        <v>Aug-21F</v>
      </c>
      <c r="S14" s="45" t="str">
        <f t="shared" si="11"/>
        <v>Sep-21F</v>
      </c>
      <c r="T14" s="45" t="str">
        <f t="shared" si="11"/>
        <v>Oct-21F</v>
      </c>
      <c r="U14" s="45" t="str">
        <f t="shared" si="11"/>
        <v>Nov-21F</v>
      </c>
      <c r="V14" s="45" t="str">
        <f t="shared" si="11"/>
        <v>Dec-21F</v>
      </c>
      <c r="W14" s="45" t="str">
        <f t="shared" si="11"/>
        <v>Jan-22F</v>
      </c>
      <c r="X14" s="45" t="str">
        <f t="shared" si="11"/>
        <v>Feb-22F</v>
      </c>
      <c r="Y14" s="45" t="str">
        <f t="shared" si="11"/>
        <v>Mar-22F</v>
      </c>
      <c r="Z14" s="45" t="str">
        <f t="shared" si="11"/>
        <v>Apr-22F</v>
      </c>
      <c r="AA14" s="45" t="str">
        <f t="shared" si="11"/>
        <v>May-22F</v>
      </c>
      <c r="AB14" s="45" t="str">
        <f t="shared" si="11"/>
        <v>Jun-22F</v>
      </c>
      <c r="AC14" s="45" t="str">
        <f t="shared" si="11"/>
        <v>Jul-22F</v>
      </c>
      <c r="AD14" s="45" t="str">
        <f t="shared" si="11"/>
        <v>Aug-22F</v>
      </c>
      <c r="AE14" s="45" t="str">
        <f t="shared" si="11"/>
        <v>Sep-22F</v>
      </c>
      <c r="AF14" s="45" t="str">
        <f t="shared" si="11"/>
        <v>Oct-22F</v>
      </c>
      <c r="AG14" s="45" t="str">
        <f t="shared" si="11"/>
        <v>Nov-22F</v>
      </c>
      <c r="AH14" s="45" t="str">
        <f t="shared" si="11"/>
        <v>Dec-22F</v>
      </c>
      <c r="AJ14" s="45" t="str">
        <f ca="1">AJ$10</f>
        <v>Q3'20A</v>
      </c>
      <c r="AK14" s="45" t="str">
        <f t="shared" ref="AK14:AW14" ca="1" si="12">AK$10</f>
        <v>Q4'20A</v>
      </c>
      <c r="AL14" s="45" t="str">
        <f t="shared" ca="1" si="12"/>
        <v>Q1'21A</v>
      </c>
      <c r="AM14" s="46" t="str">
        <f t="shared" ca="1" si="12"/>
        <v>Q2'21A</v>
      </c>
      <c r="AN14" s="45" t="str">
        <f t="shared" ca="1" si="12"/>
        <v>Q3'21F</v>
      </c>
      <c r="AO14" s="45" t="str">
        <f t="shared" ca="1" si="12"/>
        <v>Q4'21F</v>
      </c>
      <c r="AP14" s="45" t="str">
        <f t="shared" ca="1" si="12"/>
        <v>Q1'22F</v>
      </c>
      <c r="AQ14" s="45" t="str">
        <f t="shared" ca="1" si="12"/>
        <v>Q2'22F</v>
      </c>
      <c r="AR14" s="45" t="str">
        <f t="shared" ca="1" si="12"/>
        <v>Q3'22F</v>
      </c>
      <c r="AS14" s="45" t="str">
        <f t="shared" ca="1" si="12"/>
        <v>Q4'22F</v>
      </c>
      <c r="AU14" s="45" t="str">
        <f t="shared" ca="1" si="12"/>
        <v>FY20</v>
      </c>
      <c r="AV14" s="45" t="str">
        <f t="shared" ca="1" si="12"/>
        <v>FY21</v>
      </c>
      <c r="AW14" s="45" t="str">
        <f t="shared" ca="1" si="12"/>
        <v>FY22</v>
      </c>
    </row>
    <row r="15" spans="3:49" x14ac:dyDescent="0.25">
      <c r="C15" s="1" t="s">
        <v>528</v>
      </c>
      <c r="D15" s="11"/>
      <c r="E15" s="270">
        <f>Balance_Sheet!E62</f>
        <v>75</v>
      </c>
      <c r="F15" s="270">
        <f>Balance_Sheet!F62</f>
        <v>75.416666666666671</v>
      </c>
      <c r="G15" s="270">
        <f>Balance_Sheet!G62</f>
        <v>78.833333333333343</v>
      </c>
      <c r="H15" s="270">
        <f>Balance_Sheet!H62</f>
        <v>82.250000000000014</v>
      </c>
      <c r="I15" s="270">
        <f>Balance_Sheet!I62</f>
        <v>85.6666666666667</v>
      </c>
      <c r="J15" s="270">
        <f>Balance_Sheet!J62</f>
        <v>80</v>
      </c>
      <c r="K15" s="270">
        <f>Balance_Sheet!K62</f>
        <v>92.500000000000028</v>
      </c>
      <c r="L15" s="270">
        <f>Balance_Sheet!L62</f>
        <v>95.9166666666667</v>
      </c>
      <c r="M15" s="270">
        <f>Balance_Sheet!M62</f>
        <v>99.333333333333371</v>
      </c>
      <c r="N15" s="270">
        <f>Balance_Sheet!N62</f>
        <v>92</v>
      </c>
      <c r="O15" s="270">
        <f>Balance_Sheet!O62</f>
        <v>106.16666666666671</v>
      </c>
      <c r="P15" s="271">
        <f>Balance_Sheet!P62</f>
        <v>113</v>
      </c>
      <c r="Q15" s="270">
        <f>Balance_Sheet!Q62</f>
        <v>99.819444444444471</v>
      </c>
      <c r="R15" s="270">
        <f>Balance_Sheet!R62</f>
        <v>101.03935185185186</v>
      </c>
      <c r="S15" s="270">
        <f>Balance_Sheet!S62</f>
        <v>101.89313271604941</v>
      </c>
      <c r="T15" s="270">
        <f>Balance_Sheet!T62</f>
        <v>102.31976594650207</v>
      </c>
      <c r="U15" s="270">
        <f>Balance_Sheet!U62</f>
        <v>104.03972693758577</v>
      </c>
      <c r="V15" s="270">
        <f>Balance_Sheet!V62</f>
        <v>103.68523698273894</v>
      </c>
      <c r="W15" s="270">
        <f>Balance_Sheet!W62</f>
        <v>102.13277647986207</v>
      </c>
      <c r="X15" s="270">
        <f>Balance_Sheet!X62</f>
        <v>102.51833181909835</v>
      </c>
      <c r="Y15" s="270">
        <f>Balance_Sheet!Y62</f>
        <v>102.76482848030611</v>
      </c>
      <c r="Z15" s="270">
        <f>Balance_Sheet!Z62</f>
        <v>102.91011110768223</v>
      </c>
      <c r="AA15" s="270">
        <f>Balance_Sheet!AA62</f>
        <v>103.00850196787893</v>
      </c>
      <c r="AB15" s="270">
        <f>Balance_Sheet!AB62</f>
        <v>102.83663113959445</v>
      </c>
      <c r="AC15" s="270">
        <f>Balance_Sheet!AC62</f>
        <v>102.69519683240368</v>
      </c>
      <c r="AD15" s="270">
        <f>Balance_Sheet!AD62</f>
        <v>102.78893355782729</v>
      </c>
      <c r="AE15" s="270">
        <f>Balance_Sheet!AE62</f>
        <v>102.83403384761544</v>
      </c>
      <c r="AF15" s="270">
        <f>Balance_Sheet!AF62</f>
        <v>102.84556807550034</v>
      </c>
      <c r="AG15" s="270">
        <f>Balance_Sheet!AG62</f>
        <v>102.83481090347</v>
      </c>
      <c r="AH15" s="270">
        <f>Balance_Sheet!AH62</f>
        <v>102.80586239273521</v>
      </c>
      <c r="AJ15" s="270">
        <f t="shared" ref="AJ15:AS15" ca="1" si="13">AJ75/(AJ55/90)</f>
        <v>58.687442788783088</v>
      </c>
      <c r="AK15" s="270">
        <f t="shared" ca="1" si="13"/>
        <v>79.703878780212918</v>
      </c>
      <c r="AL15" s="270">
        <f t="shared" ca="1" si="13"/>
        <v>78.519774605590428</v>
      </c>
      <c r="AM15" s="363">
        <f t="shared" ca="1" si="13"/>
        <v>94.641974765414062</v>
      </c>
      <c r="AN15" s="270">
        <f t="shared" ca="1" si="13"/>
        <v>88.055236993981595</v>
      </c>
      <c r="AO15" s="270">
        <f t="shared" ca="1" si="13"/>
        <v>119.22473215504425</v>
      </c>
      <c r="AP15" s="270">
        <f t="shared" ca="1" si="13"/>
        <v>92.771067916511996</v>
      </c>
      <c r="AQ15" s="270">
        <f t="shared" ca="1" si="13"/>
        <v>102.2611274400776</v>
      </c>
      <c r="AR15" s="270">
        <f t="shared" ca="1" si="13"/>
        <v>88.879008979314236</v>
      </c>
      <c r="AS15" s="270">
        <f t="shared" ca="1" si="13"/>
        <v>118.20565589303953</v>
      </c>
      <c r="AU15" s="270">
        <f ca="1">AU75/(AU55/180)</f>
        <v>81.874708410791229</v>
      </c>
      <c r="AV15" s="270">
        <f ca="1">AV75/(AV55/365)</f>
        <v>118.3630571075998</v>
      </c>
      <c r="AW15" s="270">
        <f ca="1">AW75/(AW55/365)</f>
        <v>117.39259643280367</v>
      </c>
    </row>
    <row r="16" spans="3:49" x14ac:dyDescent="0.25">
      <c r="C16" s="1" t="s">
        <v>203</v>
      </c>
      <c r="D16" s="11"/>
      <c r="E16" s="270">
        <f>Balance_Sheet!E81</f>
        <v>219.69005251830225</v>
      </c>
      <c r="F16" s="270">
        <f>Balance_Sheet!F81</f>
        <v>224.51745012430541</v>
      </c>
      <c r="G16" s="270">
        <f>Balance_Sheet!G81</f>
        <v>222.35851209561423</v>
      </c>
      <c r="H16" s="270">
        <f>Balance_Sheet!H81</f>
        <v>219.33216947072049</v>
      </c>
      <c r="I16" s="270">
        <f>Balance_Sheet!I81</f>
        <v>212.35858302575303</v>
      </c>
      <c r="J16" s="270">
        <f>Balance_Sheet!J81</f>
        <v>202.83777941764993</v>
      </c>
      <c r="K16" s="270">
        <f>Balance_Sheet!K81</f>
        <v>200.51640045183092</v>
      </c>
      <c r="L16" s="270">
        <f>Balance_Sheet!L81</f>
        <v>209.47446583309662</v>
      </c>
      <c r="M16" s="270">
        <f>Balance_Sheet!M81</f>
        <v>211.82200712919368</v>
      </c>
      <c r="N16" s="270">
        <f>Balance_Sheet!N81</f>
        <v>176.06682450344741</v>
      </c>
      <c r="O16" s="270">
        <f>Balance_Sheet!O81</f>
        <v>193.12429918452082</v>
      </c>
      <c r="P16" s="271">
        <f>Balance_Sheet!P81</f>
        <v>210.16474622685971</v>
      </c>
      <c r="Q16" s="270">
        <f>Balance_Sheet!Q81</f>
        <v>219.69005251830225</v>
      </c>
      <c r="R16" s="270">
        <f>Balance_Sheet!R81</f>
        <v>224.51745012430541</v>
      </c>
      <c r="S16" s="270">
        <f>Balance_Sheet!S81</f>
        <v>222.35851209561423</v>
      </c>
      <c r="T16" s="270">
        <f>Balance_Sheet!T81</f>
        <v>219.33216947072049</v>
      </c>
      <c r="U16" s="270">
        <f>Balance_Sheet!U81</f>
        <v>212.35858302575303</v>
      </c>
      <c r="V16" s="270">
        <f>Balance_Sheet!V81</f>
        <v>202.83777941764993</v>
      </c>
      <c r="W16" s="270">
        <f>Balance_Sheet!W81</f>
        <v>200.51640045183092</v>
      </c>
      <c r="X16" s="270">
        <f>Balance_Sheet!X81</f>
        <v>209.47446583309662</v>
      </c>
      <c r="Y16" s="270">
        <f>Balance_Sheet!Y81</f>
        <v>211.82200712919368</v>
      </c>
      <c r="Z16" s="270">
        <f>Balance_Sheet!Z81</f>
        <v>176.06682450344741</v>
      </c>
      <c r="AA16" s="270">
        <f>Balance_Sheet!AA81</f>
        <v>193.12429918452082</v>
      </c>
      <c r="AB16" s="270">
        <f>Balance_Sheet!AB81</f>
        <v>210.16474622685971</v>
      </c>
      <c r="AC16" s="270">
        <f>Balance_Sheet!AC81</f>
        <v>219.69005251830225</v>
      </c>
      <c r="AD16" s="270">
        <f>Balance_Sheet!AD81</f>
        <v>224.51745012430541</v>
      </c>
      <c r="AE16" s="270">
        <f>Balance_Sheet!AE81</f>
        <v>222.35851209561423</v>
      </c>
      <c r="AF16" s="270">
        <f>Balance_Sheet!AF81</f>
        <v>219.33216947072049</v>
      </c>
      <c r="AG16" s="270">
        <f>Balance_Sheet!AG81</f>
        <v>212.35858302575303</v>
      </c>
      <c r="AH16" s="270">
        <f>Balance_Sheet!AH81</f>
        <v>202.83777941764993</v>
      </c>
      <c r="AJ16" s="270">
        <f ca="1">AJ76/(AJ56/90)</f>
        <v>198.90216828567335</v>
      </c>
      <c r="AK16" s="270">
        <f t="shared" ref="AK16:AS16" ca="1" si="14">AK76/(AK56/90)</f>
        <v>230.00220088816511</v>
      </c>
      <c r="AL16" s="270">
        <f t="shared" ca="1" si="14"/>
        <v>195.11766127538635</v>
      </c>
      <c r="AM16" s="271">
        <f t="shared" ca="1" si="14"/>
        <v>216.03184075243806</v>
      </c>
      <c r="AN16" s="270">
        <f t="shared" ca="1" si="14"/>
        <v>199.51576863739049</v>
      </c>
      <c r="AO16" s="270">
        <f t="shared" ca="1" si="14"/>
        <v>236.73033546294593</v>
      </c>
      <c r="AP16" s="270">
        <f t="shared" ca="1" si="14"/>
        <v>197.04332557892164</v>
      </c>
      <c r="AQ16" s="270">
        <f t="shared" ca="1" si="14"/>
        <v>213.9985272894985</v>
      </c>
      <c r="AR16" s="270">
        <f t="shared" ca="1" si="14"/>
        <v>199.42191961868454</v>
      </c>
      <c r="AS16" s="270">
        <f t="shared" ca="1" si="14"/>
        <v>236.89119050566268</v>
      </c>
      <c r="AU16" s="270">
        <f ca="1">AU76/(AU56/180)</f>
        <v>225.47558446503223</v>
      </c>
      <c r="AV16" s="270">
        <f ca="1">AV76/(AV56/365)</f>
        <v>227.29056503614154</v>
      </c>
      <c r="AW16" s="270">
        <f ca="1">AW76/(AW56/365)</f>
        <v>227.28807272454139</v>
      </c>
    </row>
    <row r="17" spans="3:49" x14ac:dyDescent="0.25">
      <c r="C17" s="23" t="s">
        <v>529</v>
      </c>
      <c r="D17" s="139"/>
      <c r="E17" s="277">
        <f>Balance_Sheet!E138</f>
        <v>221</v>
      </c>
      <c r="F17" s="277">
        <f>Balance_Sheet!F138</f>
        <v>265.20767839990975</v>
      </c>
      <c r="G17" s="277">
        <f>Balance_Sheet!G138</f>
        <v>265.00239845057348</v>
      </c>
      <c r="H17" s="277">
        <f>Balance_Sheet!H138</f>
        <v>133.54400453069135</v>
      </c>
      <c r="I17" s="277">
        <f>Balance_Sheet!I138</f>
        <v>169.5841905766321</v>
      </c>
      <c r="J17" s="277">
        <f>Balance_Sheet!J138</f>
        <v>86.67844850362836</v>
      </c>
      <c r="K17" s="277">
        <f>Balance_Sheet!K138</f>
        <v>125</v>
      </c>
      <c r="L17" s="277">
        <f>Balance_Sheet!L138</f>
        <v>198</v>
      </c>
      <c r="M17" s="277">
        <f>Balance_Sheet!M138</f>
        <v>177.29113156646389</v>
      </c>
      <c r="N17" s="277">
        <f>Balance_Sheet!N138</f>
        <v>100.75946377058357</v>
      </c>
      <c r="O17" s="277">
        <f>Balance_Sheet!O138</f>
        <v>120</v>
      </c>
      <c r="P17" s="278">
        <f>Balance_Sheet!P138</f>
        <v>104</v>
      </c>
      <c r="Q17" s="277">
        <f>Balance_Sheet!Q138</f>
        <v>221</v>
      </c>
      <c r="R17" s="277">
        <f>Balance_Sheet!R138</f>
        <v>265.20767839990975</v>
      </c>
      <c r="S17" s="277">
        <f>Balance_Sheet!S138</f>
        <v>265.00239845057348</v>
      </c>
      <c r="T17" s="277">
        <f>Balance_Sheet!T138</f>
        <v>133.54400453069135</v>
      </c>
      <c r="U17" s="277">
        <f>Balance_Sheet!U138</f>
        <v>169.5841905766321</v>
      </c>
      <c r="V17" s="277">
        <f>Balance_Sheet!V138</f>
        <v>86.67844850362836</v>
      </c>
      <c r="W17" s="277">
        <f>Balance_Sheet!W138</f>
        <v>125</v>
      </c>
      <c r="X17" s="277">
        <f>Balance_Sheet!X138</f>
        <v>198</v>
      </c>
      <c r="Y17" s="277">
        <f>Balance_Sheet!Y138</f>
        <v>177.29113156646389</v>
      </c>
      <c r="Z17" s="277">
        <f>Balance_Sheet!Z138</f>
        <v>100.75946377058357</v>
      </c>
      <c r="AA17" s="277">
        <f>Balance_Sheet!AA138</f>
        <v>120</v>
      </c>
      <c r="AB17" s="277">
        <f>Balance_Sheet!AB138</f>
        <v>104</v>
      </c>
      <c r="AC17" s="277">
        <f>Balance_Sheet!AC138</f>
        <v>221</v>
      </c>
      <c r="AD17" s="277">
        <f>Balance_Sheet!AD138</f>
        <v>265.20767839990975</v>
      </c>
      <c r="AE17" s="277">
        <f>Balance_Sheet!AE138</f>
        <v>265.00239845057348</v>
      </c>
      <c r="AF17" s="277">
        <f>Balance_Sheet!AF138</f>
        <v>133.54400453069135</v>
      </c>
      <c r="AG17" s="277">
        <f>Balance_Sheet!AG138</f>
        <v>169.5841905766321</v>
      </c>
      <c r="AH17" s="277">
        <f>Balance_Sheet!AH138</f>
        <v>86.67844850362836</v>
      </c>
      <c r="AJ17" s="277">
        <f ca="1">AJ77/(AJ68/90)</f>
        <v>180.53445490405133</v>
      </c>
      <c r="AK17" s="277">
        <f t="shared" ref="AK17:AS17" ca="1" si="15">AK77/(AK68/90)</f>
        <v>115.0943307285561</v>
      </c>
      <c r="AL17" s="277">
        <f t="shared" ca="1" si="15"/>
        <v>140.31310883790974</v>
      </c>
      <c r="AM17" s="278">
        <f t="shared" ca="1" si="15"/>
        <v>129.89913968129412</v>
      </c>
      <c r="AN17" s="277">
        <f t="shared" ca="1" si="15"/>
        <v>212.31456530587994</v>
      </c>
      <c r="AO17" s="277">
        <f t="shared" ca="1" si="15"/>
        <v>147.19016844186288</v>
      </c>
      <c r="AP17" s="277">
        <f t="shared" ca="1" si="15"/>
        <v>126.96416828374265</v>
      </c>
      <c r="AQ17" s="277">
        <f t="shared" ca="1" si="15"/>
        <v>148.61635545038718</v>
      </c>
      <c r="AR17" s="277">
        <f t="shared" ca="1" si="15"/>
        <v>211.99061949270853</v>
      </c>
      <c r="AS17" s="277">
        <f t="shared" ca="1" si="15"/>
        <v>194.79107068797816</v>
      </c>
      <c r="AU17" s="277">
        <f ca="1">AU77/(AU68/180)</f>
        <v>159.21759155572576</v>
      </c>
      <c r="AV17" s="277">
        <f ca="1">AV77/(AV68/365)</f>
        <v>171.8214267078414</v>
      </c>
      <c r="AW17" s="277">
        <f ca="1">AW77/(AW68/365)</f>
        <v>183.12316763784989</v>
      </c>
    </row>
    <row r="18" spans="3:49" x14ac:dyDescent="0.25">
      <c r="C18" s="1" t="s">
        <v>545</v>
      </c>
      <c r="D18" s="11"/>
      <c r="E18" s="272">
        <f>E15+E16-E17</f>
        <v>73.690052518302252</v>
      </c>
      <c r="F18" s="272">
        <f t="shared" ref="F18:AH18" si="16">F15+F16-F17</f>
        <v>34.726438391062345</v>
      </c>
      <c r="G18" s="272">
        <f t="shared" si="16"/>
        <v>36.189446978374065</v>
      </c>
      <c r="H18" s="272">
        <f t="shared" si="16"/>
        <v>168.03816494002913</v>
      </c>
      <c r="I18" s="272">
        <f t="shared" si="16"/>
        <v>128.44105911578762</v>
      </c>
      <c r="J18" s="272">
        <f t="shared" si="16"/>
        <v>196.15933091402155</v>
      </c>
      <c r="K18" s="272">
        <f t="shared" si="16"/>
        <v>168.01640045183092</v>
      </c>
      <c r="L18" s="272">
        <f t="shared" si="16"/>
        <v>107.39113249976333</v>
      </c>
      <c r="M18" s="272">
        <f t="shared" si="16"/>
        <v>133.86420889606319</v>
      </c>
      <c r="N18" s="272">
        <f t="shared" si="16"/>
        <v>167.3073607328638</v>
      </c>
      <c r="O18" s="272">
        <f t="shared" si="16"/>
        <v>179.29096585118754</v>
      </c>
      <c r="P18" s="273">
        <f t="shared" si="16"/>
        <v>219.16474622685973</v>
      </c>
      <c r="Q18" s="272">
        <f t="shared" si="16"/>
        <v>98.509496962746709</v>
      </c>
      <c r="R18" s="272">
        <f t="shared" si="16"/>
        <v>60.349123576247507</v>
      </c>
      <c r="S18" s="272">
        <f t="shared" si="16"/>
        <v>59.249246361090172</v>
      </c>
      <c r="T18" s="272">
        <f t="shared" si="16"/>
        <v>188.10793088653119</v>
      </c>
      <c r="U18" s="272">
        <f t="shared" si="16"/>
        <v>146.81411938670672</v>
      </c>
      <c r="V18" s="272">
        <f t="shared" si="16"/>
        <v>219.84456789676051</v>
      </c>
      <c r="W18" s="272">
        <f t="shared" si="16"/>
        <v>177.64917693169298</v>
      </c>
      <c r="X18" s="272">
        <f t="shared" si="16"/>
        <v>113.99279765219495</v>
      </c>
      <c r="Y18" s="272">
        <f t="shared" si="16"/>
        <v>137.29570404303587</v>
      </c>
      <c r="Z18" s="272">
        <f t="shared" si="16"/>
        <v>178.21747184054607</v>
      </c>
      <c r="AA18" s="272">
        <f t="shared" si="16"/>
        <v>176.13280115239974</v>
      </c>
      <c r="AB18" s="272">
        <f t="shared" si="16"/>
        <v>209.00137736645416</v>
      </c>
      <c r="AC18" s="272">
        <f t="shared" si="16"/>
        <v>101.38524935070592</v>
      </c>
      <c r="AD18" s="272">
        <f t="shared" si="16"/>
        <v>62.098705282222966</v>
      </c>
      <c r="AE18" s="272">
        <f t="shared" si="16"/>
        <v>60.190147492656195</v>
      </c>
      <c r="AF18" s="272">
        <f t="shared" si="16"/>
        <v>188.63373301552949</v>
      </c>
      <c r="AG18" s="272">
        <f t="shared" si="16"/>
        <v>145.60920335259092</v>
      </c>
      <c r="AH18" s="272">
        <f t="shared" si="16"/>
        <v>218.96519330675676</v>
      </c>
      <c r="AJ18" s="272">
        <f t="shared" ref="AJ18:AW18" ca="1" si="17">AJ15+AJ16-AJ17</f>
        <v>77.055156170405127</v>
      </c>
      <c r="AK18" s="272">
        <f t="shared" ca="1" si="17"/>
        <v>194.61174893982195</v>
      </c>
      <c r="AL18" s="272">
        <f t="shared" ca="1" si="17"/>
        <v>133.32432704306706</v>
      </c>
      <c r="AM18" s="273">
        <f t="shared" ca="1" si="17"/>
        <v>180.774675836558</v>
      </c>
      <c r="AN18" s="272">
        <f t="shared" ca="1" si="17"/>
        <v>75.25644032549215</v>
      </c>
      <c r="AO18" s="272">
        <f t="shared" ca="1" si="17"/>
        <v>208.76489917612727</v>
      </c>
      <c r="AP18" s="272">
        <f t="shared" ca="1" si="17"/>
        <v>162.850225211691</v>
      </c>
      <c r="AQ18" s="272">
        <f t="shared" ca="1" si="17"/>
        <v>167.64329927918891</v>
      </c>
      <c r="AR18" s="272">
        <f t="shared" ca="1" si="17"/>
        <v>76.310309105290258</v>
      </c>
      <c r="AS18" s="272">
        <f t="shared" ca="1" si="17"/>
        <v>160.30577571072405</v>
      </c>
      <c r="AU18" s="272">
        <f t="shared" ca="1" si="17"/>
        <v>148.13270132009771</v>
      </c>
      <c r="AV18" s="272">
        <f t="shared" ca="1" si="17"/>
        <v>173.83219543589996</v>
      </c>
      <c r="AW18" s="272">
        <f t="shared" ca="1" si="17"/>
        <v>161.55750151949516</v>
      </c>
    </row>
    <row r="19" spans="3:49" x14ac:dyDescent="0.25">
      <c r="C19" s="203" t="s">
        <v>527</v>
      </c>
      <c r="D19" s="11"/>
      <c r="P19" s="8"/>
      <c r="AM19" s="8"/>
    </row>
    <row r="20" spans="3:49" x14ac:dyDescent="0.25">
      <c r="C20" s="1" t="s">
        <v>522</v>
      </c>
      <c r="D20" s="1"/>
      <c r="E20" s="282">
        <f>Ratios!E55*12/AVERAGE(D79:E79)</f>
        <v>0.72616243273757342</v>
      </c>
      <c r="F20" s="282">
        <f>Ratios!F55*12/AVERAGE(E79:F79)</f>
        <v>0.59500912780746673</v>
      </c>
      <c r="G20" s="282">
        <f>Ratios!G55*12/AVERAGE(F79:G79)</f>
        <v>0.59783245052859335</v>
      </c>
      <c r="H20" s="282">
        <f>Ratios!H55*12/AVERAGE(G79:H79)</f>
        <v>0.62266356520919475</v>
      </c>
      <c r="I20" s="282">
        <f>Ratios!I55*12/AVERAGE(H79:I79)</f>
        <v>0.61103125771632061</v>
      </c>
      <c r="J20" s="282">
        <f>Ratios!J55*12/AVERAGE(I79:J79)</f>
        <v>0.8423768781646902</v>
      </c>
      <c r="K20" s="282">
        <f>Ratios!K55*12/AVERAGE(J79:K79)</f>
        <v>0.71152200281850841</v>
      </c>
      <c r="L20" s="282">
        <f>Ratios!L55*12/AVERAGE(K79:L79)</f>
        <v>0.62521357321488447</v>
      </c>
      <c r="M20" s="282">
        <f>Ratios!M55*12/AVERAGE(L79:M79)</f>
        <v>0.6308344008429706</v>
      </c>
      <c r="N20" s="282">
        <f>Ratios!N55*12/AVERAGE(M79:N79)</f>
        <v>0.85317537883730676</v>
      </c>
      <c r="O20" s="282">
        <f>Ratios!O55*12/AVERAGE(N79:O79)</f>
        <v>0.82188517445578491</v>
      </c>
      <c r="P20" s="283">
        <f>Ratios!P55*12/AVERAGE(O79:P79)</f>
        <v>0.8405524618395076</v>
      </c>
      <c r="Q20" s="284">
        <f>Ratios!Q55*12/AVERAGE(P79:Q79)</f>
        <v>0.7552429791064631</v>
      </c>
      <c r="R20" s="284">
        <f>Ratios!R55*12/AVERAGE(Q79:R79)</f>
        <v>0.63803316247357156</v>
      </c>
      <c r="S20" s="284">
        <f>Ratios!S55*12/AVERAGE(R79:S79)</f>
        <v>0.63336432241968177</v>
      </c>
      <c r="T20" s="284">
        <f>Ratios!T55*12/AVERAGE(S79:T79)</f>
        <v>0.65137590881932805</v>
      </c>
      <c r="U20" s="284">
        <f>Ratios!U55*12/AVERAGE(T79:U79)</f>
        <v>0.66810734506069991</v>
      </c>
      <c r="V20" s="284">
        <f>Ratios!V55*12/AVERAGE(U79:V79)</f>
        <v>0.85305360500611005</v>
      </c>
      <c r="W20" s="284">
        <f>Ratios!W55*12/AVERAGE(V79:W79)</f>
        <v>0.73302215474678489</v>
      </c>
      <c r="X20" s="284">
        <f>Ratios!X55*12/AVERAGE(W79:X79)</f>
        <v>0.63877218458140794</v>
      </c>
      <c r="Y20" s="284">
        <f>Ratios!Y55*12/AVERAGE(X79:Y79)</f>
        <v>0.62886771639746375</v>
      </c>
      <c r="Z20" s="284">
        <f>Ratios!Z55*12/AVERAGE(Y79:Z79)</f>
        <v>0.87978447303555951</v>
      </c>
      <c r="AA20" s="284">
        <f>Ratios!AA55*12/AVERAGE(Z79:AA79)</f>
        <v>0.81424932952361351</v>
      </c>
      <c r="AB20" s="284">
        <f>Ratios!AB55*12/AVERAGE(AA79:AB79)</f>
        <v>0.86441118247572457</v>
      </c>
      <c r="AC20" s="284">
        <f>Ratios!AC55*12/AVERAGE(AB79:AC79)</f>
        <v>0.76029179216925402</v>
      </c>
      <c r="AD20" s="284">
        <f>Ratios!AD55*12/AVERAGE(AC79:AD79)</f>
        <v>0.64219395570075644</v>
      </c>
      <c r="AE20" s="284">
        <f>Ratios!AE55*12/AVERAGE(AD79:AE79)</f>
        <v>0.63696457774107973</v>
      </c>
      <c r="AF20" s="284">
        <f>Ratios!AF55*12/AVERAGE(AE79:AF79)</f>
        <v>0.65450983474978164</v>
      </c>
      <c r="AG20" s="284">
        <f>Ratios!AG55*12/AVERAGE(AF79:AG79)</f>
        <v>0.67085108934052196</v>
      </c>
      <c r="AH20" s="284">
        <f>Ratios!AH55*12/AVERAGE(AG79:AH79)</f>
        <v>0.85609433554381964</v>
      </c>
      <c r="AJ20" s="284">
        <f ca="1">(AJ55*4)/AVERAGE(AI79:AJ79)</f>
        <v>0.67083709118035695</v>
      </c>
      <c r="AK20" s="284">
        <f t="shared" ref="AK20:AS20" ca="1" si="18">(AK55*4)/AVERAGE(AJ79:AK79)</f>
        <v>0.70569594527180146</v>
      </c>
      <c r="AL20" s="284">
        <f t="shared" ca="1" si="18"/>
        <v>0.6563985430167516</v>
      </c>
      <c r="AM20" s="283">
        <f t="shared" ca="1" si="18"/>
        <v>0.83434846741941182</v>
      </c>
      <c r="AN20" s="284">
        <f t="shared" ca="1" si="18"/>
        <v>0.67880300653542203</v>
      </c>
      <c r="AO20" s="284">
        <f t="shared" ca="1" si="18"/>
        <v>0.70891921663096003</v>
      </c>
      <c r="AP20" s="284">
        <f t="shared" ca="1" si="18"/>
        <v>0.66036455354913426</v>
      </c>
      <c r="AQ20" s="284">
        <f t="shared" ca="1" si="18"/>
        <v>0.84612705746895855</v>
      </c>
      <c r="AR20" s="284">
        <f t="shared" ca="1" si="18"/>
        <v>0.68287678387382389</v>
      </c>
      <c r="AS20" s="284">
        <f t="shared" ca="1" si="18"/>
        <v>0.71201375987003213</v>
      </c>
      <c r="AU20" s="284">
        <f ca="1">(AU55*2)/AVERAGE(AT79:AU79)</f>
        <v>0.68437053618677324</v>
      </c>
      <c r="AV20" s="284">
        <f ca="1">(AV55)/AVERAGE(AU79:AV79)</f>
        <v>0.72300372757786247</v>
      </c>
      <c r="AW20" s="284">
        <f ca="1">(AW55)/AVERAGE(AV79:AW79)</f>
        <v>0.7234180689699844</v>
      </c>
    </row>
    <row r="21" spans="3:49" x14ac:dyDescent="0.25">
      <c r="C21" s="1" t="s">
        <v>523</v>
      </c>
      <c r="D21" s="1"/>
      <c r="E21" s="282">
        <f>E79/(E55*12)</f>
        <v>1.3633793396511171</v>
      </c>
      <c r="F21" s="282">
        <f t="shared" ref="F21:AH21" si="19">F79/(F55*12)</f>
        <v>1.653993725705168</v>
      </c>
      <c r="G21" s="282">
        <f t="shared" si="19"/>
        <v>1.6464498123602007</v>
      </c>
      <c r="H21" s="282">
        <f t="shared" si="19"/>
        <v>1.6036665845467302</v>
      </c>
      <c r="I21" s="282">
        <f t="shared" si="19"/>
        <v>1.6909586112721817</v>
      </c>
      <c r="J21" s="282">
        <f t="shared" si="19"/>
        <v>1.1539278381517244</v>
      </c>
      <c r="K21" s="282">
        <f t="shared" si="19"/>
        <v>1.4220520027067625</v>
      </c>
      <c r="L21" s="282">
        <f t="shared" si="19"/>
        <v>1.5690343924533279</v>
      </c>
      <c r="M21" s="282">
        <f t="shared" si="19"/>
        <v>1.6029691434113893</v>
      </c>
      <c r="N21" s="282">
        <f t="shared" si="19"/>
        <v>1.1755556090854806</v>
      </c>
      <c r="O21" s="282">
        <f t="shared" si="19"/>
        <v>1.2442877214924422</v>
      </c>
      <c r="P21" s="283">
        <f t="shared" si="19"/>
        <v>1.2014940703020089</v>
      </c>
      <c r="Q21" s="284">
        <f t="shared" si="19"/>
        <v>1.3221641435085605</v>
      </c>
      <c r="R21" s="284">
        <f t="shared" si="19"/>
        <v>1.5141911843302198</v>
      </c>
      <c r="S21" s="284">
        <f t="shared" si="19"/>
        <v>1.5700219871468415</v>
      </c>
      <c r="T21" s="284">
        <f t="shared" si="19"/>
        <v>1.5288711186367794</v>
      </c>
      <c r="U21" s="284">
        <f t="shared" si="19"/>
        <v>1.4953567177772136</v>
      </c>
      <c r="V21" s="284">
        <f t="shared" si="19"/>
        <v>1.2075214605941156</v>
      </c>
      <c r="W21" s="284">
        <f t="shared" si="19"/>
        <v>1.3520994850046577</v>
      </c>
      <c r="X21" s="284">
        <f t="shared" si="19"/>
        <v>1.5591518755157832</v>
      </c>
      <c r="Y21" s="284">
        <f t="shared" si="19"/>
        <v>1.6004383688023103</v>
      </c>
      <c r="Z21" s="284">
        <f t="shared" si="19"/>
        <v>1.1556214633492972</v>
      </c>
      <c r="AA21" s="284">
        <f t="shared" si="19"/>
        <v>1.2247998600432457</v>
      </c>
      <c r="AB21" s="284">
        <f t="shared" si="19"/>
        <v>1.1888090369294049</v>
      </c>
      <c r="AC21" s="284">
        <f t="shared" si="19"/>
        <v>1.3134158753783116</v>
      </c>
      <c r="AD21" s="284">
        <f t="shared" si="19"/>
        <v>1.5049678068201024</v>
      </c>
      <c r="AE21" s="284">
        <f t="shared" si="19"/>
        <v>1.5619186549462123</v>
      </c>
      <c r="AF21" s="284">
        <f t="shared" si="19"/>
        <v>1.5223658546544936</v>
      </c>
      <c r="AG21" s="284">
        <f t="shared" si="19"/>
        <v>1.4895615314089747</v>
      </c>
      <c r="AH21" s="284">
        <f t="shared" si="19"/>
        <v>1.2034466873371172</v>
      </c>
      <c r="AJ21" s="284">
        <f ca="1">AVERAGE(AI79:AJ79)/(AJ55*4)</f>
        <v>1.4906748794114404</v>
      </c>
      <c r="AK21" s="284">
        <f t="shared" ref="AK21:AS21" ca="1" si="20">AVERAGE(AJ79:AK79)/(AK55*4)</f>
        <v>1.4170408753232189</v>
      </c>
      <c r="AL21" s="284">
        <f t="shared" ca="1" si="20"/>
        <v>1.5234646856528438</v>
      </c>
      <c r="AM21" s="283">
        <f t="shared" ca="1" si="20"/>
        <v>1.1985399854486918</v>
      </c>
      <c r="AN21" s="284">
        <f t="shared" ca="1" si="20"/>
        <v>1.473181453782817</v>
      </c>
      <c r="AO21" s="284">
        <f t="shared" ca="1" si="20"/>
        <v>1.410597958893484</v>
      </c>
      <c r="AP21" s="284">
        <f t="shared" ca="1" si="20"/>
        <v>1.5143150773697536</v>
      </c>
      <c r="AQ21" s="284">
        <f t="shared" ca="1" si="20"/>
        <v>1.1818555986039798</v>
      </c>
      <c r="AR21" s="284">
        <f t="shared" ca="1" si="20"/>
        <v>1.4643930261140219</v>
      </c>
      <c r="AS21" s="284">
        <f t="shared" ca="1" si="20"/>
        <v>1.4044672397658939</v>
      </c>
      <c r="AU21" s="284">
        <f ca="1">(AU79)/(AU55*2)</f>
        <v>1.4611967452191537</v>
      </c>
      <c r="AV21" s="284">
        <f t="shared" ref="AV21:AW21" ca="1" si="21">(AV79)/(AV55)</f>
        <v>1.4157679465599293</v>
      </c>
      <c r="AW21" s="284">
        <f t="shared" ca="1" si="21"/>
        <v>1.4113920018558519</v>
      </c>
    </row>
    <row r="22" spans="3:49" x14ac:dyDescent="0.25">
      <c r="C22" s="1" t="s">
        <v>524</v>
      </c>
      <c r="D22" s="1"/>
      <c r="E22" s="282">
        <f>E55*12/AVERAGE(D80:E80)</f>
        <v>1.2678885094334755</v>
      </c>
      <c r="F22" s="282">
        <f t="shared" ref="F22:AH22" si="22">F55*12/AVERAGE(E80:F80)</f>
        <v>1.0164915610328233</v>
      </c>
      <c r="G22" s="282">
        <f t="shared" si="22"/>
        <v>0.99351540490212309</v>
      </c>
      <c r="H22" s="282">
        <f t="shared" si="22"/>
        <v>1.0211142215867852</v>
      </c>
      <c r="I22" s="282">
        <f t="shared" si="22"/>
        <v>1.0391165254271264</v>
      </c>
      <c r="J22" s="282">
        <f t="shared" si="22"/>
        <v>1.4456779215957249</v>
      </c>
      <c r="K22" s="282">
        <f t="shared" si="22"/>
        <v>1.2060165371744764</v>
      </c>
      <c r="L22" s="282">
        <f t="shared" si="22"/>
        <v>1.0565070935134773</v>
      </c>
      <c r="M22" s="282">
        <f t="shared" si="22"/>
        <v>1.0618906179220715</v>
      </c>
      <c r="N22" s="282">
        <f t="shared" si="22"/>
        <v>1.4625145201800207</v>
      </c>
      <c r="O22" s="282">
        <f t="shared" si="22"/>
        <v>1.4517387220165263</v>
      </c>
      <c r="P22" s="283">
        <f t="shared" si="22"/>
        <v>1.5398893003882828</v>
      </c>
      <c r="Q22" s="284">
        <f t="shared" si="22"/>
        <v>1.4010847312344739</v>
      </c>
      <c r="R22" s="284">
        <f t="shared" si="22"/>
        <v>1.1479349599513644</v>
      </c>
      <c r="S22" s="284">
        <f t="shared" si="22"/>
        <v>1.0993426864155449</v>
      </c>
      <c r="T22" s="284">
        <f t="shared" si="22"/>
        <v>1.1243372211308809</v>
      </c>
      <c r="U22" s="284">
        <f t="shared" si="22"/>
        <v>1.1522026440191573</v>
      </c>
      <c r="V22" s="284">
        <f t="shared" si="22"/>
        <v>1.5217584812081153</v>
      </c>
      <c r="W22" s="284">
        <f t="shared" si="22"/>
        <v>1.3407779513534543</v>
      </c>
      <c r="X22" s="284">
        <f t="shared" si="22"/>
        <v>1.1582439949365848</v>
      </c>
      <c r="Y22" s="284">
        <f t="shared" si="22"/>
        <v>1.1479396490400073</v>
      </c>
      <c r="Z22" s="284">
        <f t="shared" si="22"/>
        <v>1.6508595785435574</v>
      </c>
      <c r="AA22" s="284">
        <f t="shared" si="22"/>
        <v>1.5558929786908708</v>
      </c>
      <c r="AB22" s="284">
        <f t="shared" si="22"/>
        <v>1.7014064726192588</v>
      </c>
      <c r="AC22" s="284">
        <f t="shared" si="22"/>
        <v>1.5423077315190161</v>
      </c>
      <c r="AD22" s="284">
        <f t="shared" si="22"/>
        <v>1.2642020581268165</v>
      </c>
      <c r="AE22" s="284">
        <f t="shared" si="22"/>
        <v>1.2110098938147604</v>
      </c>
      <c r="AF22" s="284">
        <f t="shared" si="22"/>
        <v>1.239010963197773</v>
      </c>
      <c r="AG22" s="284">
        <f t="shared" si="22"/>
        <v>1.2700640249888389</v>
      </c>
      <c r="AH22" s="284">
        <f t="shared" si="22"/>
        <v>1.6775719085959853</v>
      </c>
      <c r="AJ22" s="284">
        <f ca="1">AJ55*4/(AVERAGE(AI80:AJ80))</f>
        <v>1.099522108213554</v>
      </c>
      <c r="AK22" s="284">
        <f t="shared" ref="AK22:AS22" ca="1" si="23">AK55*4/(AVERAGE(AJ80:AK80))</f>
        <v>1.1680693149226526</v>
      </c>
      <c r="AL22" s="284">
        <f t="shared" ca="1" si="23"/>
        <v>1.1083328710054561</v>
      </c>
      <c r="AM22" s="283">
        <f t="shared" ca="1" si="23"/>
        <v>1.4846083201465605</v>
      </c>
      <c r="AN22" s="284">
        <f t="shared" ca="1" si="23"/>
        <v>1.2165387692225578</v>
      </c>
      <c r="AO22" s="284">
        <f t="shared" ca="1" si="23"/>
        <v>1.2655419862704798</v>
      </c>
      <c r="AP22" s="284">
        <f t="shared" ca="1" si="23"/>
        <v>1.2159278177160364</v>
      </c>
      <c r="AQ22" s="284">
        <f t="shared" ca="1" si="23"/>
        <v>1.6359802713113971</v>
      </c>
      <c r="AR22" s="284">
        <f t="shared" ca="1" si="23"/>
        <v>1.3396562318112515</v>
      </c>
      <c r="AS22" s="284">
        <f t="shared" ca="1" si="23"/>
        <v>1.3949010800842345</v>
      </c>
      <c r="AU22" s="284">
        <f ca="1">AU55*2/(AVERAGE(AT80:AU80))</f>
        <v>1.1439728900464614</v>
      </c>
      <c r="AV22" s="284">
        <f ca="1">AV55/(AVERAGE(AU80:AV80))</f>
        <v>1.2684402347414585</v>
      </c>
      <c r="AW22" s="284">
        <f ca="1">AW55/(AVERAGE(AV80:AW80))</f>
        <v>1.3962243081785617</v>
      </c>
    </row>
    <row r="23" spans="3:49" x14ac:dyDescent="0.25">
      <c r="C23" s="1" t="s">
        <v>525</v>
      </c>
      <c r="D23" s="1"/>
      <c r="E23" s="285">
        <f>E55/E60</f>
        <v>20.104264478659786</v>
      </c>
      <c r="F23" s="285">
        <f t="shared" ref="F23:AH23" si="24">F55/F60</f>
        <v>-9.7862869198559572</v>
      </c>
      <c r="G23" s="285">
        <f t="shared" si="24"/>
        <v>-84.297599534409841</v>
      </c>
      <c r="H23" s="285">
        <f t="shared" si="24"/>
        <v>16.452672983122749</v>
      </c>
      <c r="I23" s="285">
        <f t="shared" si="24"/>
        <v>9.5008266081602102</v>
      </c>
      <c r="J23" s="285">
        <f t="shared" si="24"/>
        <v>3.7749785325741221</v>
      </c>
      <c r="K23" s="285">
        <f t="shared" si="24"/>
        <v>11.642975331848833</v>
      </c>
      <c r="L23" s="285">
        <f t="shared" si="24"/>
        <v>20.731967149262015</v>
      </c>
      <c r="M23" s="285">
        <f t="shared" si="24"/>
        <v>-2.6709225863664163</v>
      </c>
      <c r="N23" s="285">
        <f t="shared" si="24"/>
        <v>4.1777412266793172</v>
      </c>
      <c r="O23" s="285">
        <f t="shared" si="24"/>
        <v>6.1634696119348646</v>
      </c>
      <c r="P23" s="286">
        <f t="shared" si="24"/>
        <v>7.3931005559979663</v>
      </c>
      <c r="Q23" s="287">
        <f t="shared" si="24"/>
        <v>9.4865602781924743</v>
      </c>
      <c r="R23" s="287">
        <f t="shared" si="24"/>
        <v>-40.13760841399445</v>
      </c>
      <c r="S23" s="287">
        <f t="shared" si="24"/>
        <v>-366.73940727998456</v>
      </c>
      <c r="T23" s="287">
        <f t="shared" si="24"/>
        <v>24.889720537449513</v>
      </c>
      <c r="U23" s="287">
        <f t="shared" si="24"/>
        <v>10.752245737274425</v>
      </c>
      <c r="V23" s="287">
        <f t="shared" si="24"/>
        <v>4.5809242974250379</v>
      </c>
      <c r="W23" s="287">
        <f t="shared" si="24"/>
        <v>14.014339683543627</v>
      </c>
      <c r="X23" s="287">
        <f t="shared" si="24"/>
        <v>70.257994290672855</v>
      </c>
      <c r="Y23" s="287">
        <f t="shared" si="24"/>
        <v>-2.5148324840931506</v>
      </c>
      <c r="Z23" s="287">
        <f t="shared" si="24"/>
        <v>4.6811068879870845</v>
      </c>
      <c r="AA23" s="287">
        <f t="shared" si="24"/>
        <v>7.3510500699685073</v>
      </c>
      <c r="AB23" s="287">
        <f t="shared" si="24"/>
        <v>6.3931222076737511</v>
      </c>
      <c r="AC23" s="287">
        <f t="shared" si="24"/>
        <v>10.633936772837059</v>
      </c>
      <c r="AD23" s="287">
        <f t="shared" si="24"/>
        <v>-32.848628388190292</v>
      </c>
      <c r="AE23" s="287">
        <f t="shared" si="24"/>
        <v>100.70125433282195</v>
      </c>
      <c r="AF23" s="287">
        <f t="shared" si="24"/>
        <v>20.530457694013826</v>
      </c>
      <c r="AG23" s="287">
        <f t="shared" si="24"/>
        <v>9.8879361267904535</v>
      </c>
      <c r="AH23" s="287">
        <f t="shared" si="24"/>
        <v>4.4337729537209407</v>
      </c>
      <c r="AJ23" s="287" t="str">
        <f t="shared" ref="AJ23:AS23" ca="1" si="25">IF(AJ60&lt;0,"nm",AJ55/AJ60)</f>
        <v>nm</v>
      </c>
      <c r="AK23" s="287">
        <f t="shared" ca="1" si="25"/>
        <v>6.3354326448447429</v>
      </c>
      <c r="AL23" s="287" t="str">
        <f t="shared" ca="1" si="25"/>
        <v>nm</v>
      </c>
      <c r="AM23" s="286">
        <f t="shared" ca="1" si="25"/>
        <v>5.6059515276855159</v>
      </c>
      <c r="AN23" s="287">
        <f t="shared" ca="1" si="25"/>
        <v>31.268089644998735</v>
      </c>
      <c r="AO23" s="287">
        <f t="shared" ca="1" si="25"/>
        <v>7.8553239168191773</v>
      </c>
      <c r="AP23" s="287" t="str">
        <f t="shared" ca="1" si="25"/>
        <v>nm</v>
      </c>
      <c r="AQ23" s="287">
        <f t="shared" ca="1" si="25"/>
        <v>5.9073129793592525</v>
      </c>
      <c r="AR23" s="287">
        <f t="shared" ca="1" si="25"/>
        <v>33.728002747067308</v>
      </c>
      <c r="AS23" s="287">
        <f t="shared" ca="1" si="25"/>
        <v>7.3967556973135755</v>
      </c>
      <c r="AU23" s="287">
        <f ca="1">IF(AU60&lt;0,"nm",AU55/AU60)</f>
        <v>13.639968206490636</v>
      </c>
      <c r="AV23" s="287">
        <f ca="1">IF(AV60&lt;0,"nm",AV55/AV60)</f>
        <v>13.302305225321749</v>
      </c>
      <c r="AW23" s="287">
        <f ca="1">IF(AW60&lt;0,"nm",AW55/AW60)</f>
        <v>14.435437992919296</v>
      </c>
    </row>
    <row r="24" spans="3:49" x14ac:dyDescent="0.25">
      <c r="P24" s="8"/>
      <c r="AM24" s="8"/>
    </row>
    <row r="25" spans="3:49" x14ac:dyDescent="0.25">
      <c r="C25" s="11" t="s">
        <v>518</v>
      </c>
      <c r="D25" s="11"/>
      <c r="P25" s="8"/>
      <c r="AM25" s="8"/>
    </row>
    <row r="26" spans="3:49" x14ac:dyDescent="0.25">
      <c r="C26" s="203" t="s">
        <v>543</v>
      </c>
      <c r="D26" s="11"/>
      <c r="E26" s="45" t="str">
        <f t="shared" ref="E26:AH26" si="26">E$9</f>
        <v>Jul-20A</v>
      </c>
      <c r="F26" s="45" t="str">
        <f t="shared" si="26"/>
        <v>Aug-20A</v>
      </c>
      <c r="G26" s="45" t="str">
        <f t="shared" si="26"/>
        <v>Sep-20A</v>
      </c>
      <c r="H26" s="45" t="str">
        <f t="shared" si="26"/>
        <v>Oct-20A</v>
      </c>
      <c r="I26" s="45" t="str">
        <f t="shared" si="26"/>
        <v>Nov-20A</v>
      </c>
      <c r="J26" s="45" t="str">
        <f t="shared" si="26"/>
        <v>Dec-20A</v>
      </c>
      <c r="K26" s="45" t="str">
        <f t="shared" si="26"/>
        <v>Jan-21A</v>
      </c>
      <c r="L26" s="45" t="str">
        <f t="shared" si="26"/>
        <v>Feb-21A</v>
      </c>
      <c r="M26" s="45" t="str">
        <f t="shared" si="26"/>
        <v>Mar-21A</v>
      </c>
      <c r="N26" s="45" t="str">
        <f t="shared" si="26"/>
        <v>Apr-21A</v>
      </c>
      <c r="O26" s="45" t="str">
        <f t="shared" si="26"/>
        <v>May-21A</v>
      </c>
      <c r="P26" s="46" t="str">
        <f t="shared" si="26"/>
        <v>Jun-21A</v>
      </c>
      <c r="Q26" s="45" t="str">
        <f t="shared" si="26"/>
        <v>Jul-21F</v>
      </c>
      <c r="R26" s="45" t="str">
        <f t="shared" si="26"/>
        <v>Aug-21F</v>
      </c>
      <c r="S26" s="45" t="str">
        <f t="shared" si="26"/>
        <v>Sep-21F</v>
      </c>
      <c r="T26" s="45" t="str">
        <f t="shared" si="26"/>
        <v>Oct-21F</v>
      </c>
      <c r="U26" s="45" t="str">
        <f t="shared" si="26"/>
        <v>Nov-21F</v>
      </c>
      <c r="V26" s="45" t="str">
        <f t="shared" si="26"/>
        <v>Dec-21F</v>
      </c>
      <c r="W26" s="45" t="str">
        <f t="shared" si="26"/>
        <v>Jan-22F</v>
      </c>
      <c r="X26" s="45" t="str">
        <f t="shared" si="26"/>
        <v>Feb-22F</v>
      </c>
      <c r="Y26" s="45" t="str">
        <f t="shared" si="26"/>
        <v>Mar-22F</v>
      </c>
      <c r="Z26" s="45" t="str">
        <f t="shared" si="26"/>
        <v>Apr-22F</v>
      </c>
      <c r="AA26" s="45" t="str">
        <f t="shared" si="26"/>
        <v>May-22F</v>
      </c>
      <c r="AB26" s="45" t="str">
        <f t="shared" si="26"/>
        <v>Jun-22F</v>
      </c>
      <c r="AC26" s="45" t="str">
        <f t="shared" si="26"/>
        <v>Jul-22F</v>
      </c>
      <c r="AD26" s="45" t="str">
        <f t="shared" si="26"/>
        <v>Aug-22F</v>
      </c>
      <c r="AE26" s="45" t="str">
        <f t="shared" si="26"/>
        <v>Sep-22F</v>
      </c>
      <c r="AF26" s="45" t="str">
        <f t="shared" si="26"/>
        <v>Oct-22F</v>
      </c>
      <c r="AG26" s="45" t="str">
        <f t="shared" si="26"/>
        <v>Nov-22F</v>
      </c>
      <c r="AH26" s="45" t="str">
        <f t="shared" si="26"/>
        <v>Dec-22F</v>
      </c>
      <c r="AJ26" s="45" t="str">
        <f ca="1">AJ$10</f>
        <v>Q3'20A</v>
      </c>
      <c r="AK26" s="45" t="str">
        <f t="shared" ref="AK26:AW26" ca="1" si="27">AK$10</f>
        <v>Q4'20A</v>
      </c>
      <c r="AL26" s="45" t="str">
        <f t="shared" ca="1" si="27"/>
        <v>Q1'21A</v>
      </c>
      <c r="AM26" s="46" t="str">
        <f t="shared" ca="1" si="27"/>
        <v>Q2'21A</v>
      </c>
      <c r="AN26" s="45" t="str">
        <f t="shared" ca="1" si="27"/>
        <v>Q3'21F</v>
      </c>
      <c r="AO26" s="45" t="str">
        <f t="shared" ca="1" si="27"/>
        <v>Q4'21F</v>
      </c>
      <c r="AP26" s="45" t="str">
        <f t="shared" ca="1" si="27"/>
        <v>Q1'22F</v>
      </c>
      <c r="AQ26" s="45" t="str">
        <f t="shared" ca="1" si="27"/>
        <v>Q2'22F</v>
      </c>
      <c r="AR26" s="45" t="str">
        <f t="shared" ca="1" si="27"/>
        <v>Q3'22F</v>
      </c>
      <c r="AS26" s="45" t="str">
        <f t="shared" ca="1" si="27"/>
        <v>Q4'22F</v>
      </c>
      <c r="AU26" s="45" t="str">
        <f t="shared" ca="1" si="27"/>
        <v>FY20</v>
      </c>
      <c r="AV26" s="45" t="str">
        <f t="shared" ca="1" si="27"/>
        <v>FY21</v>
      </c>
      <c r="AW26" s="45" t="str">
        <f t="shared" ca="1" si="27"/>
        <v>FY22</v>
      </c>
    </row>
    <row r="27" spans="3:49" x14ac:dyDescent="0.25">
      <c r="C27" s="1" t="s">
        <v>294</v>
      </c>
      <c r="D27" s="1"/>
      <c r="E27" s="289">
        <f t="shared" ref="E27:AH27" si="28">E57/E$55</f>
        <v>0.83199931464560983</v>
      </c>
      <c r="F27" s="289">
        <f t="shared" si="28"/>
        <v>0.81308404411421076</v>
      </c>
      <c r="G27" s="289">
        <f t="shared" si="28"/>
        <v>0.82662026180622661</v>
      </c>
      <c r="H27" s="289">
        <f t="shared" si="28"/>
        <v>0.83006935422109607</v>
      </c>
      <c r="I27" s="289">
        <f t="shared" si="28"/>
        <v>0.83251917524762431</v>
      </c>
      <c r="J27" s="289">
        <f t="shared" si="28"/>
        <v>0.85303604383019294</v>
      </c>
      <c r="K27" s="289">
        <f t="shared" si="28"/>
        <v>0.80922931269601306</v>
      </c>
      <c r="L27" s="289">
        <f t="shared" si="28"/>
        <v>0.80871958960114865</v>
      </c>
      <c r="M27" s="289">
        <f t="shared" si="28"/>
        <v>0.81854556795576316</v>
      </c>
      <c r="N27" s="289">
        <f t="shared" si="28"/>
        <v>0.82967508929242939</v>
      </c>
      <c r="O27" s="289">
        <f t="shared" si="28"/>
        <v>0.82634633319785422</v>
      </c>
      <c r="P27" s="290">
        <f t="shared" si="28"/>
        <v>0.82930235311825273</v>
      </c>
      <c r="Q27" s="291">
        <f t="shared" si="28"/>
        <v>0.82533552059937731</v>
      </c>
      <c r="R27" s="291">
        <f t="shared" si="28"/>
        <v>0.81354579739386179</v>
      </c>
      <c r="S27" s="291">
        <f t="shared" si="28"/>
        <v>0.82079095003131919</v>
      </c>
      <c r="T27" s="291">
        <f t="shared" si="28"/>
        <v>0.82278432501789833</v>
      </c>
      <c r="U27" s="291">
        <f t="shared" si="28"/>
        <v>0.82888599241943695</v>
      </c>
      <c r="V27" s="291">
        <f t="shared" si="28"/>
        <v>0.83307925614901313</v>
      </c>
      <c r="W27" s="291">
        <f t="shared" si="28"/>
        <v>0.81661537047129906</v>
      </c>
      <c r="X27" s="291">
        <f t="shared" si="28"/>
        <v>0.8108042154674866</v>
      </c>
      <c r="Y27" s="291">
        <f t="shared" si="28"/>
        <v>0.81674866403689628</v>
      </c>
      <c r="Z27" s="291">
        <f t="shared" si="28"/>
        <v>0.82480952366878368</v>
      </c>
      <c r="AA27" s="291">
        <f t="shared" si="28"/>
        <v>0.82692830510369031</v>
      </c>
      <c r="AB27" s="291">
        <f t="shared" si="28"/>
        <v>0.83023000330488927</v>
      </c>
      <c r="AC27" s="291">
        <f t="shared" si="28"/>
        <v>0.826114448933845</v>
      </c>
      <c r="AD27" s="291">
        <f t="shared" si="28"/>
        <v>0.81450583469927151</v>
      </c>
      <c r="AE27" s="291">
        <f t="shared" si="28"/>
        <v>0.82179719397600937</v>
      </c>
      <c r="AF27" s="291">
        <f t="shared" si="28"/>
        <v>0.82377577097349086</v>
      </c>
      <c r="AG27" s="291">
        <f t="shared" si="28"/>
        <v>0.82985803342665332</v>
      </c>
      <c r="AH27" s="291">
        <f t="shared" si="28"/>
        <v>0.83381713586204831</v>
      </c>
      <c r="AJ27" s="291">
        <f t="shared" ref="AJ27:AS27" ca="1" si="29">AJ57/AJ$55</f>
        <v>0.82451216319783505</v>
      </c>
      <c r="AK27" s="291">
        <f t="shared" ca="1" si="29"/>
        <v>0.84023287286550052</v>
      </c>
      <c r="AL27" s="291">
        <f t="shared" ca="1" si="29"/>
        <v>0.81203057914276211</v>
      </c>
      <c r="AM27" s="290">
        <f t="shared" ca="1" si="29"/>
        <v>0.82846172757237857</v>
      </c>
      <c r="AN27" s="291">
        <f t="shared" ca="1" si="29"/>
        <v>0.82026399730280997</v>
      </c>
      <c r="AO27" s="291">
        <f t="shared" ca="1" si="29"/>
        <v>0.82874509929008244</v>
      </c>
      <c r="AP27" s="291">
        <f t="shared" ca="1" si="29"/>
        <v>0.81481198092568352</v>
      </c>
      <c r="AQ27" s="291">
        <f t="shared" ca="1" si="29"/>
        <v>0.82735218312427794</v>
      </c>
      <c r="AR27" s="291">
        <f t="shared" ca="1" si="29"/>
        <v>0.82116765611092923</v>
      </c>
      <c r="AS27" s="291">
        <f t="shared" ca="1" si="29"/>
        <v>0.82962930877601315</v>
      </c>
      <c r="AU27" s="291">
        <f ca="1">AU57/AU$55</f>
        <v>0.83258660411431884</v>
      </c>
      <c r="AV27" s="291">
        <f ca="1">AV57/AV$55</f>
        <v>0.8229217049632902</v>
      </c>
      <c r="AW27" s="291">
        <f ca="1">AW57/AW$55</f>
        <v>0.82365238073631974</v>
      </c>
    </row>
    <row r="28" spans="3:49" x14ac:dyDescent="0.25">
      <c r="C28" s="1" t="s">
        <v>263</v>
      </c>
      <c r="D28" s="1"/>
      <c r="E28" s="289">
        <f t="shared" ref="E28:AH28" si="30">E60/E$55</f>
        <v>4.9740690641106367E-2</v>
      </c>
      <c r="F28" s="289">
        <f t="shared" si="30"/>
        <v>-0.10218380149585057</v>
      </c>
      <c r="G28" s="289">
        <f t="shared" si="30"/>
        <v>-1.1862733998633083E-2</v>
      </c>
      <c r="H28" s="289">
        <f t="shared" si="30"/>
        <v>6.0780397265891441E-2</v>
      </c>
      <c r="I28" s="289">
        <f t="shared" si="30"/>
        <v>0.10525399959842496</v>
      </c>
      <c r="J28" s="289">
        <f t="shared" si="30"/>
        <v>0.26490216868017774</v>
      </c>
      <c r="K28" s="289">
        <f t="shared" si="30"/>
        <v>8.5888698678639741E-2</v>
      </c>
      <c r="L28" s="289">
        <f t="shared" si="30"/>
        <v>4.8234689588324782E-2</v>
      </c>
      <c r="M28" s="289">
        <f t="shared" si="30"/>
        <v>-0.37440246494018486</v>
      </c>
      <c r="N28" s="289">
        <f t="shared" si="30"/>
        <v>0.23936379630551011</v>
      </c>
      <c r="O28" s="289">
        <f t="shared" si="30"/>
        <v>0.16224627733437877</v>
      </c>
      <c r="P28" s="290">
        <f t="shared" si="30"/>
        <v>0.13526124694580377</v>
      </c>
      <c r="Q28" s="291">
        <f t="shared" si="30"/>
        <v>0.10541228545174389</v>
      </c>
      <c r="R28" s="291">
        <f t="shared" si="30"/>
        <v>-2.4914289603048152E-2</v>
      </c>
      <c r="S28" s="291">
        <f t="shared" si="30"/>
        <v>-2.7267317887018265E-3</v>
      </c>
      <c r="T28" s="291">
        <f t="shared" si="30"/>
        <v>4.0177228928520207E-2</v>
      </c>
      <c r="U28" s="291">
        <f t="shared" si="30"/>
        <v>9.3003826775771667E-2</v>
      </c>
      <c r="V28" s="291">
        <f t="shared" si="30"/>
        <v>0.21829655656219973</v>
      </c>
      <c r="W28" s="291">
        <f t="shared" si="30"/>
        <v>7.1355484637942126E-2</v>
      </c>
      <c r="X28" s="291">
        <f t="shared" si="30"/>
        <v>1.4233255732618539E-2</v>
      </c>
      <c r="Y28" s="291">
        <f t="shared" si="30"/>
        <v>-0.39764079966566851</v>
      </c>
      <c r="Z28" s="291">
        <f t="shared" si="30"/>
        <v>0.21362468833306397</v>
      </c>
      <c r="AA28" s="291">
        <f t="shared" si="30"/>
        <v>0.13603498690416133</v>
      </c>
      <c r="AB28" s="291">
        <f t="shared" si="30"/>
        <v>0.15641809549638933</v>
      </c>
      <c r="AC28" s="291">
        <f t="shared" si="30"/>
        <v>9.4038550478724281E-2</v>
      </c>
      <c r="AD28" s="291">
        <f t="shared" si="30"/>
        <v>-3.0442671401144986E-2</v>
      </c>
      <c r="AE28" s="291">
        <f t="shared" si="30"/>
        <v>9.9303628998995124E-3</v>
      </c>
      <c r="AF28" s="291">
        <f t="shared" si="30"/>
        <v>4.870812014539623E-2</v>
      </c>
      <c r="AG28" s="291">
        <f t="shared" si="30"/>
        <v>0.10113333937206491</v>
      </c>
      <c r="AH28" s="291">
        <f t="shared" si="30"/>
        <v>0.22554154451250674</v>
      </c>
      <c r="AJ28" s="291">
        <f t="shared" ref="AJ28:AS28" ca="1" si="31">AJ60/AJ$55</f>
        <v>-1.5947894174670983E-2</v>
      </c>
      <c r="AK28" s="291">
        <f t="shared" ca="1" si="31"/>
        <v>0.15784241677854757</v>
      </c>
      <c r="AL28" s="291">
        <f t="shared" ca="1" si="31"/>
        <v>-7.2480937923314434E-2</v>
      </c>
      <c r="AM28" s="290">
        <f t="shared" ca="1" si="31"/>
        <v>0.17838184919391589</v>
      </c>
      <c r="AN28" s="291">
        <f t="shared" ca="1" si="31"/>
        <v>3.1981486920162644E-2</v>
      </c>
      <c r="AO28" s="291">
        <f t="shared" ca="1" si="31"/>
        <v>0.12730219792195732</v>
      </c>
      <c r="AP28" s="291">
        <f t="shared" ca="1" si="31"/>
        <v>-9.3743786285152619E-2</v>
      </c>
      <c r="AQ28" s="291">
        <f t="shared" ca="1" si="31"/>
        <v>0.16928170277994425</v>
      </c>
      <c r="AR28" s="291">
        <f t="shared" ca="1" si="31"/>
        <v>2.964895394189777E-2</v>
      </c>
      <c r="AS28" s="291">
        <f t="shared" ca="1" si="31"/>
        <v>0.13519440696996246</v>
      </c>
      <c r="AU28" s="291">
        <f ca="1">AU60/AU$55</f>
        <v>7.3313953878876778E-2</v>
      </c>
      <c r="AV28" s="291">
        <f ca="1">AV60/AV$55</f>
        <v>7.5174940212350494E-2</v>
      </c>
      <c r="AW28" s="291">
        <f ca="1">AW60/AW$55</f>
        <v>6.9273963179399781E-2</v>
      </c>
    </row>
    <row r="29" spans="3:49" x14ac:dyDescent="0.25">
      <c r="C29" s="1" t="s">
        <v>452</v>
      </c>
      <c r="D29" s="1"/>
      <c r="E29" s="289">
        <f t="shared" ref="E29:AH29" si="32">E58/E$55</f>
        <v>8.7056036333440223E-2</v>
      </c>
      <c r="F29" s="289">
        <f t="shared" si="32"/>
        <v>-5.5455455429888237E-2</v>
      </c>
      <c r="G29" s="289">
        <f t="shared" si="32"/>
        <v>3.6136249242795987E-2</v>
      </c>
      <c r="H29" s="289">
        <f t="shared" si="32"/>
        <v>0.10766838915863422</v>
      </c>
      <c r="I29" s="289">
        <f t="shared" si="32"/>
        <v>0.1515142452801661</v>
      </c>
      <c r="J29" s="289">
        <f t="shared" si="32"/>
        <v>0.29828658867171182</v>
      </c>
      <c r="K29" s="289">
        <f t="shared" si="32"/>
        <v>0.12606892173991077</v>
      </c>
      <c r="L29" s="289">
        <f t="shared" si="32"/>
        <v>9.4286901415520166E-2</v>
      </c>
      <c r="M29" s="289">
        <f t="shared" si="32"/>
        <v>-0.32839719627233183</v>
      </c>
      <c r="N29" s="289">
        <f t="shared" si="32"/>
        <v>0.27290346824568146</v>
      </c>
      <c r="O29" s="289">
        <f t="shared" si="32"/>
        <v>0.19617358793343306</v>
      </c>
      <c r="P29" s="290">
        <f t="shared" si="32"/>
        <v>0.16737822014446183</v>
      </c>
      <c r="Q29" s="291">
        <f t="shared" si="32"/>
        <v>0.14085714848396944</v>
      </c>
      <c r="R29" s="291">
        <f t="shared" si="32"/>
        <v>1.8526874080919492E-2</v>
      </c>
      <c r="S29" s="291">
        <f t="shared" si="32"/>
        <v>4.282387549696122E-2</v>
      </c>
      <c r="T29" s="291">
        <f t="shared" si="32"/>
        <v>8.4901860084863112E-2</v>
      </c>
      <c r="U29" s="291">
        <f t="shared" si="32"/>
        <v>0.1368304699106819</v>
      </c>
      <c r="V29" s="291">
        <f t="shared" si="32"/>
        <v>0.2516202210998138</v>
      </c>
      <c r="W29" s="291">
        <f t="shared" si="32"/>
        <v>0.10933774362281845</v>
      </c>
      <c r="X29" s="291">
        <f t="shared" si="32"/>
        <v>5.8388732681528506E-2</v>
      </c>
      <c r="Y29" s="291">
        <f t="shared" si="32"/>
        <v>-0.35289827803352414</v>
      </c>
      <c r="Z29" s="291">
        <f t="shared" si="32"/>
        <v>0.2448705288024208</v>
      </c>
      <c r="AA29" s="291">
        <f t="shared" si="32"/>
        <v>0.16933109560108695</v>
      </c>
      <c r="AB29" s="291">
        <f t="shared" si="32"/>
        <v>0.18699855956824357</v>
      </c>
      <c r="AC29" s="291">
        <f t="shared" si="32"/>
        <v>0.12792048758693453</v>
      </c>
      <c r="AD29" s="291">
        <f t="shared" si="32"/>
        <v>1.1073579288837933E-2</v>
      </c>
      <c r="AE29" s="291">
        <f t="shared" si="32"/>
        <v>5.3460555277494499E-2</v>
      </c>
      <c r="AF29" s="291">
        <f t="shared" si="32"/>
        <v>9.144227985607796E-2</v>
      </c>
      <c r="AG29" s="291">
        <f t="shared" si="32"/>
        <v>0.14300741168707501</v>
      </c>
      <c r="AH29" s="291">
        <f t="shared" si="32"/>
        <v>0.25738489038431678</v>
      </c>
      <c r="AJ29" s="291">
        <f t="shared" ref="AJ29:AS29" ca="1" si="33">AJ58/AJ$55</f>
        <v>2.7509779431984661E-2</v>
      </c>
      <c r="AK29" s="291">
        <f t="shared" ca="1" si="33"/>
        <v>0.198995613035055</v>
      </c>
      <c r="AL29" s="291">
        <f t="shared" ca="1" si="33"/>
        <v>-2.8582133024314359E-2</v>
      </c>
      <c r="AM29" s="290">
        <f t="shared" ca="1" si="33"/>
        <v>0.21155800068259031</v>
      </c>
      <c r="AN29" s="291">
        <f t="shared" ca="1" si="33"/>
        <v>7.2972889541605218E-2</v>
      </c>
      <c r="AO29" s="291">
        <f t="shared" ca="1" si="33"/>
        <v>0.1672038168696949</v>
      </c>
      <c r="AP29" s="291">
        <f t="shared" ca="1" si="33"/>
        <v>-5.1683052683629348E-2</v>
      </c>
      <c r="AQ29" s="291">
        <f t="shared" ca="1" si="33"/>
        <v>0.20094784365445964</v>
      </c>
      <c r="AR29" s="291">
        <f t="shared" ca="1" si="33"/>
        <v>6.8826862663319707E-2</v>
      </c>
      <c r="AS29" s="291">
        <f t="shared" ca="1" si="33"/>
        <v>0.17332094768771988</v>
      </c>
      <c r="AU29" s="291">
        <f ca="1">AU58/AU$55</f>
        <v>0.11558800622411959</v>
      </c>
      <c r="AV29" s="291">
        <f ca="1">AV58/AV$55</f>
        <v>0.11424553038725085</v>
      </c>
      <c r="AW29" s="291">
        <f ca="1">AW58/AW$55</f>
        <v>0.10661956739162226</v>
      </c>
    </row>
    <row r="30" spans="3:49" x14ac:dyDescent="0.25">
      <c r="C30" s="1" t="s">
        <v>264</v>
      </c>
      <c r="D30" s="1"/>
      <c r="E30" s="289">
        <f t="shared" ref="E30:AH30" si="34">E66/E$55</f>
        <v>2.7067446322985494E-2</v>
      </c>
      <c r="F30" s="289">
        <f t="shared" si="34"/>
        <v>-9.6156354999514096E-2</v>
      </c>
      <c r="G30" s="289">
        <f t="shared" si="34"/>
        <v>-2.5953519536051951E-2</v>
      </c>
      <c r="H30" s="289">
        <f t="shared" si="34"/>
        <v>3.151401352275942E-2</v>
      </c>
      <c r="I30" s="289">
        <f t="shared" si="34"/>
        <v>6.6769424197060043E-2</v>
      </c>
      <c r="J30" s="289">
        <f t="shared" si="34"/>
        <v>0.19575965683625171</v>
      </c>
      <c r="K30" s="289">
        <f t="shared" si="34"/>
        <v>5.4693098833683555E-2</v>
      </c>
      <c r="L30" s="289">
        <f t="shared" si="34"/>
        <v>2.3333239961947014E-2</v>
      </c>
      <c r="M30" s="289">
        <f t="shared" si="34"/>
        <v>-0.31068380375932292</v>
      </c>
      <c r="N30" s="289">
        <f t="shared" si="34"/>
        <v>0.17840447533577702</v>
      </c>
      <c r="O30" s="289">
        <f t="shared" si="34"/>
        <v>0.11706087289707992</v>
      </c>
      <c r="P30" s="290">
        <f t="shared" si="34"/>
        <v>9.646079487591748E-2</v>
      </c>
      <c r="Q30" s="289">
        <f t="shared" si="34"/>
        <v>7.1680884761269631E-2</v>
      </c>
      <c r="R30" s="289">
        <f t="shared" si="34"/>
        <v>-3.3727151792477213E-2</v>
      </c>
      <c r="S30" s="289">
        <f t="shared" si="34"/>
        <v>-1.7141609933424794E-2</v>
      </c>
      <c r="T30" s="289">
        <f t="shared" si="34"/>
        <v>1.7087505112894801E-2</v>
      </c>
      <c r="U30" s="289">
        <f t="shared" si="34"/>
        <v>5.9003954849846912E-2</v>
      </c>
      <c r="V30" s="289">
        <f t="shared" si="34"/>
        <v>0.16142645378597481</v>
      </c>
      <c r="W30" s="289">
        <f t="shared" si="34"/>
        <v>4.3715217868370661E-2</v>
      </c>
      <c r="X30" s="289">
        <f t="shared" si="34"/>
        <v>-3.222163301803777E-3</v>
      </c>
      <c r="Y30" s="289">
        <f t="shared" si="34"/>
        <v>-0.32845170521586797</v>
      </c>
      <c r="Z30" s="289">
        <f t="shared" si="34"/>
        <v>0.1589373059302823</v>
      </c>
      <c r="AA30" s="289">
        <f t="shared" si="34"/>
        <v>9.6551351817460163E-2</v>
      </c>
      <c r="AB30" s="289">
        <f t="shared" si="34"/>
        <v>0.11363382715628773</v>
      </c>
      <c r="AC30" s="289">
        <f t="shared" si="34"/>
        <v>6.354963235976166E-2</v>
      </c>
      <c r="AD30" s="289">
        <f t="shared" si="34"/>
        <v>-3.6893397078702317E-2</v>
      </c>
      <c r="AE30" s="289">
        <f t="shared" si="34"/>
        <v>-5.829781486308268E-3</v>
      </c>
      <c r="AF30" s="289">
        <f t="shared" si="34"/>
        <v>2.5147637861566735E-2</v>
      </c>
      <c r="AG30" s="289">
        <f t="shared" si="34"/>
        <v>6.6740652065689507E-2</v>
      </c>
      <c r="AH30" s="289">
        <f t="shared" si="34"/>
        <v>0.16817831554485893</v>
      </c>
      <c r="AJ30" s="289">
        <f t="shared" ref="AJ30:AS30" ca="1" si="35">AJ66/AJ$55</f>
        <v>-2.7133710559122271E-2</v>
      </c>
      <c r="AK30" s="289">
        <f t="shared" ca="1" si="35"/>
        <v>0.10945733718926427</v>
      </c>
      <c r="AL30" s="289">
        <f t="shared" ca="1" si="35"/>
        <v>-7.1487132969008535E-2</v>
      </c>
      <c r="AM30" s="290">
        <f t="shared" ca="1" si="35"/>
        <v>0.13019396797186075</v>
      </c>
      <c r="AN30" s="289">
        <f t="shared" ca="1" si="35"/>
        <v>1.1882229495286894E-2</v>
      </c>
      <c r="AO30" s="289">
        <f t="shared" ca="1" si="35"/>
        <v>8.741862591844915E-2</v>
      </c>
      <c r="AP30" s="289">
        <f t="shared" ca="1" si="35"/>
        <v>-8.7808300893168587E-2</v>
      </c>
      <c r="AQ30" s="289">
        <f t="shared" ca="1" si="35"/>
        <v>0.12352271023349867</v>
      </c>
      <c r="AR30" s="289">
        <f t="shared" ca="1" si="35"/>
        <v>1.1140176401183742E-2</v>
      </c>
      <c r="AS30" s="289">
        <f t="shared" ca="1" si="35"/>
        <v>9.4855479318447358E-2</v>
      </c>
      <c r="AU30" s="289">
        <f ca="1">AU66/AU$55</f>
        <v>4.3021922874742449E-2</v>
      </c>
      <c r="AV30" s="289">
        <f ca="1">AV66/AV$55</f>
        <v>4.6656111623644039E-2</v>
      </c>
      <c r="AW30" s="289">
        <f ca="1">AW66/AW$55</f>
        <v>4.2811015569673733E-2</v>
      </c>
    </row>
    <row r="31" spans="3:49" x14ac:dyDescent="0.25">
      <c r="C31" s="203" t="s">
        <v>544</v>
      </c>
      <c r="D31" s="11"/>
      <c r="P31" s="8"/>
      <c r="AM31" s="8"/>
    </row>
    <row r="32" spans="3:49" x14ac:dyDescent="0.25">
      <c r="C32" s="1" t="s">
        <v>530</v>
      </c>
      <c r="D32" s="1"/>
      <c r="E32" s="289">
        <f>(E66*12)/AVERAGE(D79:E79)</f>
        <v>1.9655362669892831E-2</v>
      </c>
      <c r="F32" s="289">
        <f t="shared" ref="F32:AH32" si="36">(F66*12)/AVERAGE(E79:F79)</f>
        <v>-5.7213908921406029E-2</v>
      </c>
      <c r="G32" s="289">
        <f t="shared" si="36"/>
        <v>-1.5515856184079659E-2</v>
      </c>
      <c r="H32" s="289">
        <f t="shared" si="36"/>
        <v>1.9622628014132153E-2</v>
      </c>
      <c r="I32" s="289">
        <f t="shared" si="36"/>
        <v>4.0798205244124128E-2</v>
      </c>
      <c r="J32" s="289">
        <f t="shared" si="36"/>
        <v>0.16490340859631275</v>
      </c>
      <c r="K32" s="289">
        <f t="shared" si="36"/>
        <v>3.8915343222493154E-2</v>
      </c>
      <c r="L32" s="289">
        <f t="shared" si="36"/>
        <v>1.4588258331289228E-2</v>
      </c>
      <c r="M32" s="289">
        <f t="shared" si="36"/>
        <v>-0.19599003119612754</v>
      </c>
      <c r="N32" s="289">
        <f t="shared" si="36"/>
        <v>0.1522103058308725</v>
      </c>
      <c r="O32" s="289">
        <f t="shared" si="36"/>
        <v>9.6210595942962995E-2</v>
      </c>
      <c r="P32" s="290">
        <f t="shared" si="36"/>
        <v>8.1080358603948202E-2</v>
      </c>
      <c r="Q32" s="291">
        <f t="shared" si="36"/>
        <v>5.4136484952088351E-2</v>
      </c>
      <c r="R32" s="291">
        <f t="shared" si="36"/>
        <v>-2.1519041319380421E-2</v>
      </c>
      <c r="S32" s="291">
        <f t="shared" si="36"/>
        <v>-1.0856884160666082E-2</v>
      </c>
      <c r="T32" s="291">
        <f t="shared" si="36"/>
        <v>1.1130389172366766E-2</v>
      </c>
      <c r="U32" s="291">
        <f t="shared" si="36"/>
        <v>3.9420975622812625E-2</v>
      </c>
      <c r="V32" s="291">
        <f t="shared" si="36"/>
        <v>0.13770541834547806</v>
      </c>
      <c r="W32" s="291">
        <f t="shared" si="36"/>
        <v>3.2044223197098216E-2</v>
      </c>
      <c r="X32" s="291">
        <f t="shared" si="36"/>
        <v>-2.058228291371241E-3</v>
      </c>
      <c r="Y32" s="291">
        <f t="shared" si="36"/>
        <v>-0.20655267380595585</v>
      </c>
      <c r="Z32" s="291">
        <f t="shared" si="36"/>
        <v>0.13983057394356493</v>
      </c>
      <c r="AA32" s="291">
        <f t="shared" si="36"/>
        <v>7.8616873481965471E-2</v>
      </c>
      <c r="AB32" s="291">
        <f t="shared" si="36"/>
        <v>9.8226350901408757E-2</v>
      </c>
      <c r="AC32" s="291">
        <f t="shared" si="36"/>
        <v>4.8316263878500409E-2</v>
      </c>
      <c r="AD32" s="291">
        <f t="shared" si="36"/>
        <v>-2.3692716609210573E-2</v>
      </c>
      <c r="AE32" s="291">
        <f t="shared" si="36"/>
        <v>-3.7133643027491099E-3</v>
      </c>
      <c r="AF32" s="291">
        <f t="shared" si="36"/>
        <v>1.6459376301121396E-2</v>
      </c>
      <c r="AG32" s="291">
        <f t="shared" si="36"/>
        <v>4.4773039141564566E-2</v>
      </c>
      <c r="AH32" s="291">
        <f t="shared" si="36"/>
        <v>0.14397650329925485</v>
      </c>
      <c r="AJ32" s="291">
        <f ca="1">(AJ$66*4)/AVERAGE(AI79:AJ79)</f>
        <v>-1.820229946441132E-2</v>
      </c>
      <c r="AK32" s="291">
        <f t="shared" ref="AK32:AS32" ca="1" si="37">(AK$66*4)/AVERAGE(AJ79:AK79)</f>
        <v>7.724359903471216E-2</v>
      </c>
      <c r="AL32" s="291">
        <f t="shared" ca="1" si="37"/>
        <v>-4.6924049925301983E-2</v>
      </c>
      <c r="AM32" s="290">
        <f t="shared" ca="1" si="37"/>
        <v>0.10862713764457399</v>
      </c>
      <c r="AN32" s="291">
        <f t="shared" ca="1" si="37"/>
        <v>8.0656931057446132E-3</v>
      </c>
      <c r="AO32" s="291">
        <f t="shared" ca="1" si="37"/>
        <v>6.197274380506191E-2</v>
      </c>
      <c r="AP32" s="291">
        <f t="shared" ca="1" si="37"/>
        <v>-5.7985489417225318E-2</v>
      </c>
      <c r="AQ32" s="291">
        <f t="shared" ca="1" si="37"/>
        <v>0.10451590734046104</v>
      </c>
      <c r="AR32" s="291">
        <f t="shared" ca="1" si="37"/>
        <v>7.6073678326274239E-3</v>
      </c>
      <c r="AS32" s="291">
        <f t="shared" ca="1" si="37"/>
        <v>6.7538406473801771E-2</v>
      </c>
      <c r="AU32" s="291">
        <f ca="1">(AU$66*2)/AVERAGE(AT79:AU79)</f>
        <v>2.9442936425573493E-2</v>
      </c>
      <c r="AV32" s="291">
        <f ca="1">(AV$66)/AVERAGE(AU79:AV79)</f>
        <v>3.3732542618183481E-2</v>
      </c>
      <c r="AW32" s="291">
        <f t="shared" ref="AW32" ca="1" si="38">(AW$66)/AVERAGE(AV79:AW79)</f>
        <v>3.0970262214057308E-2</v>
      </c>
    </row>
    <row r="33" spans="3:49" x14ac:dyDescent="0.25">
      <c r="C33" s="1" t="s">
        <v>531</v>
      </c>
      <c r="D33" s="1"/>
      <c r="E33" s="289">
        <f>(E66*12)/AVERAGE(D81:E81)</f>
        <v>2.530827118841731E-2</v>
      </c>
      <c r="F33" s="289">
        <f t="shared" ref="F33:AH33" si="39">(F66*12)/AVERAGE(E81:F81)</f>
        <v>-7.3970459446326381E-2</v>
      </c>
      <c r="G33" s="289">
        <f t="shared" si="39"/>
        <v>-1.9991710749601276E-2</v>
      </c>
      <c r="H33" s="289">
        <f t="shared" si="39"/>
        <v>2.4895867763264024E-2</v>
      </c>
      <c r="I33" s="289">
        <f t="shared" si="39"/>
        <v>5.3348262674129343E-2</v>
      </c>
      <c r="J33" s="289">
        <f t="shared" si="39"/>
        <v>0.21106070780147568</v>
      </c>
      <c r="K33" s="289">
        <f t="shared" si="39"/>
        <v>4.771777166198371E-2</v>
      </c>
      <c r="L33" s="289">
        <f t="shared" si="39"/>
        <v>1.8058140537060216E-2</v>
      </c>
      <c r="M33" s="289">
        <f t="shared" si="39"/>
        <v>-0.24415519891384455</v>
      </c>
      <c r="N33" s="289">
        <f t="shared" si="39"/>
        <v>0.18746121602209417</v>
      </c>
      <c r="O33" s="289">
        <f t="shared" si="39"/>
        <v>0.11682824228816835</v>
      </c>
      <c r="P33" s="290">
        <f t="shared" si="39"/>
        <v>9.808791272002905E-2</v>
      </c>
      <c r="Q33" s="291">
        <f t="shared" si="39"/>
        <v>6.5426884459908477E-2</v>
      </c>
      <c r="R33" s="291">
        <f t="shared" si="39"/>
        <v>-2.6094050942066623E-2</v>
      </c>
      <c r="S33" s="291">
        <f t="shared" si="39"/>
        <v>-1.3153948952020229E-2</v>
      </c>
      <c r="T33" s="291">
        <f t="shared" si="39"/>
        <v>1.3479701868721354E-2</v>
      </c>
      <c r="U33" s="291">
        <f t="shared" si="39"/>
        <v>4.7439697470703542E-2</v>
      </c>
      <c r="V33" s="291">
        <f t="shared" si="39"/>
        <v>0.16366293659156345</v>
      </c>
      <c r="W33" s="291">
        <f t="shared" si="39"/>
        <v>3.820085435952162E-2</v>
      </c>
      <c r="X33" s="291">
        <f t="shared" si="39"/>
        <v>-2.531378962547817E-3</v>
      </c>
      <c r="Y33" s="291">
        <f t="shared" si="39"/>
        <v>-0.26141641282621747</v>
      </c>
      <c r="Z33" s="291">
        <f t="shared" si="39"/>
        <v>0.17290618091818105</v>
      </c>
      <c r="AA33" s="291">
        <f t="shared" si="39"/>
        <v>9.4802663699732323E-2</v>
      </c>
      <c r="AB33" s="291">
        <f t="shared" si="39"/>
        <v>0.12046618677702764</v>
      </c>
      <c r="AC33" s="291">
        <f t="shared" si="39"/>
        <v>6.0796765620049278E-2</v>
      </c>
      <c r="AD33" s="291">
        <f t="shared" si="39"/>
        <v>-3.0270337683049337E-2</v>
      </c>
      <c r="AE33" s="291">
        <f t="shared" si="39"/>
        <v>-4.7693485736831605E-3</v>
      </c>
      <c r="AF33" s="291">
        <f t="shared" si="39"/>
        <v>2.1192549152640048E-2</v>
      </c>
      <c r="AG33" s="291">
        <f t="shared" si="39"/>
        <v>5.7450118653330697E-2</v>
      </c>
      <c r="AH33" s="291">
        <f t="shared" si="39"/>
        <v>0.18230739228876153</v>
      </c>
      <c r="AJ33" s="291">
        <f ca="1">(AJ$66*4)/AVERAGE(AI81:AJ81)</f>
        <v>-2.3201819072910117E-2</v>
      </c>
      <c r="AK33" s="291">
        <f t="shared" ref="AK33:AS33" ca="1" si="40">(AK$66*4)/AVERAGE(AJ81:AK81)</f>
        <v>9.5935521746491559E-2</v>
      </c>
      <c r="AL33" s="291">
        <f t="shared" ca="1" si="40"/>
        <v>-5.7894726313143963E-2</v>
      </c>
      <c r="AM33" s="290">
        <f t="shared" ca="1" si="40"/>
        <v>0.13320316518081643</v>
      </c>
      <c r="AN33" s="291">
        <f t="shared" ca="1" si="40"/>
        <v>9.7386185381217322E-3</v>
      </c>
      <c r="AO33" s="291">
        <f t="shared" ca="1" si="40"/>
        <v>7.4108598345397403E-2</v>
      </c>
      <c r="AP33" s="291">
        <f t="shared" ca="1" si="40"/>
        <v>-7.1050889834703618E-2</v>
      </c>
      <c r="AQ33" s="291">
        <f t="shared" ca="1" si="40"/>
        <v>0.13144072496492351</v>
      </c>
      <c r="AR33" s="291">
        <f t="shared" ca="1" si="40"/>
        <v>9.6148430401451317E-3</v>
      </c>
      <c r="AS33" s="291">
        <f t="shared" ca="1" si="40"/>
        <v>8.5806415218450574E-2</v>
      </c>
      <c r="AU33" s="291">
        <f ca="1">(AU$66*2)/AVERAGE(AT81:AU81)</f>
        <v>3.5660495668254924E-2</v>
      </c>
      <c r="AV33" s="291">
        <f ca="1">(AV$66)/AVERAGE(AU81:AV81)</f>
        <v>4.0248623442181303E-2</v>
      </c>
      <c r="AW33" s="291">
        <f t="shared" ref="AW33" ca="1" si="41">(AW$66)/AVERAGE(AV81:AW81)</f>
        <v>3.7566096388288575E-2</v>
      </c>
    </row>
    <row r="34" spans="3:49" x14ac:dyDescent="0.25">
      <c r="C34" s="1" t="s">
        <v>532</v>
      </c>
      <c r="D34" s="1"/>
      <c r="E34" s="289">
        <f>(E62*12)/AVERAGE(D85:E85)</f>
        <v>4.1849923363931563E-2</v>
      </c>
      <c r="F34" s="289">
        <f t="shared" ref="F34:AH34" si="42">(F62*12)/AVERAGE(E85:F85)</f>
        <v>-6.7922465677094951E-2</v>
      </c>
      <c r="G34" s="289">
        <f t="shared" si="42"/>
        <v>-7.611103904840856E-3</v>
      </c>
      <c r="H34" s="289">
        <f t="shared" si="42"/>
        <v>3.9912057324081762E-2</v>
      </c>
      <c r="I34" s="289">
        <f t="shared" si="42"/>
        <v>6.7109280922407033E-2</v>
      </c>
      <c r="J34" s="289">
        <f t="shared" si="42"/>
        <v>0.23680905891438983</v>
      </c>
      <c r="K34" s="289">
        <f t="shared" si="42"/>
        <v>6.7233376869307582E-2</v>
      </c>
      <c r="L34" s="289">
        <f t="shared" si="42"/>
        <v>3.2841773950095722E-2</v>
      </c>
      <c r="M34" s="289">
        <f t="shared" si="42"/>
        <v>-0.25784489532995897</v>
      </c>
      <c r="N34" s="289">
        <f t="shared" si="42"/>
        <v>0.22665693728923017</v>
      </c>
      <c r="O34" s="289">
        <f t="shared" si="42"/>
        <v>0.14955623332841744</v>
      </c>
      <c r="P34" s="290">
        <f t="shared" si="42"/>
        <v>0.13021660110427966</v>
      </c>
      <c r="Q34" s="291">
        <f t="shared" si="42"/>
        <v>9.1205417659487212E-2</v>
      </c>
      <c r="R34" s="291">
        <f t="shared" si="42"/>
        <v>-1.7553164190333488E-2</v>
      </c>
      <c r="S34" s="291">
        <f t="shared" si="42"/>
        <v>-1.8355468555339104E-3</v>
      </c>
      <c r="T34" s="291">
        <f t="shared" si="42"/>
        <v>2.754523016196455E-2</v>
      </c>
      <c r="U34" s="291">
        <f t="shared" si="42"/>
        <v>6.4887877174024722E-2</v>
      </c>
      <c r="V34" s="291">
        <f t="shared" si="42"/>
        <v>0.1983265018116655</v>
      </c>
      <c r="W34" s="291">
        <f t="shared" si="42"/>
        <v>5.6337227323748677E-2</v>
      </c>
      <c r="X34" s="291">
        <f t="shared" si="42"/>
        <v>9.6500318377901705E-3</v>
      </c>
      <c r="Y34" s="291">
        <f t="shared" si="42"/>
        <v>-0.26921143611820264</v>
      </c>
      <c r="Z34" s="291">
        <f t="shared" si="42"/>
        <v>0.20784960680145209</v>
      </c>
      <c r="AA34" s="291">
        <f t="shared" si="42"/>
        <v>0.1226368400251454</v>
      </c>
      <c r="AB34" s="291">
        <f t="shared" si="42"/>
        <v>0.15194335991627367</v>
      </c>
      <c r="AC34" s="291">
        <f t="shared" si="42"/>
        <v>8.1731302454209009E-2</v>
      </c>
      <c r="AD34" s="291">
        <f t="shared" si="42"/>
        <v>-2.1560068454977512E-2</v>
      </c>
      <c r="AE34" s="291">
        <f t="shared" si="42"/>
        <v>6.7181434894651422E-3</v>
      </c>
      <c r="AF34" s="291">
        <f t="shared" si="42"/>
        <v>3.3542423216644517E-2</v>
      </c>
      <c r="AG34" s="291">
        <f t="shared" si="42"/>
        <v>7.0835148561596714E-2</v>
      </c>
      <c r="AH34" s="291">
        <f t="shared" si="42"/>
        <v>0.20554789769766871</v>
      </c>
      <c r="AJ34" s="291">
        <f ca="1">(AJ62*4)/AVERAGE(AI85:AJ85)</f>
        <v>-1.1311321772220809E-2</v>
      </c>
      <c r="AK34" s="291">
        <f t="shared" ref="AK34:AS34" ca="1" si="43">(AK62*4)/AVERAGE(AJ85:AK85)</f>
        <v>0.11955079186141918</v>
      </c>
      <c r="AL34" s="291">
        <f t="shared" ca="1" si="43"/>
        <v>-5.2475453048327882E-2</v>
      </c>
      <c r="AM34" s="290">
        <f t="shared" ca="1" si="43"/>
        <v>0.16879747991686089</v>
      </c>
      <c r="AN34" s="291">
        <f t="shared" ca="1" si="43"/>
        <v>2.3971713676115704E-2</v>
      </c>
      <c r="AO34" s="291">
        <f t="shared" ca="1" si="43"/>
        <v>9.6857274545410516E-2</v>
      </c>
      <c r="AP34" s="291">
        <f t="shared" ca="1" si="43"/>
        <v>-6.762966978820184E-2</v>
      </c>
      <c r="AQ34" s="291">
        <f t="shared" ca="1" si="43"/>
        <v>0.16081338911812565</v>
      </c>
      <c r="AR34" s="291">
        <f t="shared" ca="1" si="43"/>
        <v>2.2320768807926224E-2</v>
      </c>
      <c r="AS34" s="291">
        <f t="shared" ca="1" si="43"/>
        <v>0.10324989041989428</v>
      </c>
      <c r="AU34" s="291">
        <f ca="1">(AU62*2)/AVERAGE(AT85:AU85)</f>
        <v>5.4670846164517548E-2</v>
      </c>
      <c r="AV34" s="291">
        <f ca="1">(AV62)/AVERAGE(AU85:AV85)</f>
        <v>5.9195540738880344E-2</v>
      </c>
      <c r="AW34" s="291">
        <f t="shared" ref="AW34" ca="1" si="44">(AW62)/AVERAGE(AV85:AW85)</f>
        <v>5.4538861878655642E-2</v>
      </c>
    </row>
    <row r="35" spans="3:49" x14ac:dyDescent="0.25">
      <c r="C35" s="1" t="s">
        <v>533</v>
      </c>
      <c r="D35" s="1"/>
      <c r="E35" s="289">
        <f>(E66*12)/AVERAGE(D85:E85)</f>
        <v>2.8827239008567145E-2</v>
      </c>
      <c r="F35" s="289">
        <f t="shared" ref="F35:AH35" si="45">(F66*12)/AVERAGE(E85:F85)</f>
        <v>-8.0906290286895957E-2</v>
      </c>
      <c r="G35" s="289">
        <f t="shared" si="45"/>
        <v>-2.1078127532546106E-2</v>
      </c>
      <c r="H35" s="289">
        <f t="shared" si="45"/>
        <v>2.6194927820500036E-2</v>
      </c>
      <c r="I35" s="289">
        <f t="shared" si="45"/>
        <v>5.388830422468828E-2</v>
      </c>
      <c r="J35" s="289">
        <f t="shared" si="45"/>
        <v>0.22151793890009511</v>
      </c>
      <c r="K35" s="289">
        <f t="shared" si="45"/>
        <v>5.4194391122102954E-2</v>
      </c>
      <c r="L35" s="289">
        <f t="shared" si="45"/>
        <v>2.0110139149101765E-2</v>
      </c>
      <c r="M35" s="289">
        <f t="shared" si="45"/>
        <v>-0.27083909937017941</v>
      </c>
      <c r="N35" s="289">
        <f t="shared" si="45"/>
        <v>0.21384012775819664</v>
      </c>
      <c r="O35" s="289">
        <f t="shared" si="45"/>
        <v>0.13658859717834351</v>
      </c>
      <c r="P35" s="290">
        <f t="shared" si="45"/>
        <v>0.11754839767703759</v>
      </c>
      <c r="Q35" s="289">
        <f t="shared" si="45"/>
        <v>7.8506510308858649E-2</v>
      </c>
      <c r="R35" s="289">
        <f t="shared" si="45"/>
        <v>-3.0078729131059277E-2</v>
      </c>
      <c r="S35" s="289">
        <f t="shared" si="45"/>
        <v>-1.4606547348130196E-2</v>
      </c>
      <c r="T35" s="289">
        <f t="shared" si="45"/>
        <v>1.4829209208542912E-2</v>
      </c>
      <c r="U35" s="289">
        <f t="shared" si="45"/>
        <v>5.2109484689545571E-2</v>
      </c>
      <c r="V35" s="289">
        <f t="shared" si="45"/>
        <v>0.18564424111638672</v>
      </c>
      <c r="W35" s="289">
        <f t="shared" si="45"/>
        <v>4.3689156988339112E-2</v>
      </c>
      <c r="X35" s="289">
        <f t="shared" si="45"/>
        <v>-2.7653171649895266E-3</v>
      </c>
      <c r="Y35" s="289">
        <f t="shared" si="45"/>
        <v>-0.28147964584671431</v>
      </c>
      <c r="Z35" s="289">
        <f t="shared" si="45"/>
        <v>0.19574763383761526</v>
      </c>
      <c r="AA35" s="289">
        <f t="shared" si="45"/>
        <v>0.11017970363115726</v>
      </c>
      <c r="AB35" s="289">
        <f t="shared" si="45"/>
        <v>0.1397253719956906</v>
      </c>
      <c r="AC35" s="289">
        <f t="shared" si="45"/>
        <v>6.99146913525516E-2</v>
      </c>
      <c r="AD35" s="289">
        <f t="shared" si="45"/>
        <v>-3.3074168174812089E-2</v>
      </c>
      <c r="AE35" s="289">
        <f t="shared" si="45"/>
        <v>-4.9923996152312442E-3</v>
      </c>
      <c r="AF35" s="289">
        <f t="shared" si="45"/>
        <v>2.1921141834351805E-2</v>
      </c>
      <c r="AG35" s="289">
        <f t="shared" si="45"/>
        <v>5.9172213502884353E-2</v>
      </c>
      <c r="AH35" s="289">
        <f t="shared" si="45"/>
        <v>0.19401235892656052</v>
      </c>
      <c r="AJ35" s="289">
        <f ca="1">(AJ66*4)/AVERAGE(AI84:AJ84)</f>
        <v>-4.897972018251763E-2</v>
      </c>
      <c r="AK35" s="289">
        <f t="shared" ref="AK35:AS35" ca="1" si="46">(AK66*4)/AVERAGE(AJ84:AK84)</f>
        <v>0.20334487450705549</v>
      </c>
      <c r="AL35" s="289">
        <f t="shared" ca="1" si="46"/>
        <v>-0.12328430425474277</v>
      </c>
      <c r="AM35" s="290">
        <f t="shared" ca="1" si="46"/>
        <v>0.29077883920917241</v>
      </c>
      <c r="AN35" s="289">
        <f t="shared" ca="1" si="46"/>
        <v>2.0671600671991704E-2</v>
      </c>
      <c r="AO35" s="289">
        <f t="shared" ca="1" si="46"/>
        <v>0.15285627803984617</v>
      </c>
      <c r="AP35" s="289">
        <f t="shared" ca="1" si="46"/>
        <v>-0.14552508139732667</v>
      </c>
      <c r="AQ35" s="289">
        <f t="shared" ca="1" si="46"/>
        <v>0.26768448652941751</v>
      </c>
      <c r="AR35" s="289">
        <f t="shared" ca="1" si="46"/>
        <v>1.88366926022061E-2</v>
      </c>
      <c r="AS35" s="289">
        <f t="shared" ca="1" si="46"/>
        <v>0.16111347381351449</v>
      </c>
      <c r="AU35" s="289">
        <f ca="1">(AU66*2)/AVERAGE(AT84:AU84)</f>
        <v>7.5876427767826424E-2</v>
      </c>
      <c r="AV35" s="289">
        <f ca="1">(AV66)/AVERAGE(AU84:AV84)</f>
        <v>8.5238199729813557E-2</v>
      </c>
      <c r="AW35" s="289">
        <f t="shared" ref="AW35" ca="1" si="47">(AW66)/AVERAGE(AV84:AW84)</f>
        <v>7.5517906358877104E-2</v>
      </c>
    </row>
    <row r="36" spans="3:49" x14ac:dyDescent="0.25">
      <c r="C36" s="42" t="s">
        <v>264</v>
      </c>
      <c r="D36" s="1"/>
      <c r="E36" s="369">
        <f>E30</f>
        <v>2.7067446322985494E-2</v>
      </c>
      <c r="F36" s="369">
        <f t="shared" ref="F36:AH36" si="48">F30</f>
        <v>-9.6156354999514096E-2</v>
      </c>
      <c r="G36" s="369">
        <f t="shared" si="48"/>
        <v>-2.5953519536051951E-2</v>
      </c>
      <c r="H36" s="369">
        <f t="shared" si="48"/>
        <v>3.151401352275942E-2</v>
      </c>
      <c r="I36" s="369">
        <f t="shared" si="48"/>
        <v>6.6769424197060043E-2</v>
      </c>
      <c r="J36" s="369">
        <f t="shared" si="48"/>
        <v>0.19575965683625171</v>
      </c>
      <c r="K36" s="369">
        <f t="shared" si="48"/>
        <v>5.4693098833683555E-2</v>
      </c>
      <c r="L36" s="369">
        <f t="shared" si="48"/>
        <v>2.3333239961947014E-2</v>
      </c>
      <c r="M36" s="369">
        <f t="shared" si="48"/>
        <v>-0.31068380375932292</v>
      </c>
      <c r="N36" s="369">
        <f t="shared" si="48"/>
        <v>0.17840447533577702</v>
      </c>
      <c r="O36" s="369">
        <f t="shared" si="48"/>
        <v>0.11706087289707992</v>
      </c>
      <c r="P36" s="371">
        <f t="shared" si="48"/>
        <v>9.646079487591748E-2</v>
      </c>
      <c r="Q36" s="369">
        <f t="shared" si="48"/>
        <v>7.1680884761269631E-2</v>
      </c>
      <c r="R36" s="369">
        <f t="shared" si="48"/>
        <v>-3.3727151792477213E-2</v>
      </c>
      <c r="S36" s="369">
        <f t="shared" si="48"/>
        <v>-1.7141609933424794E-2</v>
      </c>
      <c r="T36" s="369">
        <f t="shared" si="48"/>
        <v>1.7087505112894801E-2</v>
      </c>
      <c r="U36" s="369">
        <f t="shared" si="48"/>
        <v>5.9003954849846912E-2</v>
      </c>
      <c r="V36" s="369">
        <f t="shared" si="48"/>
        <v>0.16142645378597481</v>
      </c>
      <c r="W36" s="369">
        <f t="shared" si="48"/>
        <v>4.3715217868370661E-2</v>
      </c>
      <c r="X36" s="369">
        <f t="shared" si="48"/>
        <v>-3.222163301803777E-3</v>
      </c>
      <c r="Y36" s="369">
        <f t="shared" si="48"/>
        <v>-0.32845170521586797</v>
      </c>
      <c r="Z36" s="369">
        <f t="shared" si="48"/>
        <v>0.1589373059302823</v>
      </c>
      <c r="AA36" s="369">
        <f t="shared" si="48"/>
        <v>9.6551351817460163E-2</v>
      </c>
      <c r="AB36" s="369">
        <f t="shared" si="48"/>
        <v>0.11363382715628773</v>
      </c>
      <c r="AC36" s="369">
        <f t="shared" si="48"/>
        <v>6.354963235976166E-2</v>
      </c>
      <c r="AD36" s="369">
        <f t="shared" si="48"/>
        <v>-3.6893397078702317E-2</v>
      </c>
      <c r="AE36" s="369">
        <f t="shared" si="48"/>
        <v>-5.829781486308268E-3</v>
      </c>
      <c r="AF36" s="369">
        <f t="shared" si="48"/>
        <v>2.5147637861566735E-2</v>
      </c>
      <c r="AG36" s="369">
        <f t="shared" si="48"/>
        <v>6.6740652065689507E-2</v>
      </c>
      <c r="AH36" s="369">
        <f t="shared" si="48"/>
        <v>0.16817831554485893</v>
      </c>
      <c r="AI36" s="372"/>
      <c r="AJ36" s="369">
        <f t="shared" ref="AJ36:AW36" ca="1" si="49">AJ30</f>
        <v>-2.7133710559122271E-2</v>
      </c>
      <c r="AK36" s="369">
        <f t="shared" ca="1" si="49"/>
        <v>0.10945733718926427</v>
      </c>
      <c r="AL36" s="369">
        <f t="shared" ca="1" si="49"/>
        <v>-7.1487132969008535E-2</v>
      </c>
      <c r="AM36" s="371">
        <f t="shared" ca="1" si="49"/>
        <v>0.13019396797186075</v>
      </c>
      <c r="AN36" s="369">
        <f t="shared" ca="1" si="49"/>
        <v>1.1882229495286894E-2</v>
      </c>
      <c r="AO36" s="369">
        <f t="shared" ca="1" si="49"/>
        <v>8.741862591844915E-2</v>
      </c>
      <c r="AP36" s="369">
        <f t="shared" ca="1" si="49"/>
        <v>-8.7808300893168587E-2</v>
      </c>
      <c r="AQ36" s="369">
        <f t="shared" ca="1" si="49"/>
        <v>0.12352271023349867</v>
      </c>
      <c r="AR36" s="369">
        <f t="shared" ca="1" si="49"/>
        <v>1.1140176401183742E-2</v>
      </c>
      <c r="AS36" s="369">
        <f t="shared" ca="1" si="49"/>
        <v>9.4855479318447358E-2</v>
      </c>
      <c r="AT36" s="372"/>
      <c r="AU36" s="369">
        <f t="shared" ca="1" si="49"/>
        <v>4.3021922874742449E-2</v>
      </c>
      <c r="AV36" s="369">
        <f t="shared" ca="1" si="49"/>
        <v>4.6656111623644039E-2</v>
      </c>
      <c r="AW36" s="369">
        <f t="shared" ca="1" si="49"/>
        <v>4.2811015569673733E-2</v>
      </c>
    </row>
    <row r="37" spans="3:49" x14ac:dyDescent="0.25">
      <c r="C37" s="42" t="s">
        <v>522</v>
      </c>
      <c r="D37" s="1"/>
      <c r="E37" s="370">
        <f>E20</f>
        <v>0.72616243273757342</v>
      </c>
      <c r="F37" s="373">
        <f t="shared" ref="F37:AH37" si="50">F20</f>
        <v>0.59500912780746673</v>
      </c>
      <c r="G37" s="373">
        <f t="shared" si="50"/>
        <v>0.59783245052859335</v>
      </c>
      <c r="H37" s="373">
        <f t="shared" si="50"/>
        <v>0.62266356520919475</v>
      </c>
      <c r="I37" s="373">
        <f t="shared" si="50"/>
        <v>0.61103125771632061</v>
      </c>
      <c r="J37" s="373">
        <f t="shared" si="50"/>
        <v>0.8423768781646902</v>
      </c>
      <c r="K37" s="373">
        <f t="shared" si="50"/>
        <v>0.71152200281850841</v>
      </c>
      <c r="L37" s="373">
        <f t="shared" si="50"/>
        <v>0.62521357321488447</v>
      </c>
      <c r="M37" s="373">
        <f t="shared" si="50"/>
        <v>0.6308344008429706</v>
      </c>
      <c r="N37" s="373">
        <f t="shared" si="50"/>
        <v>0.85317537883730676</v>
      </c>
      <c r="O37" s="373">
        <f t="shared" si="50"/>
        <v>0.82188517445578491</v>
      </c>
      <c r="P37" s="374">
        <f t="shared" si="50"/>
        <v>0.8405524618395076</v>
      </c>
      <c r="Q37" s="373">
        <f t="shared" si="50"/>
        <v>0.7552429791064631</v>
      </c>
      <c r="R37" s="373">
        <f t="shared" si="50"/>
        <v>0.63803316247357156</v>
      </c>
      <c r="S37" s="373">
        <f t="shared" si="50"/>
        <v>0.63336432241968177</v>
      </c>
      <c r="T37" s="373">
        <f t="shared" si="50"/>
        <v>0.65137590881932805</v>
      </c>
      <c r="U37" s="373">
        <f t="shared" si="50"/>
        <v>0.66810734506069991</v>
      </c>
      <c r="V37" s="373">
        <f t="shared" si="50"/>
        <v>0.85305360500611005</v>
      </c>
      <c r="W37" s="373">
        <f t="shared" si="50"/>
        <v>0.73302215474678489</v>
      </c>
      <c r="X37" s="373">
        <f t="shared" si="50"/>
        <v>0.63877218458140794</v>
      </c>
      <c r="Y37" s="373">
        <f t="shared" si="50"/>
        <v>0.62886771639746375</v>
      </c>
      <c r="Z37" s="373">
        <f t="shared" si="50"/>
        <v>0.87978447303555951</v>
      </c>
      <c r="AA37" s="373">
        <f t="shared" si="50"/>
        <v>0.81424932952361351</v>
      </c>
      <c r="AB37" s="373">
        <f t="shared" si="50"/>
        <v>0.86441118247572457</v>
      </c>
      <c r="AC37" s="373">
        <f t="shared" si="50"/>
        <v>0.76029179216925402</v>
      </c>
      <c r="AD37" s="373">
        <f t="shared" si="50"/>
        <v>0.64219395570075644</v>
      </c>
      <c r="AE37" s="373">
        <f t="shared" si="50"/>
        <v>0.63696457774107973</v>
      </c>
      <c r="AF37" s="373">
        <f t="shared" si="50"/>
        <v>0.65450983474978164</v>
      </c>
      <c r="AG37" s="373">
        <f t="shared" si="50"/>
        <v>0.67085108934052196</v>
      </c>
      <c r="AH37" s="373">
        <f t="shared" si="50"/>
        <v>0.85609433554381964</v>
      </c>
      <c r="AI37" s="375"/>
      <c r="AJ37" s="373">
        <f t="shared" ref="AJ37:AW37" ca="1" si="51">AJ20</f>
        <v>0.67083709118035695</v>
      </c>
      <c r="AK37" s="373">
        <f t="shared" ca="1" si="51"/>
        <v>0.70569594527180146</v>
      </c>
      <c r="AL37" s="373">
        <f t="shared" ca="1" si="51"/>
        <v>0.6563985430167516</v>
      </c>
      <c r="AM37" s="374">
        <f t="shared" ca="1" si="51"/>
        <v>0.83434846741941182</v>
      </c>
      <c r="AN37" s="373">
        <f t="shared" ca="1" si="51"/>
        <v>0.67880300653542203</v>
      </c>
      <c r="AO37" s="373">
        <f t="shared" ca="1" si="51"/>
        <v>0.70891921663096003</v>
      </c>
      <c r="AP37" s="373">
        <f t="shared" ca="1" si="51"/>
        <v>0.66036455354913426</v>
      </c>
      <c r="AQ37" s="373">
        <f t="shared" ca="1" si="51"/>
        <v>0.84612705746895855</v>
      </c>
      <c r="AR37" s="373">
        <f t="shared" ca="1" si="51"/>
        <v>0.68287678387382389</v>
      </c>
      <c r="AS37" s="373">
        <f t="shared" ca="1" si="51"/>
        <v>0.71201375987003213</v>
      </c>
      <c r="AT37" s="375"/>
      <c r="AU37" s="373">
        <f t="shared" ca="1" si="51"/>
        <v>0.68437053618677324</v>
      </c>
      <c r="AV37" s="373">
        <f t="shared" ca="1" si="51"/>
        <v>0.72300372757786247</v>
      </c>
      <c r="AW37" s="373">
        <f t="shared" ca="1" si="51"/>
        <v>0.7234180689699844</v>
      </c>
    </row>
    <row r="38" spans="3:49" x14ac:dyDescent="0.25">
      <c r="C38" s="42" t="s">
        <v>536</v>
      </c>
      <c r="D38" s="1"/>
      <c r="E38" s="370">
        <f>E43</f>
        <v>2.8183017930568166</v>
      </c>
      <c r="F38" s="373">
        <f t="shared" ref="F38:AH38" si="52">F43</f>
        <v>2.7669074044044657</v>
      </c>
      <c r="G38" s="373">
        <f t="shared" si="52"/>
        <v>2.6908534429005275</v>
      </c>
      <c r="H38" s="373">
        <f t="shared" si="52"/>
        <v>2.6712961277760967</v>
      </c>
      <c r="I38" s="373">
        <f t="shared" si="52"/>
        <v>2.8283545008773698</v>
      </c>
      <c r="J38" s="373">
        <f t="shared" si="52"/>
        <v>2.577067269075846</v>
      </c>
      <c r="K38" s="373">
        <f t="shared" si="52"/>
        <v>2.6165954152963748</v>
      </c>
      <c r="L38" s="373">
        <f t="shared" si="52"/>
        <v>2.5110874081370347</v>
      </c>
      <c r="M38" s="373">
        <f t="shared" si="52"/>
        <v>2.6791375655570691</v>
      </c>
      <c r="N38" s="373">
        <f t="shared" si="52"/>
        <v>2.6061908599335517</v>
      </c>
      <c r="O38" s="373">
        <f t="shared" si="52"/>
        <v>2.6699675366090885</v>
      </c>
      <c r="P38" s="374">
        <f t="shared" si="52"/>
        <v>2.6747279735817471</v>
      </c>
      <c r="Q38" s="373">
        <f t="shared" si="52"/>
        <v>2.635257184498585</v>
      </c>
      <c r="R38" s="373">
        <f t="shared" si="52"/>
        <v>2.4737727446943416</v>
      </c>
      <c r="S38" s="373">
        <f t="shared" si="52"/>
        <v>2.4516573097798946</v>
      </c>
      <c r="T38" s="373">
        <f t="shared" si="52"/>
        <v>2.4259950078416552</v>
      </c>
      <c r="U38" s="373">
        <f t="shared" si="52"/>
        <v>2.402305253718747</v>
      </c>
      <c r="V38" s="373">
        <f t="shared" si="52"/>
        <v>2.4808021309465738</v>
      </c>
      <c r="W38" s="373">
        <f t="shared" si="52"/>
        <v>2.4212269169956189</v>
      </c>
      <c r="X38" s="373">
        <f t="shared" si="52"/>
        <v>2.40265349823345</v>
      </c>
      <c r="Y38" s="373">
        <f t="shared" si="52"/>
        <v>2.5396299967219225</v>
      </c>
      <c r="Z38" s="373">
        <f t="shared" si="52"/>
        <v>2.5491639462820257</v>
      </c>
      <c r="AA38" s="373">
        <f t="shared" si="52"/>
        <v>2.4938607873736718</v>
      </c>
      <c r="AB38" s="373">
        <f t="shared" si="52"/>
        <v>2.5813425996544579</v>
      </c>
      <c r="AC38" s="373">
        <f t="shared" si="52"/>
        <v>2.5475779887261423</v>
      </c>
      <c r="AD38" s="373">
        <f t="shared" si="52"/>
        <v>2.3939844404767348</v>
      </c>
      <c r="AE38" s="373">
        <f t="shared" si="52"/>
        <v>2.3713752145032823</v>
      </c>
      <c r="AF38" s="373">
        <f t="shared" si="52"/>
        <v>2.3467728918513466</v>
      </c>
      <c r="AG38" s="373">
        <f t="shared" si="52"/>
        <v>2.3230419092869559</v>
      </c>
      <c r="AH38" s="373">
        <f t="shared" si="52"/>
        <v>2.3990846606303737</v>
      </c>
      <c r="AI38" s="375"/>
      <c r="AJ38" s="373">
        <f t="shared" ref="AJ38:AW38" ca="1" si="53">AJ43</f>
        <v>2.6908534429005275</v>
      </c>
      <c r="AK38" s="373">
        <f t="shared" ca="1" si="53"/>
        <v>2.577067269075846</v>
      </c>
      <c r="AL38" s="373">
        <f t="shared" ca="1" si="53"/>
        <v>2.6791375655570691</v>
      </c>
      <c r="AM38" s="374">
        <f t="shared" ca="1" si="53"/>
        <v>2.6747279735817471</v>
      </c>
      <c r="AN38" s="373">
        <f t="shared" ca="1" si="53"/>
        <v>2.4516573097798946</v>
      </c>
      <c r="AO38" s="373">
        <f t="shared" ca="1" si="53"/>
        <v>2.4808021309465738</v>
      </c>
      <c r="AP38" s="373">
        <f t="shared" ca="1" si="53"/>
        <v>2.5396299967219225</v>
      </c>
      <c r="AQ38" s="373">
        <f t="shared" ca="1" si="53"/>
        <v>2.5813425996544579</v>
      </c>
      <c r="AR38" s="373">
        <f t="shared" ca="1" si="53"/>
        <v>2.3713752145032823</v>
      </c>
      <c r="AS38" s="373">
        <f t="shared" ca="1" si="53"/>
        <v>2.3990846606303737</v>
      </c>
      <c r="AT38" s="375"/>
      <c r="AU38" s="373">
        <f t="shared" ca="1" si="53"/>
        <v>2.577067269075846</v>
      </c>
      <c r="AV38" s="373">
        <f t="shared" ca="1" si="53"/>
        <v>2.4808021309465738</v>
      </c>
      <c r="AW38" s="373">
        <f t="shared" ca="1" si="53"/>
        <v>2.3990846606303737</v>
      </c>
    </row>
    <row r="39" spans="3:49" x14ac:dyDescent="0.25">
      <c r="P39" s="8"/>
      <c r="AM39" s="8"/>
    </row>
    <row r="40" spans="3:49" x14ac:dyDescent="0.25">
      <c r="C40" s="11" t="s">
        <v>520</v>
      </c>
      <c r="D40" s="11"/>
      <c r="E40" s="45" t="str">
        <f t="shared" ref="E40:AH40" si="54">E$9</f>
        <v>Jul-20A</v>
      </c>
      <c r="F40" s="45" t="str">
        <f t="shared" si="54"/>
        <v>Aug-20A</v>
      </c>
      <c r="G40" s="45" t="str">
        <f t="shared" si="54"/>
        <v>Sep-20A</v>
      </c>
      <c r="H40" s="45" t="str">
        <f t="shared" si="54"/>
        <v>Oct-20A</v>
      </c>
      <c r="I40" s="45" t="str">
        <f t="shared" si="54"/>
        <v>Nov-20A</v>
      </c>
      <c r="J40" s="45" t="str">
        <f t="shared" si="54"/>
        <v>Dec-20A</v>
      </c>
      <c r="K40" s="45" t="str">
        <f t="shared" si="54"/>
        <v>Jan-21A</v>
      </c>
      <c r="L40" s="45" t="str">
        <f t="shared" si="54"/>
        <v>Feb-21A</v>
      </c>
      <c r="M40" s="45" t="str">
        <f t="shared" si="54"/>
        <v>Mar-21A</v>
      </c>
      <c r="N40" s="45" t="str">
        <f t="shared" si="54"/>
        <v>Apr-21A</v>
      </c>
      <c r="O40" s="45" t="str">
        <f t="shared" si="54"/>
        <v>May-21A</v>
      </c>
      <c r="P40" s="46" t="str">
        <f t="shared" si="54"/>
        <v>Jun-21A</v>
      </c>
      <c r="Q40" s="45" t="str">
        <f t="shared" si="54"/>
        <v>Jul-21F</v>
      </c>
      <c r="R40" s="45" t="str">
        <f t="shared" si="54"/>
        <v>Aug-21F</v>
      </c>
      <c r="S40" s="45" t="str">
        <f t="shared" si="54"/>
        <v>Sep-21F</v>
      </c>
      <c r="T40" s="45" t="str">
        <f t="shared" si="54"/>
        <v>Oct-21F</v>
      </c>
      <c r="U40" s="45" t="str">
        <f t="shared" si="54"/>
        <v>Nov-21F</v>
      </c>
      <c r="V40" s="45" t="str">
        <f t="shared" si="54"/>
        <v>Dec-21F</v>
      </c>
      <c r="W40" s="45" t="str">
        <f t="shared" si="54"/>
        <v>Jan-22F</v>
      </c>
      <c r="X40" s="45" t="str">
        <f t="shared" si="54"/>
        <v>Feb-22F</v>
      </c>
      <c r="Y40" s="45" t="str">
        <f t="shared" si="54"/>
        <v>Mar-22F</v>
      </c>
      <c r="Z40" s="45" t="str">
        <f t="shared" si="54"/>
        <v>Apr-22F</v>
      </c>
      <c r="AA40" s="45" t="str">
        <f t="shared" si="54"/>
        <v>May-22F</v>
      </c>
      <c r="AB40" s="45" t="str">
        <f t="shared" si="54"/>
        <v>Jun-22F</v>
      </c>
      <c r="AC40" s="45" t="str">
        <f t="shared" si="54"/>
        <v>Jul-22F</v>
      </c>
      <c r="AD40" s="45" t="str">
        <f t="shared" si="54"/>
        <v>Aug-22F</v>
      </c>
      <c r="AE40" s="45" t="str">
        <f t="shared" si="54"/>
        <v>Sep-22F</v>
      </c>
      <c r="AF40" s="45" t="str">
        <f t="shared" si="54"/>
        <v>Oct-22F</v>
      </c>
      <c r="AG40" s="45" t="str">
        <f t="shared" si="54"/>
        <v>Nov-22F</v>
      </c>
      <c r="AH40" s="45" t="str">
        <f t="shared" si="54"/>
        <v>Dec-22F</v>
      </c>
      <c r="AJ40" s="45" t="str">
        <f ca="1">AJ$10</f>
        <v>Q3'20A</v>
      </c>
      <c r="AK40" s="45" t="str">
        <f t="shared" ref="AK40:AW40" ca="1" si="55">AK$10</f>
        <v>Q4'20A</v>
      </c>
      <c r="AL40" s="45" t="str">
        <f t="shared" ca="1" si="55"/>
        <v>Q1'21A</v>
      </c>
      <c r="AM40" s="46" t="str">
        <f t="shared" ca="1" si="55"/>
        <v>Q2'21A</v>
      </c>
      <c r="AN40" s="45" t="str">
        <f t="shared" ca="1" si="55"/>
        <v>Q3'21F</v>
      </c>
      <c r="AO40" s="45" t="str">
        <f t="shared" ca="1" si="55"/>
        <v>Q4'21F</v>
      </c>
      <c r="AP40" s="45" t="str">
        <f t="shared" ca="1" si="55"/>
        <v>Q1'22F</v>
      </c>
      <c r="AQ40" s="45" t="str">
        <f t="shared" ca="1" si="55"/>
        <v>Q2'22F</v>
      </c>
      <c r="AR40" s="45" t="str">
        <f t="shared" ca="1" si="55"/>
        <v>Q3'22F</v>
      </c>
      <c r="AS40" s="45" t="str">
        <f t="shared" ca="1" si="55"/>
        <v>Q4'22F</v>
      </c>
      <c r="AU40" s="45" t="str">
        <f t="shared" ca="1" si="55"/>
        <v>FY20</v>
      </c>
      <c r="AV40" s="45" t="str">
        <f t="shared" ca="1" si="55"/>
        <v>FY21</v>
      </c>
      <c r="AW40" s="45" t="str">
        <f t="shared" ca="1" si="55"/>
        <v>FY22</v>
      </c>
    </row>
    <row r="41" spans="3:49" x14ac:dyDescent="0.25">
      <c r="C41" s="1" t="s">
        <v>534</v>
      </c>
      <c r="D41" s="1"/>
      <c r="E41" s="292">
        <f>E82/E79</f>
        <v>0.33469955901962767</v>
      </c>
      <c r="F41" s="292">
        <f t="shared" ref="F41:AH41" si="56">F82/F79</f>
        <v>0.36395635078397781</v>
      </c>
      <c r="G41" s="292">
        <f t="shared" si="56"/>
        <v>0.37556601929525618</v>
      </c>
      <c r="H41" s="292">
        <f t="shared" si="56"/>
        <v>0.37666069500916</v>
      </c>
      <c r="I41" s="292">
        <f t="shared" si="56"/>
        <v>0.4092124440661728</v>
      </c>
      <c r="J41" s="292">
        <f t="shared" si="56"/>
        <v>0.33698076661331949</v>
      </c>
      <c r="K41" s="292">
        <f t="shared" si="56"/>
        <v>0.32910675348697466</v>
      </c>
      <c r="L41" s="292">
        <f t="shared" si="56"/>
        <v>0.34186761304859675</v>
      </c>
      <c r="M41" s="292">
        <f t="shared" si="56"/>
        <v>0.33428919403450058</v>
      </c>
      <c r="N41" s="292">
        <f t="shared" si="56"/>
        <v>0.33231929786300063</v>
      </c>
      <c r="O41" s="292">
        <f t="shared" si="56"/>
        <v>0.31872305933396289</v>
      </c>
      <c r="P41" s="293">
        <f t="shared" si="56"/>
        <v>0.31246245726638255</v>
      </c>
      <c r="Q41" s="142">
        <f t="shared" si="56"/>
        <v>0.31336666355928344</v>
      </c>
      <c r="R41" s="142">
        <f t="shared" si="56"/>
        <v>0.33535563125386331</v>
      </c>
      <c r="S41" s="142">
        <f t="shared" si="56"/>
        <v>0.33913553907821292</v>
      </c>
      <c r="T41" s="142">
        <f t="shared" si="56"/>
        <v>0.3419485427661032</v>
      </c>
      <c r="U41" s="142">
        <f t="shared" si="56"/>
        <v>0.34259282856436224</v>
      </c>
      <c r="V41" s="142">
        <f t="shared" si="56"/>
        <v>0.32258395499086157</v>
      </c>
      <c r="W41" s="142">
        <f t="shared" si="56"/>
        <v>0.32836511312607464</v>
      </c>
      <c r="X41" s="142">
        <f t="shared" si="56"/>
        <v>0.33104042053926264</v>
      </c>
      <c r="Y41" s="142">
        <f t="shared" si="56"/>
        <v>0.32678820170575673</v>
      </c>
      <c r="Z41" s="142">
        <f t="shared" si="56"/>
        <v>0.31605413595932758</v>
      </c>
      <c r="AA41" s="142">
        <f t="shared" si="56"/>
        <v>0.31777023773584717</v>
      </c>
      <c r="AB41" s="142">
        <f t="shared" si="56"/>
        <v>0.30068851499914373</v>
      </c>
      <c r="AC41" s="142">
        <f t="shared" si="56"/>
        <v>0.30154410100196183</v>
      </c>
      <c r="AD41" s="142">
        <f t="shared" si="56"/>
        <v>0.32245994984539195</v>
      </c>
      <c r="AE41" s="142">
        <f t="shared" si="56"/>
        <v>0.32577446542340011</v>
      </c>
      <c r="AF41" s="142">
        <f t="shared" si="56"/>
        <v>0.32812626913876547</v>
      </c>
      <c r="AG41" s="142">
        <f t="shared" si="56"/>
        <v>0.32860307041033976</v>
      </c>
      <c r="AH41" s="142">
        <f t="shared" si="56"/>
        <v>0.30929770998477907</v>
      </c>
      <c r="AJ41" s="142">
        <f t="shared" ref="AJ41:AS41" ca="1" si="57">AJ82/AJ79</f>
        <v>0.37556601929525618</v>
      </c>
      <c r="AK41" s="142">
        <f t="shared" ca="1" si="57"/>
        <v>0.33698076661331949</v>
      </c>
      <c r="AL41" s="142">
        <f t="shared" ca="1" si="57"/>
        <v>0.33428919403450058</v>
      </c>
      <c r="AM41" s="293">
        <f t="shared" ca="1" si="57"/>
        <v>0.31246245726638255</v>
      </c>
      <c r="AN41" s="142">
        <f t="shared" ca="1" si="57"/>
        <v>0.33913553907821292</v>
      </c>
      <c r="AO41" s="142">
        <f t="shared" ca="1" si="57"/>
        <v>0.32258395499086157</v>
      </c>
      <c r="AP41" s="142">
        <f t="shared" ca="1" si="57"/>
        <v>0.32678820170575673</v>
      </c>
      <c r="AQ41" s="142">
        <f t="shared" ca="1" si="57"/>
        <v>0.30068851499914373</v>
      </c>
      <c r="AR41" s="142">
        <f t="shared" ca="1" si="57"/>
        <v>0.32577446542340011</v>
      </c>
      <c r="AS41" s="142">
        <f t="shared" ca="1" si="57"/>
        <v>0.30929770998477907</v>
      </c>
      <c r="AU41" s="142">
        <f ca="1">AU82/AU79</f>
        <v>0.33698076661331949</v>
      </c>
      <c r="AV41" s="142">
        <f ca="1">AV82/AV79</f>
        <v>0.32258395499086157</v>
      </c>
      <c r="AW41" s="142">
        <f ca="1">AW82/AW79</f>
        <v>0.30929770998477907</v>
      </c>
    </row>
    <row r="42" spans="3:49" x14ac:dyDescent="0.25">
      <c r="C42" s="1" t="s">
        <v>535</v>
      </c>
      <c r="D42" s="1"/>
      <c r="E42" s="292">
        <f>E82/E84</f>
        <v>0.94328436732034238</v>
      </c>
      <c r="F42" s="292">
        <f t="shared" ref="F42:AH42" si="58">F82/F84</f>
        <v>1.0070335218642172</v>
      </c>
      <c r="G42" s="292">
        <f t="shared" si="58"/>
        <v>1.010593116057086</v>
      </c>
      <c r="H42" s="292">
        <f t="shared" si="58"/>
        <v>1.0061722560634225</v>
      </c>
      <c r="I42" s="292">
        <f t="shared" si="58"/>
        <v>1.1573978579895887</v>
      </c>
      <c r="J42" s="292">
        <f t="shared" si="58"/>
        <v>0.86842210394727226</v>
      </c>
      <c r="K42" s="292">
        <f t="shared" si="58"/>
        <v>0.86113922231709228</v>
      </c>
      <c r="L42" s="292">
        <f t="shared" si="58"/>
        <v>0.85845945837619564</v>
      </c>
      <c r="M42" s="292">
        <f t="shared" si="58"/>
        <v>0.89560673749762665</v>
      </c>
      <c r="N42" s="292">
        <f t="shared" si="58"/>
        <v>0.86608751667008776</v>
      </c>
      <c r="O42" s="292">
        <f t="shared" si="58"/>
        <v>0.85098022159041331</v>
      </c>
      <c r="P42" s="293">
        <f t="shared" si="58"/>
        <v>0.83575207514448457</v>
      </c>
      <c r="Q42" s="142">
        <f t="shared" si="58"/>
        <v>0.82580175152695268</v>
      </c>
      <c r="R42" s="142">
        <f t="shared" si="58"/>
        <v>0.82959362037557305</v>
      </c>
      <c r="S42" s="142">
        <f t="shared" si="58"/>
        <v>0.83144412338724571</v>
      </c>
      <c r="T42" s="142">
        <f t="shared" si="58"/>
        <v>0.82956545768929513</v>
      </c>
      <c r="U42" s="142">
        <f t="shared" si="58"/>
        <v>0.82301255194653355</v>
      </c>
      <c r="V42" s="142">
        <f t="shared" si="58"/>
        <v>0.80026696295050304</v>
      </c>
      <c r="W42" s="142">
        <f t="shared" si="58"/>
        <v>0.79504645050316336</v>
      </c>
      <c r="X42" s="142">
        <f t="shared" si="58"/>
        <v>0.79537542446533183</v>
      </c>
      <c r="Y42" s="142">
        <f t="shared" si="58"/>
        <v>0.82992111962675397</v>
      </c>
      <c r="Z42" s="142">
        <f t="shared" si="58"/>
        <v>0.80567380846083536</v>
      </c>
      <c r="AA42" s="142">
        <f t="shared" si="58"/>
        <v>0.7924747352838386</v>
      </c>
      <c r="AB42" s="142">
        <f t="shared" si="58"/>
        <v>0.77618007299412828</v>
      </c>
      <c r="AC42" s="142">
        <f t="shared" si="58"/>
        <v>0.76820711434281064</v>
      </c>
      <c r="AD42" s="142">
        <f t="shared" si="58"/>
        <v>0.77196410260677673</v>
      </c>
      <c r="AE42" s="142">
        <f t="shared" si="58"/>
        <v>0.77253349282310746</v>
      </c>
      <c r="AF42" s="142">
        <f t="shared" si="58"/>
        <v>0.77003783351917388</v>
      </c>
      <c r="AG42" s="142">
        <f t="shared" si="58"/>
        <v>0.76335870408359163</v>
      </c>
      <c r="AH42" s="142">
        <f t="shared" si="58"/>
        <v>0.74203139159258547</v>
      </c>
      <c r="AJ42" s="142">
        <f t="shared" ref="AJ42:AS42" ca="1" si="59">AJ82/AJ84</f>
        <v>1.010593116057086</v>
      </c>
      <c r="AK42" s="142">
        <f t="shared" ca="1" si="59"/>
        <v>0.86842210394727226</v>
      </c>
      <c r="AL42" s="142">
        <f t="shared" ca="1" si="59"/>
        <v>0.89560673749762665</v>
      </c>
      <c r="AM42" s="293">
        <f t="shared" ca="1" si="59"/>
        <v>0.83575207514448457</v>
      </c>
      <c r="AN42" s="142">
        <f t="shared" ca="1" si="59"/>
        <v>0.83144412338724571</v>
      </c>
      <c r="AO42" s="142">
        <f t="shared" ca="1" si="59"/>
        <v>0.80026696295050304</v>
      </c>
      <c r="AP42" s="142">
        <f t="shared" ca="1" si="59"/>
        <v>0.82992111962675397</v>
      </c>
      <c r="AQ42" s="142">
        <f t="shared" ca="1" si="59"/>
        <v>0.77618007299412828</v>
      </c>
      <c r="AR42" s="142">
        <f t="shared" ca="1" si="59"/>
        <v>0.77253349282310746</v>
      </c>
      <c r="AS42" s="142">
        <f t="shared" ca="1" si="59"/>
        <v>0.74203139159258547</v>
      </c>
      <c r="AU42" s="142">
        <f ca="1">AU82/AU84</f>
        <v>0.86842210394727226</v>
      </c>
      <c r="AV42" s="142">
        <f ca="1">AV82/AV84</f>
        <v>0.80026696295050304</v>
      </c>
      <c r="AW42" s="142">
        <f ca="1">AW82/AW84</f>
        <v>0.74203139159258547</v>
      </c>
    </row>
    <row r="43" spans="3:49" x14ac:dyDescent="0.25">
      <c r="C43" s="1" t="s">
        <v>536</v>
      </c>
      <c r="D43" s="1"/>
      <c r="E43" s="292">
        <f>E79/E84</f>
        <v>2.8183017930568166</v>
      </c>
      <c r="F43" s="292">
        <f t="shared" ref="F43:AH43" si="60">F79/F84</f>
        <v>2.7669074044044657</v>
      </c>
      <c r="G43" s="292">
        <f t="shared" si="60"/>
        <v>2.6908534429005275</v>
      </c>
      <c r="H43" s="292">
        <f t="shared" si="60"/>
        <v>2.6712961277760967</v>
      </c>
      <c r="I43" s="292">
        <f t="shared" si="60"/>
        <v>2.8283545008773698</v>
      </c>
      <c r="J43" s="292">
        <f t="shared" si="60"/>
        <v>2.577067269075846</v>
      </c>
      <c r="K43" s="292">
        <f t="shared" si="60"/>
        <v>2.6165954152963748</v>
      </c>
      <c r="L43" s="292">
        <f t="shared" si="60"/>
        <v>2.5110874081370347</v>
      </c>
      <c r="M43" s="292">
        <f t="shared" si="60"/>
        <v>2.6791375655570691</v>
      </c>
      <c r="N43" s="292">
        <f t="shared" si="60"/>
        <v>2.6061908599335517</v>
      </c>
      <c r="O43" s="292">
        <f t="shared" si="60"/>
        <v>2.6699675366090885</v>
      </c>
      <c r="P43" s="293">
        <f t="shared" si="60"/>
        <v>2.6747279735817471</v>
      </c>
      <c r="Q43" s="142">
        <f t="shared" si="60"/>
        <v>2.635257184498585</v>
      </c>
      <c r="R43" s="142">
        <f t="shared" si="60"/>
        <v>2.4737727446943416</v>
      </c>
      <c r="S43" s="142">
        <f t="shared" si="60"/>
        <v>2.4516573097798946</v>
      </c>
      <c r="T43" s="142">
        <f t="shared" si="60"/>
        <v>2.4259950078416552</v>
      </c>
      <c r="U43" s="142">
        <f t="shared" si="60"/>
        <v>2.402305253718747</v>
      </c>
      <c r="V43" s="142">
        <f t="shared" si="60"/>
        <v>2.4808021309465738</v>
      </c>
      <c r="W43" s="142">
        <f t="shared" si="60"/>
        <v>2.4212269169956189</v>
      </c>
      <c r="X43" s="142">
        <f t="shared" si="60"/>
        <v>2.40265349823345</v>
      </c>
      <c r="Y43" s="142">
        <f t="shared" si="60"/>
        <v>2.5396299967219225</v>
      </c>
      <c r="Z43" s="142">
        <f t="shared" si="60"/>
        <v>2.5491639462820257</v>
      </c>
      <c r="AA43" s="142">
        <f t="shared" si="60"/>
        <v>2.4938607873736718</v>
      </c>
      <c r="AB43" s="142">
        <f t="shared" si="60"/>
        <v>2.5813425996544579</v>
      </c>
      <c r="AC43" s="142">
        <f t="shared" si="60"/>
        <v>2.5475779887261423</v>
      </c>
      <c r="AD43" s="142">
        <f t="shared" si="60"/>
        <v>2.3939844404767348</v>
      </c>
      <c r="AE43" s="142">
        <f t="shared" si="60"/>
        <v>2.3713752145032823</v>
      </c>
      <c r="AF43" s="142">
        <f t="shared" si="60"/>
        <v>2.3467728918513466</v>
      </c>
      <c r="AG43" s="142">
        <f t="shared" si="60"/>
        <v>2.3230419092869559</v>
      </c>
      <c r="AH43" s="142">
        <f t="shared" si="60"/>
        <v>2.3990846606303737</v>
      </c>
      <c r="AJ43" s="142">
        <f t="shared" ref="AJ43:AS43" ca="1" si="61">AJ79/AJ84</f>
        <v>2.6908534429005275</v>
      </c>
      <c r="AK43" s="142">
        <f t="shared" ca="1" si="61"/>
        <v>2.577067269075846</v>
      </c>
      <c r="AL43" s="142">
        <f t="shared" ca="1" si="61"/>
        <v>2.6791375655570691</v>
      </c>
      <c r="AM43" s="293">
        <f t="shared" ca="1" si="61"/>
        <v>2.6747279735817471</v>
      </c>
      <c r="AN43" s="142">
        <f t="shared" ca="1" si="61"/>
        <v>2.4516573097798946</v>
      </c>
      <c r="AO43" s="142">
        <f t="shared" ca="1" si="61"/>
        <v>2.4808021309465738</v>
      </c>
      <c r="AP43" s="142">
        <f t="shared" ca="1" si="61"/>
        <v>2.5396299967219225</v>
      </c>
      <c r="AQ43" s="142">
        <f t="shared" ca="1" si="61"/>
        <v>2.5813425996544579</v>
      </c>
      <c r="AR43" s="142">
        <f t="shared" ca="1" si="61"/>
        <v>2.3713752145032823</v>
      </c>
      <c r="AS43" s="142">
        <f t="shared" ca="1" si="61"/>
        <v>2.3990846606303737</v>
      </c>
      <c r="AU43" s="142">
        <f ca="1">AU79/AU84</f>
        <v>2.577067269075846</v>
      </c>
      <c r="AV43" s="142">
        <f ca="1">AV79/AV84</f>
        <v>2.4808021309465738</v>
      </c>
      <c r="AW43" s="142">
        <f ca="1">AW79/AW84</f>
        <v>2.3990846606303737</v>
      </c>
    </row>
    <row r="44" spans="3:49" x14ac:dyDescent="0.25">
      <c r="C44" s="1" t="s">
        <v>537</v>
      </c>
      <c r="D44" s="1"/>
      <c r="E44" s="292">
        <f>(E66+E59)*12/E83</f>
        <v>7.3193856082221245E-2</v>
      </c>
      <c r="F44" s="292">
        <f t="shared" ref="F44:AH44" si="62">(F66+F59)*12/F83</f>
        <v>-4.6797224215580233E-2</v>
      </c>
      <c r="G44" s="292">
        <f t="shared" si="62"/>
        <v>2.1308595228396919E-2</v>
      </c>
      <c r="H44" s="292">
        <f t="shared" si="62"/>
        <v>7.8141495595296803E-2</v>
      </c>
      <c r="I44" s="292">
        <f t="shared" si="62"/>
        <v>0.10340294749413746</v>
      </c>
      <c r="J44" s="292">
        <f t="shared" si="62"/>
        <v>0.32449314123497919</v>
      </c>
      <c r="K44" s="292">
        <f t="shared" si="62"/>
        <v>0.10798510682297985</v>
      </c>
      <c r="L44" s="292">
        <f t="shared" si="62"/>
        <v>7.3486607873485946E-2</v>
      </c>
      <c r="M44" s="292">
        <f t="shared" si="62"/>
        <v>-0.26345248295782092</v>
      </c>
      <c r="N44" s="292">
        <f t="shared" si="62"/>
        <v>0.29254138782393846</v>
      </c>
      <c r="O44" s="292">
        <f t="shared" si="62"/>
        <v>0.19400820471108282</v>
      </c>
      <c r="P44" s="293">
        <f t="shared" si="62"/>
        <v>0.17091477050737588</v>
      </c>
      <c r="Q44" s="142">
        <f t="shared" si="62"/>
        <v>0.13057060955353295</v>
      </c>
      <c r="R44" s="142">
        <f t="shared" si="62"/>
        <v>1.0768301259031892E-2</v>
      </c>
      <c r="S44" s="142">
        <f t="shared" si="62"/>
        <v>3.0559470946702864E-2</v>
      </c>
      <c r="T44" s="142">
        <f t="shared" si="62"/>
        <v>6.8781995983055164E-2</v>
      </c>
      <c r="U44" s="142">
        <f t="shared" si="62"/>
        <v>0.11780485395219362</v>
      </c>
      <c r="V44" s="142">
        <f t="shared" si="62"/>
        <v>0.27019541045096407</v>
      </c>
      <c r="W44" s="142">
        <f t="shared" si="62"/>
        <v>0.1029371324582634</v>
      </c>
      <c r="X44" s="142">
        <f t="shared" si="62"/>
        <v>4.4970656284992874E-2</v>
      </c>
      <c r="Y44" s="142">
        <f t="shared" si="62"/>
        <v>-0.29240751071184828</v>
      </c>
      <c r="Z44" s="142">
        <f t="shared" si="62"/>
        <v>0.27080508507073514</v>
      </c>
      <c r="AA44" s="142">
        <f t="shared" si="62"/>
        <v>0.17698253496859076</v>
      </c>
      <c r="AB44" s="142">
        <f t="shared" si="62"/>
        <v>0.19802311146857118</v>
      </c>
      <c r="AC44" s="142">
        <f t="shared" si="62"/>
        <v>0.12211594675168523</v>
      </c>
      <c r="AD44" s="142">
        <f t="shared" si="62"/>
        <v>5.2752898687736596E-3</v>
      </c>
      <c r="AE44" s="142">
        <f t="shared" si="62"/>
        <v>4.1738001650671562E-2</v>
      </c>
      <c r="AF44" s="142">
        <f t="shared" si="62"/>
        <v>7.7698206918428686E-2</v>
      </c>
      <c r="AG44" s="142">
        <f t="shared" si="62"/>
        <v>0.12803057621143413</v>
      </c>
      <c r="AH44" s="142">
        <f t="shared" si="62"/>
        <v>0.28500452369841767</v>
      </c>
      <c r="AJ44" s="142">
        <f ca="1">((AJ66+AJ59)*4)/AJ83</f>
        <v>1.7427165219327346E-2</v>
      </c>
      <c r="AK44" s="142">
        <f t="shared" ref="AK44:AS44" ca="1" si="63">((AK66+AK59)*4)/AK83</f>
        <v>0.17301848177826781</v>
      </c>
      <c r="AL44" s="142">
        <f t="shared" ca="1" si="63"/>
        <v>-2.877821346325837E-2</v>
      </c>
      <c r="AM44" s="293">
        <f t="shared" ca="1" si="63"/>
        <v>0.21023012277045114</v>
      </c>
      <c r="AN44" s="142">
        <f t="shared" ca="1" si="63"/>
        <v>6.3201947735055983E-2</v>
      </c>
      <c r="AO44" s="142">
        <f t="shared" ca="1" si="63"/>
        <v>0.14752306938065604</v>
      </c>
      <c r="AP44" s="142">
        <f t="shared" ca="1" si="63"/>
        <v>-5.0156445108138138E-2</v>
      </c>
      <c r="AQ44" s="142">
        <f t="shared" ca="1" si="63"/>
        <v>0.205786570935337</v>
      </c>
      <c r="AR44" s="142">
        <f t="shared" ca="1" si="63"/>
        <v>6.1895490690628933E-2</v>
      </c>
      <c r="AS44" s="142">
        <f t="shared" ca="1" si="63"/>
        <v>0.15825554649890308</v>
      </c>
      <c r="AU44" s="142">
        <f ca="1">((AU66+AU59))/AU83</f>
        <v>4.7694179723600155E-2</v>
      </c>
      <c r="AV44" s="142">
        <f t="shared" ref="AV44:AW44" ca="1" si="64">((AV66+AV59))/AV83</f>
        <v>0.10144231118014942</v>
      </c>
      <c r="AW44" s="142">
        <f t="shared" ca="1" si="64"/>
        <v>9.7385280943368527E-2</v>
      </c>
    </row>
    <row r="45" spans="3:49" x14ac:dyDescent="0.25">
      <c r="P45" s="8"/>
      <c r="AM45" s="8"/>
    </row>
    <row r="46" spans="3:49" x14ac:dyDescent="0.25">
      <c r="C46" s="11" t="s">
        <v>521</v>
      </c>
      <c r="D46" s="11"/>
      <c r="E46" s="45" t="str">
        <f t="shared" ref="E46:AH46" si="65">E$9</f>
        <v>Jul-20A</v>
      </c>
      <c r="F46" s="45" t="str">
        <f t="shared" si="65"/>
        <v>Aug-20A</v>
      </c>
      <c r="G46" s="45" t="str">
        <f t="shared" si="65"/>
        <v>Sep-20A</v>
      </c>
      <c r="H46" s="45" t="str">
        <f t="shared" si="65"/>
        <v>Oct-20A</v>
      </c>
      <c r="I46" s="45" t="str">
        <f t="shared" si="65"/>
        <v>Nov-20A</v>
      </c>
      <c r="J46" s="45" t="str">
        <f t="shared" si="65"/>
        <v>Dec-20A</v>
      </c>
      <c r="K46" s="45" t="str">
        <f t="shared" si="65"/>
        <v>Jan-21A</v>
      </c>
      <c r="L46" s="45" t="str">
        <f t="shared" si="65"/>
        <v>Feb-21A</v>
      </c>
      <c r="M46" s="45" t="str">
        <f t="shared" si="65"/>
        <v>Mar-21A</v>
      </c>
      <c r="N46" s="45" t="str">
        <f t="shared" si="65"/>
        <v>Apr-21A</v>
      </c>
      <c r="O46" s="45" t="str">
        <f t="shared" si="65"/>
        <v>May-21A</v>
      </c>
      <c r="P46" s="46" t="str">
        <f t="shared" si="65"/>
        <v>Jun-21A</v>
      </c>
      <c r="Q46" s="45" t="str">
        <f t="shared" si="65"/>
        <v>Jul-21F</v>
      </c>
      <c r="R46" s="45" t="str">
        <f t="shared" si="65"/>
        <v>Aug-21F</v>
      </c>
      <c r="S46" s="45" t="str">
        <f t="shared" si="65"/>
        <v>Sep-21F</v>
      </c>
      <c r="T46" s="45" t="str">
        <f t="shared" si="65"/>
        <v>Oct-21F</v>
      </c>
      <c r="U46" s="45" t="str">
        <f t="shared" si="65"/>
        <v>Nov-21F</v>
      </c>
      <c r="V46" s="45" t="str">
        <f t="shared" si="65"/>
        <v>Dec-21F</v>
      </c>
      <c r="W46" s="45" t="str">
        <f t="shared" si="65"/>
        <v>Jan-22F</v>
      </c>
      <c r="X46" s="45" t="str">
        <f t="shared" si="65"/>
        <v>Feb-22F</v>
      </c>
      <c r="Y46" s="45" t="str">
        <f t="shared" si="65"/>
        <v>Mar-22F</v>
      </c>
      <c r="Z46" s="45" t="str">
        <f t="shared" si="65"/>
        <v>Apr-22F</v>
      </c>
      <c r="AA46" s="45" t="str">
        <f t="shared" si="65"/>
        <v>May-22F</v>
      </c>
      <c r="AB46" s="45" t="str">
        <f t="shared" si="65"/>
        <v>Jun-22F</v>
      </c>
      <c r="AC46" s="45" t="str">
        <f t="shared" si="65"/>
        <v>Jul-22F</v>
      </c>
      <c r="AD46" s="45" t="str">
        <f t="shared" si="65"/>
        <v>Aug-22F</v>
      </c>
      <c r="AE46" s="45" t="str">
        <f t="shared" si="65"/>
        <v>Sep-22F</v>
      </c>
      <c r="AF46" s="45" t="str">
        <f t="shared" si="65"/>
        <v>Oct-22F</v>
      </c>
      <c r="AG46" s="45" t="str">
        <f t="shared" si="65"/>
        <v>Nov-22F</v>
      </c>
      <c r="AH46" s="45" t="str">
        <f t="shared" si="65"/>
        <v>Dec-22F</v>
      </c>
      <c r="AJ46" s="45" t="str">
        <f ca="1">AJ$10</f>
        <v>Q3'20A</v>
      </c>
      <c r="AK46" s="45" t="str">
        <f t="shared" ref="AK46:AW46" ca="1" si="66">AK$10</f>
        <v>Q4'20A</v>
      </c>
      <c r="AL46" s="45" t="str">
        <f t="shared" ca="1" si="66"/>
        <v>Q1'21A</v>
      </c>
      <c r="AM46" s="46" t="str">
        <f t="shared" ca="1" si="66"/>
        <v>Q2'21A</v>
      </c>
      <c r="AN46" s="45" t="str">
        <f t="shared" ca="1" si="66"/>
        <v>Q3'21F</v>
      </c>
      <c r="AO46" s="45" t="str">
        <f t="shared" ca="1" si="66"/>
        <v>Q4'21F</v>
      </c>
      <c r="AP46" s="45" t="str">
        <f t="shared" ca="1" si="66"/>
        <v>Q1'22F</v>
      </c>
      <c r="AQ46" s="45" t="str">
        <f t="shared" ca="1" si="66"/>
        <v>Q2'22F</v>
      </c>
      <c r="AR46" s="45" t="str">
        <f t="shared" ca="1" si="66"/>
        <v>Q3'22F</v>
      </c>
      <c r="AS46" s="45" t="str">
        <f t="shared" ca="1" si="66"/>
        <v>Q4'22F</v>
      </c>
      <c r="AU46" s="45" t="str">
        <f t="shared" ca="1" si="66"/>
        <v>FY20</v>
      </c>
      <c r="AV46" s="45" t="str">
        <f t="shared" ca="1" si="66"/>
        <v>FY21</v>
      </c>
      <c r="AW46" s="45" t="str">
        <f t="shared" ca="1" si="66"/>
        <v>FY22</v>
      </c>
    </row>
    <row r="47" spans="3:49" x14ac:dyDescent="0.25">
      <c r="C47" s="1" t="s">
        <v>538</v>
      </c>
      <c r="D47" s="1"/>
      <c r="E47" s="294">
        <f>E60/E63</f>
        <v>2.6721987126751006</v>
      </c>
      <c r="F47" s="294">
        <f t="shared" ref="F47:AH47" si="67">F60/F63</f>
        <v>-4.3837527828204292</v>
      </c>
      <c r="G47" s="294">
        <f t="shared" si="67"/>
        <v>-0.47580417822426524</v>
      </c>
      <c r="H47" s="294">
        <f t="shared" si="67"/>
        <v>2.4956139128930999</v>
      </c>
      <c r="I47" s="294">
        <f t="shared" si="67"/>
        <v>4.3803233417311516</v>
      </c>
      <c r="J47" s="294">
        <f t="shared" si="67"/>
        <v>13.058712359475313</v>
      </c>
      <c r="K47" s="294">
        <f t="shared" si="67"/>
        <v>4.5018812920978055</v>
      </c>
      <c r="L47" s="294">
        <f t="shared" si="67"/>
        <v>2.2058671552166187</v>
      </c>
      <c r="M47" s="294">
        <f t="shared" si="67"/>
        <v>-17.139631794500971</v>
      </c>
      <c r="N47" s="294">
        <f t="shared" si="67"/>
        <v>15.030381835032323</v>
      </c>
      <c r="O47" s="294">
        <f t="shared" si="67"/>
        <v>10.071534993887086</v>
      </c>
      <c r="P47" s="295">
        <f t="shared" si="67"/>
        <v>8.8453465944874647</v>
      </c>
      <c r="Q47" s="294">
        <f t="shared" si="67"/>
        <v>6.2461729375350767</v>
      </c>
      <c r="R47" s="294">
        <f t="shared" si="67"/>
        <v>-1.2045452943294548</v>
      </c>
      <c r="S47" s="294">
        <f t="shared" si="67"/>
        <v>-0.12572577670121673</v>
      </c>
      <c r="T47" s="294">
        <f t="shared" si="67"/>
        <v>1.8867279773059722</v>
      </c>
      <c r="U47" s="294">
        <f t="shared" si="67"/>
        <v>4.4569595081601614</v>
      </c>
      <c r="V47" s="294">
        <f t="shared" si="67"/>
        <v>13.758472138193062</v>
      </c>
      <c r="W47" s="294">
        <f t="shared" si="67"/>
        <v>3.9456871445456989</v>
      </c>
      <c r="X47" s="294">
        <f t="shared" si="67"/>
        <v>0.67701103838045307</v>
      </c>
      <c r="Y47" s="294">
        <f t="shared" si="67"/>
        <v>-18.665797895508909</v>
      </c>
      <c r="Z47" s="294">
        <f t="shared" si="67"/>
        <v>14.359367430356548</v>
      </c>
      <c r="AA47" s="294">
        <f t="shared" si="67"/>
        <v>8.5809074111272299</v>
      </c>
      <c r="AB47" s="294">
        <f t="shared" si="67"/>
        <v>10.742837325122816</v>
      </c>
      <c r="AC47" s="294">
        <f t="shared" si="67"/>
        <v>5.8292646343544918</v>
      </c>
      <c r="AD47" s="294">
        <f t="shared" si="67"/>
        <v>-1.5400708885916552</v>
      </c>
      <c r="AE47" s="294">
        <f t="shared" si="67"/>
        <v>0.47912696211303724</v>
      </c>
      <c r="AF47" s="294">
        <f t="shared" si="67"/>
        <v>2.3938794536630805</v>
      </c>
      <c r="AG47" s="294">
        <f t="shared" si="67"/>
        <v>5.0725370329442212</v>
      </c>
      <c r="AH47" s="294">
        <f t="shared" si="67"/>
        <v>14.875923405229861</v>
      </c>
      <c r="AJ47" s="294">
        <f t="shared" ref="AJ47:AS47" ca="1" si="68">AJ60/AJ63</f>
        <v>-0.72568083677470574</v>
      </c>
      <c r="AK47" s="294">
        <f t="shared" ca="1" si="68"/>
        <v>6.9884863516807467</v>
      </c>
      <c r="AL47" s="294">
        <f t="shared" ca="1" si="68"/>
        <v>-3.4772944490621831</v>
      </c>
      <c r="AM47" s="295">
        <f t="shared" ca="1" si="68"/>
        <v>11.313488948949074</v>
      </c>
      <c r="AN47" s="294">
        <f t="shared" ca="1" si="68"/>
        <v>1.6386339555014684</v>
      </c>
      <c r="AO47" s="294">
        <f t="shared" ca="1" si="68"/>
        <v>6.7007198745530649</v>
      </c>
      <c r="AP47" s="294">
        <f t="shared" ca="1" si="68"/>
        <v>-4.6810332375275854</v>
      </c>
      <c r="AQ47" s="294">
        <f t="shared" ca="1" si="68"/>
        <v>11.227704055535531</v>
      </c>
      <c r="AR47" s="294">
        <f t="shared" ca="1" si="68"/>
        <v>1.5894402359586246</v>
      </c>
      <c r="AS47" s="294">
        <f t="shared" ca="1" si="68"/>
        <v>7.4474466306123874</v>
      </c>
      <c r="AU47" s="294">
        <f ca="1">AU60/AU63</f>
        <v>3.2891605577894305</v>
      </c>
      <c r="AV47" s="294">
        <f ca="1">AV60/AV63</f>
        <v>4.0457255292865124</v>
      </c>
      <c r="AW47" s="294">
        <f ca="1">AW60/AW63</f>
        <v>3.8958894211447386</v>
      </c>
    </row>
    <row r="48" spans="3:49" x14ac:dyDescent="0.25">
      <c r="C48" s="1" t="s">
        <v>539</v>
      </c>
      <c r="D48" s="1"/>
      <c r="E48" s="294">
        <f>E60/(E62+E63)</f>
        <v>0.85894148069137599</v>
      </c>
      <c r="F48" s="294">
        <f t="shared" ref="F48:AH48" si="69">F60/(F62+F63)</f>
        <v>1.779723777958456</v>
      </c>
      <c r="G48" s="294">
        <f t="shared" si="69"/>
        <v>-0.76236656312053008</v>
      </c>
      <c r="H48" s="294">
        <f t="shared" si="69"/>
        <v>0.83983998852304564</v>
      </c>
      <c r="I48" s="294">
        <f t="shared" si="69"/>
        <v>0.9820349963552063</v>
      </c>
      <c r="J48" s="294">
        <f t="shared" si="69"/>
        <v>1.1539652406451641</v>
      </c>
      <c r="K48" s="294">
        <f t="shared" si="69"/>
        <v>0.98801600048504357</v>
      </c>
      <c r="L48" s="294">
        <f t="shared" si="69"/>
        <v>0.80428752382074209</v>
      </c>
      <c r="M48" s="294">
        <f t="shared" si="69"/>
        <v>1.3667631023839533</v>
      </c>
      <c r="N48" s="294">
        <f t="shared" si="69"/>
        <v>1.1674988277954068</v>
      </c>
      <c r="O48" s="294">
        <f t="shared" si="69"/>
        <v>1.124492912910416</v>
      </c>
      <c r="P48" s="295">
        <f t="shared" si="69"/>
        <v>1.107353743056642</v>
      </c>
      <c r="Q48" s="294">
        <f t="shared" si="69"/>
        <v>1.0525229665237241</v>
      </c>
      <c r="R48" s="294">
        <f t="shared" si="69"/>
        <v>-24.882560740293055</v>
      </c>
      <c r="S48" s="294">
        <f t="shared" si="69"/>
        <v>-0.13959036086791268</v>
      </c>
      <c r="T48" s="294">
        <f t="shared" si="69"/>
        <v>0.75756536297913246</v>
      </c>
      <c r="U48" s="294">
        <f t="shared" si="69"/>
        <v>0.98583531708613237</v>
      </c>
      <c r="V48" s="294">
        <f t="shared" si="69"/>
        <v>1.1591750299067516</v>
      </c>
      <c r="W48" s="294">
        <f t="shared" si="69"/>
        <v>0.95836729796189968</v>
      </c>
      <c r="X48" s="294">
        <f t="shared" si="69"/>
        <v>0.44109588155233426</v>
      </c>
      <c r="Y48" s="294">
        <f t="shared" si="69"/>
        <v>1.3579095442652735</v>
      </c>
      <c r="Z48" s="294">
        <f t="shared" si="69"/>
        <v>1.1632763645438839</v>
      </c>
      <c r="AA48" s="294">
        <f t="shared" si="69"/>
        <v>1.1030979725465024</v>
      </c>
      <c r="AB48" s="294">
        <f t="shared" si="69"/>
        <v>1.1323934673112392</v>
      </c>
      <c r="AC48" s="294">
        <f t="shared" si="69"/>
        <v>1.0399894401473879</v>
      </c>
      <c r="AD48" s="294">
        <f t="shared" si="69"/>
        <v>7.1083693710971652</v>
      </c>
      <c r="AE48" s="294">
        <f t="shared" si="69"/>
        <v>0.34756864862667397</v>
      </c>
      <c r="AF48" s="294">
        <f t="shared" si="69"/>
        <v>0.82799827938999948</v>
      </c>
      <c r="AG48" s="294">
        <f t="shared" si="69"/>
        <v>1.0130275241093616</v>
      </c>
      <c r="AH48" s="294">
        <f t="shared" si="69"/>
        <v>1.1665579776647172</v>
      </c>
      <c r="AJ48" s="294">
        <f t="shared" ref="AJ48:AS48" ca="1" si="70">AJ60/(SUM(AJ63:AJ64))</f>
        <v>-0.12080583769173082</v>
      </c>
      <c r="AK48" s="294">
        <f t="shared" ca="1" si="70"/>
        <v>0.2349866671396989</v>
      </c>
      <c r="AL48" s="294">
        <f t="shared" ca="1" si="70"/>
        <v>-3.4772944490621831</v>
      </c>
      <c r="AM48" s="295">
        <f t="shared" ca="1" si="70"/>
        <v>1.7879269733866501</v>
      </c>
      <c r="AN48" s="294">
        <f t="shared" ca="1" si="70"/>
        <v>1.6386339555014684</v>
      </c>
      <c r="AO48" s="294">
        <f t="shared" ca="1" si="70"/>
        <v>6.7007198745530649</v>
      </c>
      <c r="AP48" s="294">
        <f t="shared" ca="1" si="70"/>
        <v>-4.6810332375275854</v>
      </c>
      <c r="AQ48" s="294">
        <f t="shared" ca="1" si="70"/>
        <v>11.227704055535531</v>
      </c>
      <c r="AR48" s="294">
        <f t="shared" ca="1" si="70"/>
        <v>1.5894402359586246</v>
      </c>
      <c r="AS48" s="294">
        <f t="shared" ca="1" si="70"/>
        <v>7.4474466306123874</v>
      </c>
      <c r="AU48" s="294">
        <f ca="1">AU60/(SUM(AU63:AU64))</f>
        <v>0.17915977057412405</v>
      </c>
      <c r="AV48" s="294">
        <f ca="1">AV60/(SUM(AV63:AV64))</f>
        <v>1.7356084510342693</v>
      </c>
      <c r="AW48" s="294">
        <f ca="1">AW60/(SUM(AW63:AW64))</f>
        <v>3.8958894211447386</v>
      </c>
    </row>
    <row r="49" spans="3:49" x14ac:dyDescent="0.25">
      <c r="C49" s="1" t="s">
        <v>540</v>
      </c>
      <c r="D49" s="1"/>
      <c r="E49" s="294">
        <f>(E60+E65)/(E65+E63)</f>
        <v>1.088584521976534</v>
      </c>
      <c r="F49" s="294">
        <f t="shared" ref="F49:AH49" si="71">(F60+F65)/(F65+F63)</f>
        <v>0.71467844284562654</v>
      </c>
      <c r="G49" s="294">
        <f t="shared" si="71"/>
        <v>0.91886308004318606</v>
      </c>
      <c r="H49" s="294">
        <f t="shared" si="71"/>
        <v>1.0823071965578264</v>
      </c>
      <c r="I49" s="294">
        <f t="shared" si="71"/>
        <v>1.1860768609419261</v>
      </c>
      <c r="J49" s="294">
        <f t="shared" si="71"/>
        <v>1.7684622146437401</v>
      </c>
      <c r="K49" s="294">
        <f t="shared" si="71"/>
        <v>1.1769221012811573</v>
      </c>
      <c r="L49" s="294">
        <f t="shared" si="71"/>
        <v>1.06088861412947</v>
      </c>
      <c r="M49" s="294">
        <f t="shared" si="71"/>
        <v>8.2598557082923088E-2</v>
      </c>
      <c r="N49" s="294">
        <f t="shared" si="71"/>
        <v>1.709122377778963</v>
      </c>
      <c r="O49" s="294">
        <f t="shared" si="71"/>
        <v>1.4582077381567009</v>
      </c>
      <c r="P49" s="295">
        <f t="shared" si="71"/>
        <v>1.3977575965719575</v>
      </c>
      <c r="Q49" s="294">
        <f t="shared" si="71"/>
        <v>1.2586306633875004</v>
      </c>
      <c r="R49" s="294">
        <f t="shared" si="71"/>
        <v>0.89353649351399655</v>
      </c>
      <c r="S49" s="294">
        <f t="shared" si="71"/>
        <v>0.94788973456204961</v>
      </c>
      <c r="T49" s="294">
        <f t="shared" si="71"/>
        <v>1.0412667910276774</v>
      </c>
      <c r="U49" s="294">
        <f t="shared" si="71"/>
        <v>1.1608796039382934</v>
      </c>
      <c r="V49" s="294">
        <f t="shared" si="71"/>
        <v>1.5938088346575041</v>
      </c>
      <c r="W49" s="294">
        <f t="shared" si="71"/>
        <v>1.1369215601143057</v>
      </c>
      <c r="X49" s="294">
        <f t="shared" si="71"/>
        <v>0.98498657288242397</v>
      </c>
      <c r="Y49" s="294">
        <f t="shared" si="71"/>
        <v>0.11861491341197648</v>
      </c>
      <c r="Z49" s="294">
        <f t="shared" si="71"/>
        <v>1.5987361653115122</v>
      </c>
      <c r="AA49" s="294">
        <f t="shared" si="71"/>
        <v>1.3397601696124353</v>
      </c>
      <c r="AB49" s="294">
        <f t="shared" si="71"/>
        <v>1.436655821789562</v>
      </c>
      <c r="AC49" s="294">
        <f t="shared" si="71"/>
        <v>1.2164368149686193</v>
      </c>
      <c r="AD49" s="294">
        <f t="shared" si="71"/>
        <v>0.88615938990879495</v>
      </c>
      <c r="AE49" s="294">
        <f t="shared" si="71"/>
        <v>0.9766555527488886</v>
      </c>
      <c r="AF49" s="294">
        <f t="shared" si="71"/>
        <v>1.0624707230707686</v>
      </c>
      <c r="AG49" s="294">
        <f t="shared" si="71"/>
        <v>1.1825225993455195</v>
      </c>
      <c r="AH49" s="294">
        <f t="shared" si="71"/>
        <v>1.6218899690755426</v>
      </c>
      <c r="AJ49" s="294">
        <f t="shared" ref="AJ49:AS49" ca="1" si="72">(AJ60+AJ65)/SUM(AJ63:AJ65)</f>
        <v>0.71526958067721491</v>
      </c>
      <c r="AK49" s="294">
        <f t="shared" ca="1" si="72"/>
        <v>0.5053454504099959</v>
      </c>
      <c r="AL49" s="294">
        <f t="shared" ca="1" si="72"/>
        <v>0.77376230057018791</v>
      </c>
      <c r="AM49" s="295">
        <f t="shared" ca="1" si="72"/>
        <v>1.1986618755553053</v>
      </c>
      <c r="AN49" s="294">
        <f t="shared" ca="1" si="72"/>
        <v>1.0306082797809331</v>
      </c>
      <c r="AO49" s="294">
        <f t="shared" ca="1" si="72"/>
        <v>1.265308617580075</v>
      </c>
      <c r="AP49" s="294">
        <f t="shared" ca="1" si="72"/>
        <v>0.7391604596798419</v>
      </c>
      <c r="AQ49" s="294">
        <f t="shared" ca="1" si="72"/>
        <v>1.4583842749424254</v>
      </c>
      <c r="AR49" s="294">
        <f t="shared" ca="1" si="72"/>
        <v>1.0264174474988492</v>
      </c>
      <c r="AS49" s="294">
        <f t="shared" ca="1" si="72"/>
        <v>1.2889610332712376</v>
      </c>
      <c r="AU49" s="294">
        <f ca="1">(AU60+AU65)/SUM(AU63:AU65)</f>
        <v>0.57282239559245374</v>
      </c>
      <c r="AV49" s="294">
        <f ca="1">(AV60+AV65)/SUM(AV63:AV65)</f>
        <v>1.0786219115026878</v>
      </c>
      <c r="AW49" s="294">
        <f ca="1">(AW60+AW65)/SUM(AW63:AW65)</f>
        <v>1.130566979825411</v>
      </c>
    </row>
    <row r="50" spans="3:49" x14ac:dyDescent="0.25">
      <c r="C50" s="1" t="s">
        <v>541</v>
      </c>
      <c r="D50" s="1"/>
      <c r="E50" s="294">
        <f>E82/(E58*12)</f>
        <v>5.241709627232547</v>
      </c>
      <c r="F50" s="294">
        <f t="shared" ref="F50:AH50" si="73">F82/(F58*12)</f>
        <v>-10.855226342669342</v>
      </c>
      <c r="G50" s="294">
        <f t="shared" si="73"/>
        <v>17.111643154852729</v>
      </c>
      <c r="H50" s="294">
        <f t="shared" si="73"/>
        <v>5.610171889990589</v>
      </c>
      <c r="I50" s="294">
        <f t="shared" si="73"/>
        <v>4.5669719362289669</v>
      </c>
      <c r="J50" s="294">
        <f t="shared" si="73"/>
        <v>1.3036170658841806</v>
      </c>
      <c r="K50" s="294">
        <f t="shared" si="73"/>
        <v>3.7123099923548555</v>
      </c>
      <c r="L50" s="294">
        <f t="shared" si="73"/>
        <v>5.6890409429753479</v>
      </c>
      <c r="M50" s="294">
        <f t="shared" si="73"/>
        <v>-1.631729104559088</v>
      </c>
      <c r="N50" s="294">
        <f t="shared" si="73"/>
        <v>1.4314945028786052</v>
      </c>
      <c r="O50" s="294">
        <f t="shared" si="73"/>
        <v>2.0215931892948222</v>
      </c>
      <c r="P50" s="295">
        <f t="shared" si="73"/>
        <v>2.2429548436680236</v>
      </c>
      <c r="Q50" s="294">
        <f t="shared" si="73"/>
        <v>2.9414351404121177</v>
      </c>
      <c r="R50" s="294">
        <f t="shared" si="73"/>
        <v>27.408430490876089</v>
      </c>
      <c r="S50" s="294">
        <f t="shared" si="73"/>
        <v>12.433490588993374</v>
      </c>
      <c r="T50" s="294">
        <f t="shared" si="73"/>
        <v>6.1576419005716971</v>
      </c>
      <c r="U50" s="294">
        <f t="shared" si="73"/>
        <v>3.744038063966503</v>
      </c>
      <c r="V50" s="294">
        <f t="shared" si="73"/>
        <v>1.5480752969383664</v>
      </c>
      <c r="W50" s="294">
        <f t="shared" si="73"/>
        <v>4.0606499241731555</v>
      </c>
      <c r="X50" s="294">
        <f t="shared" si="73"/>
        <v>8.8397584405631147</v>
      </c>
      <c r="Y50" s="294">
        <f t="shared" si="73"/>
        <v>-1.4820258670463615</v>
      </c>
      <c r="Z50" s="294">
        <f t="shared" si="73"/>
        <v>1.4915594166483666</v>
      </c>
      <c r="AA50" s="294">
        <f t="shared" si="73"/>
        <v>2.298484760422681</v>
      </c>
      <c r="AB50" s="294">
        <f t="shared" si="73"/>
        <v>1.9115720717699565</v>
      </c>
      <c r="AC50" s="294">
        <f t="shared" si="73"/>
        <v>3.0960858331117675</v>
      </c>
      <c r="AD50" s="294">
        <f t="shared" si="73"/>
        <v>43.824298435764987</v>
      </c>
      <c r="AE50" s="294">
        <f t="shared" si="73"/>
        <v>9.5179186263361544</v>
      </c>
      <c r="AF50" s="294">
        <f t="shared" si="73"/>
        <v>5.462770929795715</v>
      </c>
      <c r="AG50" s="294">
        <f t="shared" si="73"/>
        <v>3.4227211513845996</v>
      </c>
      <c r="AH50" s="294">
        <f t="shared" si="73"/>
        <v>1.4461738757327594</v>
      </c>
      <c r="AJ50" s="294">
        <f ca="1">AJ82/(AJ58*4)</f>
        <v>20.35082948986048</v>
      </c>
      <c r="AK50" s="294">
        <f t="shared" ref="AK50:AS50" ca="1" si="74">AK82/(AK58*4)</f>
        <v>2.4087958725747201</v>
      </c>
      <c r="AL50" s="294">
        <f t="shared" ca="1" si="74"/>
        <v>-17.889491260012043</v>
      </c>
      <c r="AM50" s="295">
        <f t="shared" ca="1" si="74"/>
        <v>1.8330799941695628</v>
      </c>
      <c r="AN50" s="294">
        <f t="shared" ca="1" si="74"/>
        <v>6.5662301628292497</v>
      </c>
      <c r="AO50" s="294">
        <f t="shared" ca="1" si="74"/>
        <v>2.7895181792757917</v>
      </c>
      <c r="AP50" s="294">
        <f t="shared" ca="1" si="74"/>
        <v>-9.5129135906973588</v>
      </c>
      <c r="AQ50" s="294">
        <f t="shared" ca="1" si="74"/>
        <v>1.8420298159428603</v>
      </c>
      <c r="AR50" s="294">
        <f t="shared" ca="1" si="74"/>
        <v>6.653775488313955</v>
      </c>
      <c r="AS50" s="294">
        <f t="shared" ca="1" si="74"/>
        <v>2.571350114499189</v>
      </c>
      <c r="AU50" s="294">
        <f ca="1">AU82/(AU58*2)</f>
        <v>4.259916019505579</v>
      </c>
      <c r="AV50" s="294">
        <f ca="1">AV82/(AV58)</f>
        <v>3.9975657866223036</v>
      </c>
      <c r="AW50" s="294">
        <f ca="1">AW82/(AW58)</f>
        <v>4.0943733382578857</v>
      </c>
    </row>
    <row r="51" spans="3:49" x14ac:dyDescent="0.25">
      <c r="C51" s="1" t="s">
        <v>542</v>
      </c>
      <c r="D51" s="1"/>
      <c r="E51" s="58">
        <f>E71/E82</f>
        <v>-2.6349157763600601E-2</v>
      </c>
      <c r="F51" s="58">
        <f t="shared" ref="F51:AH51" si="75">F71/F82</f>
        <v>-4.0576753717596177E-2</v>
      </c>
      <c r="G51" s="58">
        <f t="shared" si="75"/>
        <v>-6.3779408197408169E-2</v>
      </c>
      <c r="H51" s="58">
        <f t="shared" si="75"/>
        <v>-2.1171151183074281E-2</v>
      </c>
      <c r="I51" s="58">
        <f t="shared" si="75"/>
        <v>2.2221517311367484E-2</v>
      </c>
      <c r="J51" s="58">
        <f t="shared" si="75"/>
        <v>-1.6275166381067182E-2</v>
      </c>
      <c r="K51" s="58">
        <f t="shared" si="75"/>
        <v>7.3126080488301409E-2</v>
      </c>
      <c r="L51" s="58">
        <f t="shared" si="75"/>
        <v>-3.5138337353121551E-2</v>
      </c>
      <c r="M51" s="58">
        <f t="shared" si="75"/>
        <v>5.6392385670509644E-2</v>
      </c>
      <c r="N51" s="58">
        <f t="shared" si="75"/>
        <v>-9.5191862231595606E-2</v>
      </c>
      <c r="O51" s="58">
        <f t="shared" si="75"/>
        <v>4.9807536633673502E-2</v>
      </c>
      <c r="P51" s="60">
        <f t="shared" si="75"/>
        <v>-3.7292093908559656E-2</v>
      </c>
      <c r="Q51" s="58">
        <f t="shared" si="75"/>
        <v>4.1312975883575576E-2</v>
      </c>
      <c r="R51" s="58">
        <f t="shared" si="75"/>
        <v>-6.1960846676538166E-2</v>
      </c>
      <c r="S51" s="58">
        <f t="shared" si="75"/>
        <v>1.5306134515015423E-2</v>
      </c>
      <c r="T51" s="58">
        <f t="shared" si="75"/>
        <v>-2.7366814994844606E-2</v>
      </c>
      <c r="U51" s="58">
        <f t="shared" si="75"/>
        <v>-8.5285447819477209E-3</v>
      </c>
      <c r="V51" s="58">
        <f t="shared" si="75"/>
        <v>-2.455248383267427E-2</v>
      </c>
      <c r="W51" s="58">
        <f t="shared" si="75"/>
        <v>6.0351307766750177E-2</v>
      </c>
      <c r="X51" s="58">
        <f t="shared" si="75"/>
        <v>8.3086733058921461E-2</v>
      </c>
      <c r="Y51" s="58">
        <f t="shared" si="75"/>
        <v>5.9257622679109598E-2</v>
      </c>
      <c r="Z51" s="58">
        <f t="shared" si="75"/>
        <v>-0.14483314898772842</v>
      </c>
      <c r="AA51" s="58">
        <f t="shared" si="75"/>
        <v>3.168707863807111E-2</v>
      </c>
      <c r="AB51" s="58">
        <f t="shared" si="75"/>
        <v>8.577966062176498E-2</v>
      </c>
      <c r="AC51" s="58">
        <f t="shared" si="75"/>
        <v>8.2755692471383618E-2</v>
      </c>
      <c r="AD51" s="58">
        <f t="shared" si="75"/>
        <v>-5.1753513841591721E-2</v>
      </c>
      <c r="AE51" s="58">
        <f t="shared" si="75"/>
        <v>2.3546744631029397E-2</v>
      </c>
      <c r="AF51" s="58">
        <f t="shared" si="75"/>
        <v>-2.3592978898198058E-2</v>
      </c>
      <c r="AG51" s="58">
        <f t="shared" si="75"/>
        <v>1.3744263213670525E-3</v>
      </c>
      <c r="AH51" s="58">
        <f t="shared" si="75"/>
        <v>-2.5761516383793082E-2</v>
      </c>
      <c r="AJ51" s="58">
        <f ca="1">(AJ71*4)/AJ82</f>
        <v>-0.51747263546073619</v>
      </c>
      <c r="AK51" s="58">
        <f t="shared" ref="AK51:AS51" ca="1" si="76">(AK71*4)/AK82</f>
        <v>-4.4615671096266324E-2</v>
      </c>
      <c r="AL51" s="58">
        <f t="shared" ca="1" si="76"/>
        <v>0.37752051522275798</v>
      </c>
      <c r="AM51" s="60">
        <f t="shared" ca="1" si="76"/>
        <v>-0.32935356174270147</v>
      </c>
      <c r="AN51" s="58">
        <f t="shared" ca="1" si="76"/>
        <v>-2.1366945111788684E-2</v>
      </c>
      <c r="AO51" s="58">
        <f t="shared" ca="1" si="76"/>
        <v>-0.24179137443786636</v>
      </c>
      <c r="AP51" s="58">
        <f t="shared" ca="1" si="76"/>
        <v>0.81078265401912497</v>
      </c>
      <c r="AQ51" s="58">
        <f t="shared" ca="1" si="76"/>
        <v>-0.10946563891156931</v>
      </c>
      <c r="AR51" s="58">
        <f t="shared" ca="1" si="76"/>
        <v>0.21819569304328518</v>
      </c>
      <c r="AS51" s="58">
        <f t="shared" ca="1" si="76"/>
        <v>-0.19192027584249635</v>
      </c>
      <c r="AU51" s="58">
        <f ca="1">(AU71*2)/AU82</f>
        <v>-0.3084752725703348</v>
      </c>
      <c r="AV51" s="58">
        <f ca="1">(AV71)/AV82</f>
        <v>-5.4082988099206759E-2</v>
      </c>
      <c r="AW51" s="58">
        <f ca="1">(AW71)/AW82</f>
        <v>0.18189810807708609</v>
      </c>
    </row>
    <row r="52" spans="3:49" x14ac:dyDescent="0.25">
      <c r="C52" s="2"/>
      <c r="D52" s="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M52" s="8"/>
    </row>
    <row r="53" spans="3:49" ht="23.25" x14ac:dyDescent="0.35">
      <c r="C53" s="378" t="s">
        <v>404</v>
      </c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379"/>
      <c r="AH53" s="379"/>
      <c r="AI53" s="378"/>
      <c r="AJ53" s="379"/>
      <c r="AK53" s="379"/>
      <c r="AL53" s="379"/>
      <c r="AM53" s="379"/>
      <c r="AN53" s="379"/>
      <c r="AO53" s="379"/>
      <c r="AP53" s="379"/>
      <c r="AQ53" s="379"/>
      <c r="AR53" s="379"/>
      <c r="AS53" s="379"/>
      <c r="AT53" s="378"/>
      <c r="AU53" s="380"/>
      <c r="AV53" s="380"/>
      <c r="AW53" s="380"/>
    </row>
    <row r="54" spans="3:49" x14ac:dyDescent="0.25">
      <c r="C54" s="11" t="s">
        <v>557</v>
      </c>
      <c r="D54" s="11"/>
      <c r="E54" s="45" t="str">
        <f t="shared" ref="E54:AH54" si="77">E$9</f>
        <v>Jul-20A</v>
      </c>
      <c r="F54" s="45" t="str">
        <f t="shared" si="77"/>
        <v>Aug-20A</v>
      </c>
      <c r="G54" s="45" t="str">
        <f t="shared" si="77"/>
        <v>Sep-20A</v>
      </c>
      <c r="H54" s="45" t="str">
        <f t="shared" si="77"/>
        <v>Oct-20A</v>
      </c>
      <c r="I54" s="45" t="str">
        <f t="shared" si="77"/>
        <v>Nov-20A</v>
      </c>
      <c r="J54" s="45" t="str">
        <f t="shared" si="77"/>
        <v>Dec-20A</v>
      </c>
      <c r="K54" s="45" t="str">
        <f t="shared" si="77"/>
        <v>Jan-21A</v>
      </c>
      <c r="L54" s="45" t="str">
        <f t="shared" si="77"/>
        <v>Feb-21A</v>
      </c>
      <c r="M54" s="45" t="str">
        <f t="shared" si="77"/>
        <v>Mar-21A</v>
      </c>
      <c r="N54" s="45" t="str">
        <f t="shared" si="77"/>
        <v>Apr-21A</v>
      </c>
      <c r="O54" s="45" t="str">
        <f t="shared" si="77"/>
        <v>May-21A</v>
      </c>
      <c r="P54" s="46" t="str">
        <f t="shared" si="77"/>
        <v>Jun-21A</v>
      </c>
      <c r="Q54" s="45" t="str">
        <f t="shared" si="77"/>
        <v>Jul-21F</v>
      </c>
      <c r="R54" s="45" t="str">
        <f t="shared" si="77"/>
        <v>Aug-21F</v>
      </c>
      <c r="S54" s="45" t="str">
        <f t="shared" si="77"/>
        <v>Sep-21F</v>
      </c>
      <c r="T54" s="45" t="str">
        <f t="shared" si="77"/>
        <v>Oct-21F</v>
      </c>
      <c r="U54" s="45" t="str">
        <f t="shared" si="77"/>
        <v>Nov-21F</v>
      </c>
      <c r="V54" s="45" t="str">
        <f t="shared" si="77"/>
        <v>Dec-21F</v>
      </c>
      <c r="W54" s="45" t="str">
        <f t="shared" si="77"/>
        <v>Jan-22F</v>
      </c>
      <c r="X54" s="45" t="str">
        <f t="shared" si="77"/>
        <v>Feb-22F</v>
      </c>
      <c r="Y54" s="45" t="str">
        <f t="shared" si="77"/>
        <v>Mar-22F</v>
      </c>
      <c r="Z54" s="45" t="str">
        <f t="shared" si="77"/>
        <v>Apr-22F</v>
      </c>
      <c r="AA54" s="45" t="str">
        <f t="shared" si="77"/>
        <v>May-22F</v>
      </c>
      <c r="AB54" s="45" t="str">
        <f t="shared" si="77"/>
        <v>Jun-22F</v>
      </c>
      <c r="AC54" s="45" t="str">
        <f t="shared" si="77"/>
        <v>Jul-22F</v>
      </c>
      <c r="AD54" s="45" t="str">
        <f t="shared" si="77"/>
        <v>Aug-22F</v>
      </c>
      <c r="AE54" s="45" t="str">
        <f t="shared" si="77"/>
        <v>Sep-22F</v>
      </c>
      <c r="AF54" s="45" t="str">
        <f t="shared" si="77"/>
        <v>Oct-22F</v>
      </c>
      <c r="AG54" s="45" t="str">
        <f t="shared" si="77"/>
        <v>Nov-22F</v>
      </c>
      <c r="AH54" s="45" t="str">
        <f t="shared" si="77"/>
        <v>Dec-22F</v>
      </c>
      <c r="AJ54" s="45" t="str">
        <f ca="1">AJ$10</f>
        <v>Q3'20A</v>
      </c>
      <c r="AK54" s="45" t="str">
        <f t="shared" ref="AK54:AW54" ca="1" si="78">AK$10</f>
        <v>Q4'20A</v>
      </c>
      <c r="AL54" s="45" t="str">
        <f t="shared" ca="1" si="78"/>
        <v>Q1'21A</v>
      </c>
      <c r="AM54" s="46" t="str">
        <f t="shared" ca="1" si="78"/>
        <v>Q2'21A</v>
      </c>
      <c r="AN54" s="45" t="str">
        <f t="shared" ca="1" si="78"/>
        <v>Q3'21F</v>
      </c>
      <c r="AO54" s="45" t="str">
        <f t="shared" ca="1" si="78"/>
        <v>Q4'21F</v>
      </c>
      <c r="AP54" s="45" t="str">
        <f t="shared" ca="1" si="78"/>
        <v>Q1'22F</v>
      </c>
      <c r="AQ54" s="45" t="str">
        <f t="shared" ca="1" si="78"/>
        <v>Q2'22F</v>
      </c>
      <c r="AR54" s="45" t="str">
        <f t="shared" ca="1" si="78"/>
        <v>Q3'22F</v>
      </c>
      <c r="AS54" s="45" t="str">
        <f t="shared" ca="1" si="78"/>
        <v>Q4'22F</v>
      </c>
      <c r="AU54" s="45" t="str">
        <f t="shared" ca="1" si="78"/>
        <v>FY20</v>
      </c>
      <c r="AV54" s="45" t="str">
        <f t="shared" ca="1" si="78"/>
        <v>FY21</v>
      </c>
      <c r="AW54" s="45" t="str">
        <f t="shared" ca="1" si="78"/>
        <v>FY22</v>
      </c>
    </row>
    <row r="55" spans="3:49" x14ac:dyDescent="0.25">
      <c r="C55" s="1" t="s">
        <v>547</v>
      </c>
      <c r="D55" s="11"/>
      <c r="E55" s="33">
        <f>Revenue!E21</f>
        <v>1076.0245631271903</v>
      </c>
      <c r="F55" s="33">
        <f>Revenue!F21</f>
        <v>859.26920010937727</v>
      </c>
      <c r="G55" s="33">
        <f>Revenue!G21</f>
        <v>836.52248099866563</v>
      </c>
      <c r="H55" s="33">
        <f>Revenue!H21</f>
        <v>856.34353116215016</v>
      </c>
      <c r="I55" s="33">
        <f>Revenue!I21</f>
        <v>867.96401434551092</v>
      </c>
      <c r="J55" s="56">
        <f>Revenue!J21</f>
        <v>1202.7235625694784</v>
      </c>
      <c r="K55" s="33">
        <f>Revenue!K21</f>
        <v>999.30327627363522</v>
      </c>
      <c r="L55" s="33">
        <f>Revenue!L21</f>
        <v>871.88490961518551</v>
      </c>
      <c r="M55" s="33">
        <f>Revenue!M21</f>
        <v>872.77456928733591</v>
      </c>
      <c r="N55" s="33">
        <f>Revenue!N21</f>
        <v>1197.1562696903486</v>
      </c>
      <c r="O55" s="33">
        <f>Revenue!O21</f>
        <v>1183.4780841029253</v>
      </c>
      <c r="P55" s="34">
        <f>Revenue!P21</f>
        <v>1250.1871922417429</v>
      </c>
      <c r="Q55" s="33">
        <f>Revenue!Q21</f>
        <v>1132.808116934413</v>
      </c>
      <c r="R55" s="33">
        <f>Revenue!R21</f>
        <v>924.28989330578554</v>
      </c>
      <c r="S55" s="33">
        <f>Revenue!S21</f>
        <v>881.48613024466636</v>
      </c>
      <c r="T55" s="33">
        <f>Revenue!T21</f>
        <v>897.76544844326088</v>
      </c>
      <c r="U55" s="33">
        <f>Revenue!U21</f>
        <v>916.16025491466962</v>
      </c>
      <c r="V55" s="33">
        <f>Revenue!V21</f>
        <v>1204.916359100057</v>
      </c>
      <c r="W55" s="33">
        <f>Revenue!W21</f>
        <v>1057.131134894355</v>
      </c>
      <c r="X55" s="33">
        <f>Revenue!X21</f>
        <v>909.33744398212934</v>
      </c>
      <c r="Y55" s="33">
        <f>Revenue!Y21</f>
        <v>897.40647334653238</v>
      </c>
      <c r="Z55" s="33">
        <f>Revenue!Z21</f>
        <v>1285.0423590273199</v>
      </c>
      <c r="AA55" s="33">
        <f>Revenue!AA21</f>
        <v>1205.9135471960133</v>
      </c>
      <c r="AB55" s="33">
        <f>Revenue!AB21</f>
        <v>1313.002590548946</v>
      </c>
      <c r="AC55" s="33">
        <f>Revenue!AC21</f>
        <v>1185.0629560611505</v>
      </c>
      <c r="AD55" s="33">
        <f>Revenue!AD21</f>
        <v>967.14486205329683</v>
      </c>
      <c r="AE55" s="33">
        <f>Revenue!AE21</f>
        <v>922.39951981466538</v>
      </c>
      <c r="AF55" s="33">
        <f>Revenue!AF21</f>
        <v>939.58156234665057</v>
      </c>
      <c r="AG55" s="33">
        <f>Revenue!AG21</f>
        <v>958.88043189295263</v>
      </c>
      <c r="AH55" s="33">
        <f>Revenue!AH21</f>
        <v>1260.9299508968747</v>
      </c>
      <c r="AJ55" s="13" cm="1">
        <f t="array" aca="1" ref="AJ55" ca="1">SUMPRODUCT(($E55:$AH55)*(AJ$3&amp;AJ$4&amp;AJ$5&amp;AJ$6=$E$3:$AH$3&amp;$E$4:$AH$4&amp;$E$5:$AH$5&amp;$E$6:$AH$6))</f>
        <v>2771.8162442352332</v>
      </c>
      <c r="AK55" s="13" cm="1">
        <f t="array" aca="1" ref="AK55" ca="1">SUMPRODUCT(($E55:$AH55)*(AK$3=$E$3:$AH$3)*(AK$4=$E$4:$AH$4)*(AK$5=$E$5:$AH$5)*(AK$6=$E$6:$AH$6))</f>
        <v>2927.0311080771394</v>
      </c>
      <c r="AL55" s="13" cm="1">
        <f t="array" aca="1" ref="AL55" ca="1">SUMPRODUCT(($E55:$AH55)*(AL$3=$E$3:$AH$3)*(AL$4=$E$4:$AH$4)*(AL$5=$E$5:$AH$5)*(AL$6=$E$6:$AH$6))</f>
        <v>2743.9627551761569</v>
      </c>
      <c r="AM55" s="17" cm="1">
        <f t="array" aca="1" ref="AM55" ca="1">SUMPRODUCT(($E55:$AH55)*(AM$3=$E$3:$AH$3)*(AM$4=$E$4:$AH$4)*(AM$5=$E$5:$AH$5)*(AM$6=$E$6:$AH$6))</f>
        <v>3630.8215460350166</v>
      </c>
      <c r="AN55" s="13" cm="1">
        <f t="array" aca="1" ref="AN55" ca="1">SUMPRODUCT(($E55:$AH55)*(AN$3=$E$3:$AH$3)*(AN$4=$E$4:$AH$4)*(AN$5=$E$5:$AH$5)*(AN$6=$E$6:$AH$6))</f>
        <v>2938.5841404848652</v>
      </c>
      <c r="AO55" s="13" cm="1">
        <f t="array" aca="1" ref="AO55" ca="1">SUMPRODUCT(($E55:$AH55)*(AO$3=$E$3:$AH$3)*(AO$4=$E$4:$AH$4)*(AO$5=$E$5:$AH$5)*(AO$6=$E$6:$AH$6))</f>
        <v>3018.8420624579876</v>
      </c>
      <c r="AP55" s="13" cm="1">
        <f t="array" aca="1" ref="AP55" ca="1">SUMPRODUCT(($E55:$AH55)*(AP$3=$E$3:$AH$3)*(AP$4=$E$4:$AH$4)*(AP$5=$E$5:$AH$5)*(AP$6=$E$6:$AH$6))</f>
        <v>2863.8750522230166</v>
      </c>
      <c r="AQ55" s="13" cm="1">
        <f t="array" aca="1" ref="AQ55" ca="1">SUMPRODUCT(($E55:$AH55)*(AQ$3=$E$3:$AH$3)*(AQ$4=$E$4:$AH$4)*(AQ$5=$E$5:$AH$5)*(AQ$6=$E$6:$AH$6))</f>
        <v>3803.958496772279</v>
      </c>
      <c r="AR55" s="13" cm="1">
        <f t="array" aca="1" ref="AR55" ca="1">SUMPRODUCT(($E55:$AH55)*(AR$3=$E$3:$AH$3)*(AR$4=$E$4:$AH$4)*(AR$5=$E$5:$AH$5)*(AR$6=$E$6:$AH$6))</f>
        <v>3074.6073379291129</v>
      </c>
      <c r="AS55" s="13" cm="1">
        <f t="array" aca="1" ref="AS55" ca="1">SUMPRODUCT(($E55:$AH55)*(AS$3=$E$3:$AH$3)*(AS$4=$E$4:$AH$4)*(AS$5=$E$5:$AH$5)*(AS$6=$E$6:$AH$6))</f>
        <v>3159.3919451364782</v>
      </c>
      <c r="AU55" s="13" cm="1">
        <f t="array" aca="1" ref="AU55" ca="1">SUMPRODUCT(($E55:$AH55)*(AU$5=$E$5:$AH$5))</f>
        <v>5698.847352312373</v>
      </c>
      <c r="AV55" s="13" cm="1">
        <f t="array" aca="1" ref="AV55" ca="1">SUMPRODUCT(($E55:$AH55)*(AV$5=$E$5:$AH$5))</f>
        <v>12332.210504154027</v>
      </c>
      <c r="AW55" s="13" cm="1">
        <f t="array" aca="1" ref="AW55" ca="1">SUMPRODUCT(($E55:$AH55)*(AW$5=$E$5:$AH$5))</f>
        <v>12901.832832060889</v>
      </c>
    </row>
    <row r="56" spans="3:49" x14ac:dyDescent="0.25">
      <c r="C56" s="1" t="s">
        <v>56</v>
      </c>
      <c r="D56" s="11"/>
      <c r="E56" s="33">
        <f>Expense!E81</f>
        <v>180.7728640635263</v>
      </c>
      <c r="F56" s="33">
        <f>Expense!F81</f>
        <v>160.61112390166181</v>
      </c>
      <c r="G56" s="33">
        <f>Expense!G81</f>
        <v>145.03604874875441</v>
      </c>
      <c r="H56" s="33">
        <f>Expense!H81</f>
        <v>145.51900925897115</v>
      </c>
      <c r="I56" s="33">
        <f>Expense!I81</f>
        <v>145.36732897796907</v>
      </c>
      <c r="J56" s="56">
        <f>Expense!J81</f>
        <v>176.75701293385504</v>
      </c>
      <c r="K56" s="33">
        <f>Expense!K81</f>
        <v>190.63777283984737</v>
      </c>
      <c r="L56" s="33">
        <f>Expense!L81</f>
        <v>166.77450333175804</v>
      </c>
      <c r="M56" s="33">
        <f>Expense!M81</f>
        <v>158.36881377268679</v>
      </c>
      <c r="N56" s="33">
        <f>Expense!N81</f>
        <v>203.90553473801677</v>
      </c>
      <c r="O56" s="33">
        <f>Expense!O81</f>
        <v>205.51530888445131</v>
      </c>
      <c r="P56" s="34">
        <f>Expense!P81</f>
        <v>213.40401187736421</v>
      </c>
      <c r="Q56" s="33">
        <f>Expense!Q81</f>
        <v>197.86134000514889</v>
      </c>
      <c r="R56" s="33">
        <f>Expense!R81</f>
        <v>172.33773503324278</v>
      </c>
      <c r="S56" s="33">
        <f>Expense!S81</f>
        <v>157.97029196171533</v>
      </c>
      <c r="T56" s="33">
        <f>Expense!T81</f>
        <v>159.09810992148152</v>
      </c>
      <c r="U56" s="33">
        <f>Expense!U81</f>
        <v>156.76785280447933</v>
      </c>
      <c r="V56" s="33">
        <f>Expense!V81</f>
        <v>201.12553493920402</v>
      </c>
      <c r="W56" s="33">
        <f>Expense!W81</f>
        <v>193.86160153585652</v>
      </c>
      <c r="X56" s="33">
        <f>Expense!X81</f>
        <v>172.04281111898945</v>
      </c>
      <c r="Y56" s="33">
        <f>Expense!Y81</f>
        <v>164.45093514268945</v>
      </c>
      <c r="Z56" s="33">
        <f>Expense!Z81</f>
        <v>225.12718298378599</v>
      </c>
      <c r="AA56" s="33">
        <f>Expense!AA81</f>
        <v>208.70950151163493</v>
      </c>
      <c r="AB56" s="33">
        <f>Expense!AB81</f>
        <v>222.90844545816631</v>
      </c>
      <c r="AC56" s="33">
        <f>Expense!AC81</f>
        <v>206.06532516277997</v>
      </c>
      <c r="AD56" s="33">
        <f>Expense!AD81</f>
        <v>179.39972891146465</v>
      </c>
      <c r="AE56" s="33">
        <f>Expense!AE81</f>
        <v>164.37418270615481</v>
      </c>
      <c r="AF56" s="33">
        <f>Expense!AF81</f>
        <v>165.57703643206136</v>
      </c>
      <c r="AG56" s="33">
        <f>Expense!AG81</f>
        <v>163.14580239096711</v>
      </c>
      <c r="AH56" s="33">
        <f>Expense!AH81</f>
        <v>209.54495071736952</v>
      </c>
      <c r="AJ56" s="13" cm="1">
        <f t="array" aca="1" ref="AJ56" ca="1">SUMPRODUCT(($E56:$AH56)*(AJ$3&amp;AJ$4&amp;AJ$5&amp;AJ$6=$E$3:$AH$3&amp;$E$4:$AH$4&amp;$E$5:$AH$5&amp;$E$6:$AH$6))</f>
        <v>486.42003671394252</v>
      </c>
      <c r="AK56" s="13" cm="1">
        <f t="array" aca="1" ref="AK56" ca="1">SUMPRODUCT(($E56:$AH56)*(AK$3=$E$3:$AH$3)*(AK$4=$E$4:$AH$4)*(AK$5=$E$5:$AH$5)*(AK$6=$E$6:$AH$6))</f>
        <v>467.64335117079526</v>
      </c>
      <c r="AL56" s="13" cm="1">
        <f t="array" aca="1" ref="AL56" ca="1">SUMPRODUCT(($E56:$AH56)*(AL$3=$E$3:$AH$3)*(AL$4=$E$4:$AH$4)*(AL$5=$E$5:$AH$5)*(AL$6=$E$6:$AH$6))</f>
        <v>515.78108994429226</v>
      </c>
      <c r="AM56" s="17" cm="1">
        <f t="array" aca="1" ref="AM56" ca="1">SUMPRODUCT(($E56:$AH56)*(AM$3=$E$3:$AH$3)*(AM$4=$E$4:$AH$4)*(AM$5=$E$5:$AH$5)*(AM$6=$E$6:$AH$6))</f>
        <v>622.82485549983221</v>
      </c>
      <c r="AN56" s="13" cm="1">
        <f t="array" aca="1" ref="AN56" ca="1">SUMPRODUCT(($E56:$AH56)*(AN$3=$E$3:$AH$3)*(AN$4=$E$4:$AH$4)*(AN$5=$E$5:$AH$5)*(AN$6=$E$6:$AH$6))</f>
        <v>528.16936700010706</v>
      </c>
      <c r="AO56" s="13" cm="1">
        <f t="array" aca="1" ref="AO56" ca="1">SUMPRODUCT(($E56:$AH56)*(AO$3=$E$3:$AH$3)*(AO$4=$E$4:$AH$4)*(AO$5=$E$5:$AH$5)*(AO$6=$E$6:$AH$6))</f>
        <v>516.99149766516484</v>
      </c>
      <c r="AP56" s="13" cm="1">
        <f t="array" aca="1" ref="AP56" ca="1">SUMPRODUCT(($E56:$AH56)*(AP$3=$E$3:$AH$3)*(AP$4=$E$4:$AH$4)*(AP$5=$E$5:$AH$5)*(AP$6=$E$6:$AH$6))</f>
        <v>530.35534779753539</v>
      </c>
      <c r="AQ56" s="13" cm="1">
        <f t="array" aca="1" ref="AQ56" ca="1">SUMPRODUCT(($E56:$AH56)*(AQ$3=$E$3:$AH$3)*(AQ$4=$E$4:$AH$4)*(AQ$5=$E$5:$AH$5)*(AQ$6=$E$6:$AH$6))</f>
        <v>656.74512995358725</v>
      </c>
      <c r="AR56" s="13" cm="1">
        <f t="array" aca="1" ref="AR56" ca="1">SUMPRODUCT(($E56:$AH56)*(AR$3=$E$3:$AH$3)*(AR$4=$E$4:$AH$4)*(AR$5=$E$5:$AH$5)*(AR$6=$E$6:$AH$6))</f>
        <v>549.83923678039946</v>
      </c>
      <c r="AS56" s="13" cm="1">
        <f t="array" aca="1" ref="AS56" ca="1">SUMPRODUCT(($E56:$AH56)*(AS$3=$E$3:$AH$3)*(AS$4=$E$4:$AH$4)*(AS$5=$E$5:$AH$5)*(AS$6=$E$6:$AH$6))</f>
        <v>538.26778954039798</v>
      </c>
      <c r="AU56" s="13" cm="1">
        <f t="array" aca="1" ref="AU56" ca="1">SUMPRODUCT(($E56:$AH56)*(AU$5=$E$5:$AH$5))</f>
        <v>954.06338788473772</v>
      </c>
      <c r="AV56" s="13" cm="1">
        <f t="array" aca="1" ref="AV56" ca="1">SUMPRODUCT(($E56:$AH56)*(AV$5=$E$5:$AH$5))</f>
        <v>2183.7668101093964</v>
      </c>
      <c r="AW56" s="13" cm="1">
        <f t="array" aca="1" ref="AW56" ca="1">SUMPRODUCT(($E56:$AH56)*(AW$5=$E$5:$AH$5))</f>
        <v>2275.2075040719201</v>
      </c>
    </row>
    <row r="57" spans="3:49" x14ac:dyDescent="0.25">
      <c r="C57" s="1" t="s">
        <v>294</v>
      </c>
      <c r="D57" s="11"/>
      <c r="E57" s="33">
        <f>Summary_Income_Stmt!E36</f>
        <v>895.25169906366409</v>
      </c>
      <c r="F57" s="33">
        <f>Summary_Income_Stmt!F36</f>
        <v>698.65807620771545</v>
      </c>
      <c r="G57" s="33">
        <f>Summary_Income_Stmt!G36</f>
        <v>691.48643224991122</v>
      </c>
      <c r="H57" s="33">
        <f>Summary_Income_Stmt!H36</f>
        <v>710.82452190317906</v>
      </c>
      <c r="I57" s="33">
        <f>Summary_Income_Stmt!I36</f>
        <v>722.59668536754191</v>
      </c>
      <c r="J57" s="56">
        <f>Summary_Income_Stmt!J36</f>
        <v>1025.9665496356233</v>
      </c>
      <c r="K57" s="33">
        <f>Summary_Income_Stmt!K36</f>
        <v>808.66550343378788</v>
      </c>
      <c r="L57" s="33">
        <f>Summary_Income_Stmt!L36</f>
        <v>705.11040628342744</v>
      </c>
      <c r="M57" s="33">
        <f>Summary_Income_Stmt!M36</f>
        <v>714.40575551464894</v>
      </c>
      <c r="N57" s="33">
        <f>Summary_Income_Stmt!N36</f>
        <v>993.25073495233164</v>
      </c>
      <c r="O57" s="33">
        <f>Summary_Income_Stmt!O36</f>
        <v>977.96277521847401</v>
      </c>
      <c r="P57" s="34">
        <f>Summary_Income_Stmt!P36</f>
        <v>1036.7831803643787</v>
      </c>
      <c r="Q57" s="33">
        <f>Summary_Income_Stmt!Q36</f>
        <v>934.94677692926405</v>
      </c>
      <c r="R57" s="33">
        <f>Summary_Income_Stmt!R36</f>
        <v>751.95215827254276</v>
      </c>
      <c r="S57" s="33">
        <f>Summary_Income_Stmt!S36</f>
        <v>723.51583828295088</v>
      </c>
      <c r="T57" s="33">
        <f>Summary_Income_Stmt!T36</f>
        <v>738.66733852177924</v>
      </c>
      <c r="U57" s="33">
        <f>Summary_Income_Stmt!U36</f>
        <v>759.39240211019023</v>
      </c>
      <c r="V57" s="33">
        <f>Summary_Income_Stmt!V36</f>
        <v>1003.7908241608527</v>
      </c>
      <c r="W57" s="33">
        <f>Summary_Income_Stmt!W36</f>
        <v>863.26953335849851</v>
      </c>
      <c r="X57" s="33">
        <f>Summary_Income_Stmt!X36</f>
        <v>737.2946328631399</v>
      </c>
      <c r="Y57" s="33">
        <f>Summary_Income_Stmt!Y36</f>
        <v>732.95553820384293</v>
      </c>
      <c r="Z57" s="33">
        <f>Summary_Income_Stmt!Z36</f>
        <v>1059.9151760435338</v>
      </c>
      <c r="AA57" s="33">
        <f>Summary_Income_Stmt!AA36</f>
        <v>997.20404568437834</v>
      </c>
      <c r="AB57" s="33">
        <f>Summary_Income_Stmt!AB36</f>
        <v>1090.0941450907796</v>
      </c>
      <c r="AC57" s="33">
        <f>Summary_Income_Stmt!AC36</f>
        <v>978.99763089837074</v>
      </c>
      <c r="AD57" s="33">
        <f>Summary_Income_Stmt!AD36</f>
        <v>787.7451331418323</v>
      </c>
      <c r="AE57" s="33">
        <f>Summary_Income_Stmt!AE36</f>
        <v>758.02533710851048</v>
      </c>
      <c r="AF57" s="33">
        <f>Summary_Income_Stmt!AF36</f>
        <v>774.00452591458918</v>
      </c>
      <c r="AG57" s="33">
        <f>Summary_Income_Stmt!AG36</f>
        <v>795.73462950198564</v>
      </c>
      <c r="AH57" s="33">
        <f>Summary_Income_Stmt!AH36</f>
        <v>1051.3850001795054</v>
      </c>
      <c r="AJ57" s="13" cm="1">
        <f t="array" aca="1" ref="AJ57" ca="1">SUMPRODUCT(($E57:$AH57)*(AJ$3&amp;AJ$4&amp;AJ$5&amp;AJ$6=$E$3:$AH$3&amp;$E$4:$AH$4&amp;$E$5:$AH$5&amp;$E$6:$AH$6))</f>
        <v>2285.3962075212908</v>
      </c>
      <c r="AK57" s="13" cm="1">
        <f t="array" aca="1" ref="AK57" ca="1">SUMPRODUCT(($E57:$AH57)*(AK$3=$E$3:$AH$3)*(AK$4=$E$4:$AH$4)*(AK$5=$E$5:$AH$5)*(AK$6=$E$6:$AH$6))</f>
        <v>2459.3877569063443</v>
      </c>
      <c r="AL57" s="13" cm="1">
        <f t="array" aca="1" ref="AL57" ca="1">SUMPRODUCT(($E57:$AH57)*(AL$3=$E$3:$AH$3)*(AL$4=$E$4:$AH$4)*(AL$5=$E$5:$AH$5)*(AL$6=$E$6:$AH$6))</f>
        <v>2228.1816652318639</v>
      </c>
      <c r="AM57" s="17" cm="1">
        <f t="array" aca="1" ref="AM57" ca="1">SUMPRODUCT(($E57:$AH57)*(AM$3=$E$3:$AH$3)*(AM$4=$E$4:$AH$4)*(AM$5=$E$5:$AH$5)*(AM$6=$E$6:$AH$6))</f>
        <v>3007.9966905351844</v>
      </c>
      <c r="AN57" s="13" cm="1">
        <f t="array" aca="1" ref="AN57" ca="1">SUMPRODUCT(($E57:$AH57)*(AN$3=$E$3:$AH$3)*(AN$4=$E$4:$AH$4)*(AN$5=$E$5:$AH$5)*(AN$6=$E$6:$AH$6))</f>
        <v>2410.4147734847575</v>
      </c>
      <c r="AO57" s="13" cm="1">
        <f t="array" aca="1" ref="AO57" ca="1">SUMPRODUCT(($E57:$AH57)*(AO$3=$E$3:$AH$3)*(AO$4=$E$4:$AH$4)*(AO$5=$E$5:$AH$5)*(AO$6=$E$6:$AH$6))</f>
        <v>2501.8505647928223</v>
      </c>
      <c r="AP57" s="13" cm="1">
        <f t="array" aca="1" ref="AP57" ca="1">SUMPRODUCT(($E57:$AH57)*(AP$3=$E$3:$AH$3)*(AP$4=$E$4:$AH$4)*(AP$5=$E$5:$AH$5)*(AP$6=$E$6:$AH$6))</f>
        <v>2333.5197044254815</v>
      </c>
      <c r="AQ57" s="13" cm="1">
        <f t="array" aca="1" ref="AQ57" ca="1">SUMPRODUCT(($E57:$AH57)*(AQ$3=$E$3:$AH$3)*(AQ$4=$E$4:$AH$4)*(AQ$5=$E$5:$AH$5)*(AQ$6=$E$6:$AH$6))</f>
        <v>3147.2133668186916</v>
      </c>
      <c r="AR57" s="13" cm="1">
        <f t="array" aca="1" ref="AR57" ca="1">SUMPRODUCT(($E57:$AH57)*(AR$3=$E$3:$AH$3)*(AR$4=$E$4:$AH$4)*(AR$5=$E$5:$AH$5)*(AR$6=$E$6:$AH$6))</f>
        <v>2524.7681011487134</v>
      </c>
      <c r="AS57" s="13" cm="1">
        <f t="array" aca="1" ref="AS57" ca="1">SUMPRODUCT(($E57:$AH57)*(AS$3=$E$3:$AH$3)*(AS$4=$E$4:$AH$4)*(AS$5=$E$5:$AH$5)*(AS$6=$E$6:$AH$6))</f>
        <v>2621.1241555960801</v>
      </c>
      <c r="AU57" s="13" cm="1">
        <f t="array" aca="1" ref="AU57" ca="1">SUMPRODUCT(($E57:$AH57)*(AU$5=$E$5:$AH$5))</f>
        <v>4744.7839644276355</v>
      </c>
      <c r="AV57" s="13" cm="1">
        <f t="array" aca="1" ref="AV57" ca="1">SUMPRODUCT(($E57:$AH57)*(AV$5=$E$5:$AH$5))</f>
        <v>10148.443694044629</v>
      </c>
      <c r="AW57" s="13" cm="1">
        <f t="array" aca="1" ref="AW57" ca="1">SUMPRODUCT(($E57:$AH57)*(AW$5=$E$5:$AH$5))</f>
        <v>10626.625327988966</v>
      </c>
    </row>
    <row r="58" spans="3:49" x14ac:dyDescent="0.25">
      <c r="C58" s="1" t="s">
        <v>450</v>
      </c>
      <c r="D58" s="11"/>
      <c r="E58" s="13">
        <f>SUM(E59:E60)</f>
        <v>93.674433463274823</v>
      </c>
      <c r="F58" s="13">
        <f t="shared" ref="F58:AH58" si="79">SUM(F59:F60)</f>
        <v>-47.65116482894129</v>
      </c>
      <c r="G58" s="13">
        <f t="shared" si="79"/>
        <v>30.228784870569854</v>
      </c>
      <c r="H58" s="13">
        <f t="shared" si="79"/>
        <v>92.201128566645394</v>
      </c>
      <c r="I58" s="13">
        <f t="shared" si="79"/>
        <v>131.50891256390335</v>
      </c>
      <c r="J58" s="61">
        <f t="shared" si="79"/>
        <v>358.75630859393789</v>
      </c>
      <c r="K58" s="13">
        <f t="shared" si="79"/>
        <v>125.98108653097736</v>
      </c>
      <c r="L58" s="13">
        <f t="shared" si="79"/>
        <v>82.207326518566703</v>
      </c>
      <c r="M58" s="13">
        <f t="shared" si="79"/>
        <v>-286.61672153175311</v>
      </c>
      <c r="N58" s="13">
        <f t="shared" si="79"/>
        <v>326.70809803055852</v>
      </c>
      <c r="O58" s="13">
        <f t="shared" si="79"/>
        <v>232.1671419990561</v>
      </c>
      <c r="P58" s="17">
        <f t="shared" si="79"/>
        <v>209.25410708482505</v>
      </c>
      <c r="Q58" s="13">
        <f t="shared" si="79"/>
        <v>159.56412113087643</v>
      </c>
      <c r="R58" s="13">
        <f t="shared" si="79"/>
        <v>17.124202467542801</v>
      </c>
      <c r="S58" s="13">
        <f t="shared" si="79"/>
        <v>37.748652293895731</v>
      </c>
      <c r="T58" s="13">
        <f t="shared" si="79"/>
        <v>76.221956492754117</v>
      </c>
      <c r="U58" s="13">
        <f t="shared" si="79"/>
        <v>125.35863819346437</v>
      </c>
      <c r="V58" s="13">
        <f t="shared" si="79"/>
        <v>303.18132068353896</v>
      </c>
      <c r="W58" s="13">
        <f t="shared" si="79"/>
        <v>115.5843330027781</v>
      </c>
      <c r="X58" s="13">
        <f t="shared" si="79"/>
        <v>53.095060933976953</v>
      </c>
      <c r="Y58" s="13">
        <f t="shared" si="79"/>
        <v>-316.69319914012897</v>
      </c>
      <c r="Z58" s="13">
        <f t="shared" si="79"/>
        <v>314.66900198853011</v>
      </c>
      <c r="AA58" s="13">
        <f t="shared" si="79"/>
        <v>204.19866214689401</v>
      </c>
      <c r="AB58" s="13">
        <f t="shared" si="79"/>
        <v>245.52959314202522</v>
      </c>
      <c r="AC58" s="13">
        <f t="shared" si="79"/>
        <v>151.59383116055633</v>
      </c>
      <c r="AD58" s="13">
        <f t="shared" si="79"/>
        <v>10.709755313739407</v>
      </c>
      <c r="AE58" s="13">
        <f t="shared" si="79"/>
        <v>49.311990516986299</v>
      </c>
      <c r="AF58" s="13">
        <f t="shared" si="79"/>
        <v>85.917480171713379</v>
      </c>
      <c r="AG58" s="13">
        <f t="shared" si="79"/>
        <v>137.12700868239577</v>
      </c>
      <c r="AH58" s="13">
        <f t="shared" si="79"/>
        <v>324.54431719389402</v>
      </c>
      <c r="AJ58" s="13" cm="1">
        <f t="array" aca="1" ref="AJ58" ca="1">SUMPRODUCT(($E58:$AH58)*(AJ$3&amp;AJ$4&amp;AJ$5&amp;AJ$6=$E$3:$AH$3&amp;$E$4:$AH$4&amp;$E$5:$AH$5&amp;$E$6:$AH$6))</f>
        <v>76.252053504903387</v>
      </c>
      <c r="AK58" s="13" cm="1">
        <f t="array" aca="1" ref="AK58" ca="1">SUMPRODUCT(($E58:$AH58)*(AK$3=$E$3:$AH$3)*(AK$4=$E$4:$AH$4)*(AK$5=$E$5:$AH$5)*(AK$6=$E$6:$AH$6))</f>
        <v>582.46634972448669</v>
      </c>
      <c r="AL58" s="13" cm="1">
        <f t="array" aca="1" ref="AL58" ca="1">SUMPRODUCT(($E58:$AH58)*(AL$3=$E$3:$AH$3)*(AL$4=$E$4:$AH$4)*(AL$5=$E$5:$AH$5)*(AL$6=$E$6:$AH$6))</f>
        <v>-78.428308482209047</v>
      </c>
      <c r="AM58" s="17" cm="1">
        <f t="array" aca="1" ref="AM58" ca="1">SUMPRODUCT(($E58:$AH58)*(AM$3=$E$3:$AH$3)*(AM$4=$E$4:$AH$4)*(AM$5=$E$5:$AH$5)*(AM$6=$E$6:$AH$6))</f>
        <v>768.12934711443961</v>
      </c>
      <c r="AN58" s="13" cm="1">
        <f t="array" aca="1" ref="AN58" ca="1">SUMPRODUCT(($E58:$AH58)*(AN$3=$E$3:$AH$3)*(AN$4=$E$4:$AH$4)*(AN$5=$E$5:$AH$5)*(AN$6=$E$6:$AH$6))</f>
        <v>214.43697589231496</v>
      </c>
      <c r="AO58" s="13" cm="1">
        <f t="array" aca="1" ref="AO58" ca="1">SUMPRODUCT(($E58:$AH58)*(AO$3=$E$3:$AH$3)*(AO$4=$E$4:$AH$4)*(AO$5=$E$5:$AH$5)*(AO$6=$E$6:$AH$6))</f>
        <v>504.76191536975745</v>
      </c>
      <c r="AP58" s="13" cm="1">
        <f t="array" aca="1" ref="AP58" ca="1">SUMPRODUCT(($E58:$AH58)*(AP$3=$E$3:$AH$3)*(AP$4=$E$4:$AH$4)*(AP$5=$E$5:$AH$5)*(AP$6=$E$6:$AH$6))</f>
        <v>-148.01380520337392</v>
      </c>
      <c r="AQ58" s="13" cm="1">
        <f t="array" aca="1" ref="AQ58" ca="1">SUMPRODUCT(($E58:$AH58)*(AQ$3=$E$3:$AH$3)*(AQ$4=$E$4:$AH$4)*(AQ$5=$E$5:$AH$5)*(AQ$6=$E$6:$AH$6))</f>
        <v>764.39725727744928</v>
      </c>
      <c r="AR58" s="13" cm="1">
        <f t="array" aca="1" ref="AR58" ca="1">SUMPRODUCT(($E58:$AH58)*(AR$3=$E$3:$AH$3)*(AR$4=$E$4:$AH$4)*(AR$5=$E$5:$AH$5)*(AR$6=$E$6:$AH$6))</f>
        <v>211.61557699128204</v>
      </c>
      <c r="AS58" s="13" cm="1">
        <f t="array" aca="1" ref="AS58" ca="1">SUMPRODUCT(($E58:$AH58)*(AS$3=$E$3:$AH$3)*(AS$4=$E$4:$AH$4)*(AS$5=$E$5:$AH$5)*(AS$6=$E$6:$AH$6))</f>
        <v>547.58880604800311</v>
      </c>
      <c r="AU58" s="13" cm="1">
        <f t="array" aca="1" ref="AU58" ca="1">SUMPRODUCT(($E58:$AH58)*(AU$5=$E$5:$AH$5))</f>
        <v>658.71840322938999</v>
      </c>
      <c r="AV58" s="13" cm="1">
        <f t="array" aca="1" ref="AV58" ca="1">SUMPRODUCT(($E58:$AH58)*(AV$5=$E$5:$AH$5))</f>
        <v>1408.8999298943031</v>
      </c>
      <c r="AW58" s="13" cm="1">
        <f t="array" aca="1" ref="AW58" ca="1">SUMPRODUCT(($E58:$AH58)*(AW$5=$E$5:$AH$5))</f>
        <v>1375.5878351133606</v>
      </c>
    </row>
    <row r="59" spans="3:49" x14ac:dyDescent="0.25">
      <c r="C59" s="1" t="s">
        <v>550</v>
      </c>
      <c r="D59" s="11"/>
      <c r="E59" s="33">
        <f>SUM(Expense!E20:E21)</f>
        <v>40.152228546533621</v>
      </c>
      <c r="F59" s="33">
        <f>SUM(Expense!F20:F21)</f>
        <v>40.152228546533621</v>
      </c>
      <c r="G59" s="33">
        <f>SUM(Expense!G20:G21)</f>
        <v>40.152228546533621</v>
      </c>
      <c r="H59" s="33">
        <f>SUM(Expense!H20:H21)</f>
        <v>40.152228546533621</v>
      </c>
      <c r="I59" s="33">
        <f>SUM(Expense!I20:I21)</f>
        <v>40.152228546533621</v>
      </c>
      <c r="J59" s="56">
        <f>SUM(Expense!J20:J21)</f>
        <v>40.152228546533621</v>
      </c>
      <c r="K59" s="33">
        <f>SUM(Expense!K20:K21)</f>
        <v>40.152228546533621</v>
      </c>
      <c r="L59" s="33">
        <f>SUM(Expense!L20:L21)</f>
        <v>40.152228546533621</v>
      </c>
      <c r="M59" s="33">
        <f>SUM(Expense!M20:M21)</f>
        <v>40.152228546533621</v>
      </c>
      <c r="N59" s="33">
        <f>SUM(Expense!N20:N21)</f>
        <v>40.152228546533621</v>
      </c>
      <c r="O59" s="33">
        <f>SUM(Expense!O20:O21)</f>
        <v>40.152228546533621</v>
      </c>
      <c r="P59" s="34">
        <f>SUM(Expense!P20:P21)</f>
        <v>40.152228546533621</v>
      </c>
      <c r="Q59" s="33">
        <f>SUM(Expense!Q20:Q21)</f>
        <v>40.152228546533621</v>
      </c>
      <c r="R59" s="33">
        <f>SUM(Expense!R20:R21)</f>
        <v>40.152228546533621</v>
      </c>
      <c r="S59" s="33">
        <f>SUM(Expense!S20:S21)</f>
        <v>40.152228546533621</v>
      </c>
      <c r="T59" s="33">
        <f>SUM(Expense!T20:T21)</f>
        <v>40.152228546533621</v>
      </c>
      <c r="U59" s="33">
        <f>SUM(Expense!U20:U21)</f>
        <v>40.152228546533621</v>
      </c>
      <c r="V59" s="33">
        <f>SUM(Expense!V20:V21)</f>
        <v>40.152228546533621</v>
      </c>
      <c r="W59" s="33">
        <f>SUM(Expense!W20:W21)</f>
        <v>40.152228546533621</v>
      </c>
      <c r="X59" s="33">
        <f>SUM(Expense!X20:X21)</f>
        <v>40.152228546533621</v>
      </c>
      <c r="Y59" s="33">
        <f>SUM(Expense!Y20:Y21)</f>
        <v>40.152228546533621</v>
      </c>
      <c r="Z59" s="33">
        <f>SUM(Expense!Z20:Z21)</f>
        <v>40.152228546533621</v>
      </c>
      <c r="AA59" s="33">
        <f>SUM(Expense!AA20:AA21)</f>
        <v>40.152228546533621</v>
      </c>
      <c r="AB59" s="33">
        <f>SUM(Expense!AB20:AB21)</f>
        <v>40.152228546533621</v>
      </c>
      <c r="AC59" s="33">
        <f>SUM(Expense!AC20:AC21)</f>
        <v>40.152228546533621</v>
      </c>
      <c r="AD59" s="33">
        <f>SUM(Expense!AD20:AD21)</f>
        <v>40.152228546533621</v>
      </c>
      <c r="AE59" s="33">
        <f>SUM(Expense!AE20:AE21)</f>
        <v>40.152228546533621</v>
      </c>
      <c r="AF59" s="33">
        <f>SUM(Expense!AF20:AF21)</f>
        <v>40.152228546533621</v>
      </c>
      <c r="AG59" s="33">
        <f>SUM(Expense!AG20:AG21)</f>
        <v>40.152228546533621</v>
      </c>
      <c r="AH59" s="33">
        <f>SUM(Expense!AH20:AH21)</f>
        <v>40.152228546533621</v>
      </c>
      <c r="AJ59" s="13" cm="1">
        <f t="array" aca="1" ref="AJ59" ca="1">SUMPRODUCT(($E59:$AH59)*(AJ$3&amp;AJ$4&amp;AJ$5&amp;AJ$6=$E$3:$AH$3&amp;$E$4:$AH$4&amp;$E$5:$AH$5&amp;$E$6:$AH$6))</f>
        <v>120.45668563960086</v>
      </c>
      <c r="AK59" s="13" cm="1">
        <f t="array" aca="1" ref="AK59" ca="1">SUMPRODUCT(($E59:$AH59)*(AK$3=$E$3:$AH$3)*(AK$4=$E$4:$AH$4)*(AK$5=$E$5:$AH$5)*(AK$6=$E$6:$AH$6))</f>
        <v>120.45668563960086</v>
      </c>
      <c r="AL59" s="13" cm="1">
        <f t="array" aca="1" ref="AL59" ca="1">SUMPRODUCT(($E59:$AH59)*(AL$3=$E$3:$AH$3)*(AL$4=$E$4:$AH$4)*(AL$5=$E$5:$AH$5)*(AL$6=$E$6:$AH$6))</f>
        <v>120.45668563960086</v>
      </c>
      <c r="AM59" s="17" cm="1">
        <f t="array" aca="1" ref="AM59" ca="1">SUMPRODUCT(($E59:$AH59)*(AM$3=$E$3:$AH$3)*(AM$4=$E$4:$AH$4)*(AM$5=$E$5:$AH$5)*(AM$6=$E$6:$AH$6))</f>
        <v>120.45668563960086</v>
      </c>
      <c r="AN59" s="13" cm="1">
        <f t="array" aca="1" ref="AN59" ca="1">SUMPRODUCT(($E59:$AH59)*(AN$3=$E$3:$AH$3)*(AN$4=$E$4:$AH$4)*(AN$5=$E$5:$AH$5)*(AN$6=$E$6:$AH$6))</f>
        <v>120.45668563960086</v>
      </c>
      <c r="AO59" s="13" cm="1">
        <f t="array" aca="1" ref="AO59" ca="1">SUMPRODUCT(($E59:$AH59)*(AO$3=$E$3:$AH$3)*(AO$4=$E$4:$AH$4)*(AO$5=$E$5:$AH$5)*(AO$6=$E$6:$AH$6))</f>
        <v>120.45668563960086</v>
      </c>
      <c r="AP59" s="13" cm="1">
        <f t="array" aca="1" ref="AP59" ca="1">SUMPRODUCT(($E59:$AH59)*(AP$3=$E$3:$AH$3)*(AP$4=$E$4:$AH$4)*(AP$5=$E$5:$AH$5)*(AP$6=$E$6:$AH$6))</f>
        <v>120.45668563960086</v>
      </c>
      <c r="AQ59" s="13" cm="1">
        <f t="array" aca="1" ref="AQ59" ca="1">SUMPRODUCT(($E59:$AH59)*(AQ$3=$E$3:$AH$3)*(AQ$4=$E$4:$AH$4)*(AQ$5=$E$5:$AH$5)*(AQ$6=$E$6:$AH$6))</f>
        <v>120.45668563960086</v>
      </c>
      <c r="AR59" s="13" cm="1">
        <f t="array" aca="1" ref="AR59" ca="1">SUMPRODUCT(($E59:$AH59)*(AR$3=$E$3:$AH$3)*(AR$4=$E$4:$AH$4)*(AR$5=$E$5:$AH$5)*(AR$6=$E$6:$AH$6))</f>
        <v>120.45668563960086</v>
      </c>
      <c r="AS59" s="13" cm="1">
        <f t="array" aca="1" ref="AS59" ca="1">SUMPRODUCT(($E59:$AH59)*(AS$3=$E$3:$AH$3)*(AS$4=$E$4:$AH$4)*(AS$5=$E$5:$AH$5)*(AS$6=$E$6:$AH$6))</f>
        <v>120.45668563960086</v>
      </c>
      <c r="AU59" s="13" cm="1">
        <f t="array" aca="1" ref="AU59" ca="1">SUMPRODUCT(($E59:$AH59)*(AU$5=$E$5:$AH$5))</f>
        <v>240.91337127920173</v>
      </c>
      <c r="AV59" s="13" cm="1">
        <f t="array" aca="1" ref="AV59" ca="1">SUMPRODUCT(($E59:$AH59)*(AV$5=$E$5:$AH$5))</f>
        <v>481.82674255840334</v>
      </c>
      <c r="AW59" s="13" cm="1">
        <f t="array" aca="1" ref="AW59" ca="1">SUMPRODUCT(($E59:$AH59)*(AW$5=$E$5:$AH$5))</f>
        <v>481.82674255840334</v>
      </c>
    </row>
    <row r="60" spans="3:49" x14ac:dyDescent="0.25">
      <c r="C60" s="1" t="s">
        <v>92</v>
      </c>
      <c r="D60" s="11"/>
      <c r="E60" s="33">
        <f>Summary_Income_Stmt!E49</f>
        <v>53.522204916741202</v>
      </c>
      <c r="F60" s="33">
        <f>Summary_Income_Stmt!F49</f>
        <v>-87.803393375474911</v>
      </c>
      <c r="G60" s="33">
        <f>Summary_Income_Stmt!G49</f>
        <v>-9.9234436759637674</v>
      </c>
      <c r="H60" s="33">
        <f>Summary_Income_Stmt!H49</f>
        <v>52.048900020111773</v>
      </c>
      <c r="I60" s="33">
        <f>Summary_Income_Stmt!I49</f>
        <v>91.35668401736973</v>
      </c>
      <c r="J60" s="56">
        <f>Summary_Income_Stmt!J49</f>
        <v>318.6040800474043</v>
      </c>
      <c r="K60" s="33">
        <f>Summary_Income_Stmt!K49</f>
        <v>85.828857984443744</v>
      </c>
      <c r="L60" s="33">
        <f>Summary_Income_Stmt!L49</f>
        <v>42.055097972033082</v>
      </c>
      <c r="M60" s="33">
        <f>Summary_Income_Stmt!M49</f>
        <v>-326.76895007828671</v>
      </c>
      <c r="N60" s="33">
        <f>Summary_Income_Stmt!N49</f>
        <v>286.55586948402492</v>
      </c>
      <c r="O60" s="33">
        <f>Summary_Income_Stmt!O49</f>
        <v>192.01491345252248</v>
      </c>
      <c r="P60" s="34">
        <f>Summary_Income_Stmt!P49</f>
        <v>169.10187853829143</v>
      </c>
      <c r="Q60" s="33">
        <f>Summary_Income_Stmt!Q49</f>
        <v>119.41189258434281</v>
      </c>
      <c r="R60" s="33">
        <f>Summary_Income_Stmt!R49</f>
        <v>-23.02802607899082</v>
      </c>
      <c r="S60" s="33">
        <f>Summary_Income_Stmt!S49</f>
        <v>-2.4035762526378903</v>
      </c>
      <c r="T60" s="33">
        <f>Summary_Income_Stmt!T49</f>
        <v>36.069727946220496</v>
      </c>
      <c r="U60" s="33">
        <f>Summary_Income_Stmt!U49</f>
        <v>85.206409646930751</v>
      </c>
      <c r="V60" s="33">
        <f>Summary_Income_Stmt!V49</f>
        <v>263.02909213700536</v>
      </c>
      <c r="W60" s="33">
        <f>Summary_Income_Stmt!W49</f>
        <v>75.432104456244474</v>
      </c>
      <c r="X60" s="33">
        <f>Summary_Income_Stmt!X49</f>
        <v>12.942832387443332</v>
      </c>
      <c r="Y60" s="33">
        <f>Summary_Income_Stmt!Y49</f>
        <v>-356.84542768666256</v>
      </c>
      <c r="Z60" s="33">
        <f>Summary_Income_Stmt!Z49</f>
        <v>274.51677344199652</v>
      </c>
      <c r="AA60" s="33">
        <f>Summary_Income_Stmt!AA49</f>
        <v>164.04643360036039</v>
      </c>
      <c r="AB60" s="33">
        <f>Summary_Income_Stmt!AB49</f>
        <v>205.3773645954916</v>
      </c>
      <c r="AC60" s="33">
        <f>Summary_Income_Stmt!AC49</f>
        <v>111.44160261402271</v>
      </c>
      <c r="AD60" s="33">
        <f>Summary_Income_Stmt!AD49</f>
        <v>-29.442473232794214</v>
      </c>
      <c r="AE60" s="33">
        <f>Summary_Income_Stmt!AE49</f>
        <v>9.1597619704526778</v>
      </c>
      <c r="AF60" s="33">
        <f>Summary_Income_Stmt!AF49</f>
        <v>45.765251625179758</v>
      </c>
      <c r="AG60" s="33">
        <f>Summary_Income_Stmt!AG49</f>
        <v>96.974780135862147</v>
      </c>
      <c r="AH60" s="33">
        <f>Summary_Income_Stmt!AH49</f>
        <v>284.39208864736042</v>
      </c>
      <c r="AJ60" s="13" cm="1">
        <f t="array" aca="1" ref="AJ60" ca="1">SUMPRODUCT(($E60:$AH60)*(AJ$3&amp;AJ$4&amp;AJ$5&amp;AJ$6=$E$3:$AH$3&amp;$E$4:$AH$4&amp;$E$5:$AH$5&amp;$E$6:$AH$6))</f>
        <v>-44.204632134697476</v>
      </c>
      <c r="AK60" s="13" cm="1">
        <f t="array" aca="1" ref="AK60" ca="1">SUMPRODUCT(($E60:$AH60)*(AK$3=$E$3:$AH$3)*(AK$4=$E$4:$AH$4)*(AK$5=$E$5:$AH$5)*(AK$6=$E$6:$AH$6))</f>
        <v>462.0096640848858</v>
      </c>
      <c r="AL60" s="13" cm="1">
        <f t="array" aca="1" ref="AL60" ca="1">SUMPRODUCT(($E60:$AH60)*(AL$3=$E$3:$AH$3)*(AL$4=$E$4:$AH$4)*(AL$5=$E$5:$AH$5)*(AL$6=$E$6:$AH$6))</f>
        <v>-198.88499412180988</v>
      </c>
      <c r="AM60" s="17" cm="1">
        <f t="array" aca="1" ref="AM60" ca="1">SUMPRODUCT(($E60:$AH60)*(AM$3=$E$3:$AH$3)*(AM$4=$E$4:$AH$4)*(AM$5=$E$5:$AH$5)*(AM$6=$E$6:$AH$6))</f>
        <v>647.67266147483883</v>
      </c>
      <c r="AN60" s="13" cm="1">
        <f t="array" aca="1" ref="AN60" ca="1">SUMPRODUCT(($E60:$AH60)*(AN$3=$E$3:$AH$3)*(AN$4=$E$4:$AH$4)*(AN$5=$E$5:$AH$5)*(AN$6=$E$6:$AH$6))</f>
        <v>93.980290252714099</v>
      </c>
      <c r="AO60" s="13" cm="1">
        <f t="array" aca="1" ref="AO60" ca="1">SUMPRODUCT(($E60:$AH60)*(AO$3=$E$3:$AH$3)*(AO$4=$E$4:$AH$4)*(AO$5=$E$5:$AH$5)*(AO$6=$E$6:$AH$6))</f>
        <v>384.30522973015661</v>
      </c>
      <c r="AP60" s="13" cm="1">
        <f t="array" aca="1" ref="AP60" ca="1">SUMPRODUCT(($E60:$AH60)*(AP$3=$E$3:$AH$3)*(AP$4=$E$4:$AH$4)*(AP$5=$E$5:$AH$5)*(AP$6=$E$6:$AH$6))</f>
        <v>-268.47049084297475</v>
      </c>
      <c r="AQ60" s="13" cm="1">
        <f t="array" aca="1" ref="AQ60" ca="1">SUMPRODUCT(($E60:$AH60)*(AQ$3=$E$3:$AH$3)*(AQ$4=$E$4:$AH$4)*(AQ$5=$E$5:$AH$5)*(AQ$6=$E$6:$AH$6))</f>
        <v>643.94057163784851</v>
      </c>
      <c r="AR60" s="13" cm="1">
        <f t="array" aca="1" ref="AR60" ca="1">SUMPRODUCT(($E60:$AH60)*(AR$3=$E$3:$AH$3)*(AR$4=$E$4:$AH$4)*(AR$5=$E$5:$AH$5)*(AR$6=$E$6:$AH$6))</f>
        <v>91.158891351681177</v>
      </c>
      <c r="AS60" s="13" cm="1">
        <f t="array" aca="1" ref="AS60" ca="1">SUMPRODUCT(($E60:$AH60)*(AS$3=$E$3:$AH$3)*(AS$4=$E$4:$AH$4)*(AS$5=$E$5:$AH$5)*(AS$6=$E$6:$AH$6))</f>
        <v>427.13212040840233</v>
      </c>
      <c r="AU60" s="13" cm="1">
        <f t="array" aca="1" ref="AU60" ca="1">SUMPRODUCT(($E60:$AH60)*(AU$5=$E$5:$AH$5))</f>
        <v>417.80503195018832</v>
      </c>
      <c r="AV60" s="13" cm="1">
        <f t="array" aca="1" ref="AV60" ca="1">SUMPRODUCT(($E60:$AH60)*(AV$5=$E$5:$AH$5))</f>
        <v>927.07318733589966</v>
      </c>
      <c r="AW60" s="13" cm="1">
        <f t="array" aca="1" ref="AW60" ca="1">SUMPRODUCT(($E60:$AH60)*(AW$5=$E$5:$AH$5))</f>
        <v>893.76109255495726</v>
      </c>
    </row>
    <row r="61" spans="3:49" x14ac:dyDescent="0.25">
      <c r="C61" s="1" t="s">
        <v>290</v>
      </c>
      <c r="D61" s="1"/>
      <c r="E61" s="274">
        <f>Expense!E179</f>
        <v>0.21</v>
      </c>
      <c r="F61" s="274">
        <f>Expense!F179</f>
        <v>0.21</v>
      </c>
      <c r="G61" s="274">
        <f>Expense!G179</f>
        <v>0.21</v>
      </c>
      <c r="H61" s="274">
        <f>Expense!H179</f>
        <v>0.21</v>
      </c>
      <c r="I61" s="274">
        <f>Expense!I179</f>
        <v>0.21</v>
      </c>
      <c r="J61" s="275">
        <f>Expense!J179</f>
        <v>0.21</v>
      </c>
      <c r="K61" s="274">
        <f>Expense!K179</f>
        <v>0.21</v>
      </c>
      <c r="L61" s="274">
        <f>Expense!L179</f>
        <v>0.21</v>
      </c>
      <c r="M61" s="274">
        <f>Expense!M179</f>
        <v>0.21</v>
      </c>
      <c r="N61" s="274">
        <f>Expense!N179</f>
        <v>0.21</v>
      </c>
      <c r="O61" s="274">
        <f>Expense!O179</f>
        <v>0.21</v>
      </c>
      <c r="P61" s="276">
        <f>Expense!P179</f>
        <v>0.21</v>
      </c>
      <c r="Q61" s="274">
        <f>Expense!Q179</f>
        <v>0.21</v>
      </c>
      <c r="R61" s="274">
        <f>Expense!R179</f>
        <v>0.21</v>
      </c>
      <c r="S61" s="274">
        <f>Expense!S179</f>
        <v>0.21</v>
      </c>
      <c r="T61" s="274">
        <f>Expense!T179</f>
        <v>0.21</v>
      </c>
      <c r="U61" s="274">
        <f>Expense!U179</f>
        <v>0.21</v>
      </c>
      <c r="V61" s="274">
        <f>Expense!V179</f>
        <v>0.21</v>
      </c>
      <c r="W61" s="274">
        <f>Expense!W179</f>
        <v>0.21</v>
      </c>
      <c r="X61" s="274">
        <f>Expense!X179</f>
        <v>0.21</v>
      </c>
      <c r="Y61" s="274">
        <f>Expense!Y179</f>
        <v>0.21</v>
      </c>
      <c r="Z61" s="274">
        <f>Expense!Z179</f>
        <v>0.21</v>
      </c>
      <c r="AA61" s="274">
        <f>Expense!AA179</f>
        <v>0.21</v>
      </c>
      <c r="AB61" s="274">
        <f>Expense!AB179</f>
        <v>0.21</v>
      </c>
      <c r="AC61" s="274">
        <f>Expense!AC179</f>
        <v>0.21</v>
      </c>
      <c r="AD61" s="274">
        <f>Expense!AD179</f>
        <v>0.21</v>
      </c>
      <c r="AE61" s="274">
        <f>Expense!AE179</f>
        <v>0.21</v>
      </c>
      <c r="AF61" s="274">
        <f>Expense!AF179</f>
        <v>0.21</v>
      </c>
      <c r="AG61" s="274">
        <f>Expense!AG179</f>
        <v>0.21</v>
      </c>
      <c r="AH61" s="274">
        <f>Expense!AH179</f>
        <v>0.21</v>
      </c>
      <c r="AJ61" s="13" cm="1">
        <f t="array" aca="1" ref="AJ61" ca="1">SUMPRODUCT(($E61:$AH61)*(AJ$3&amp;AJ$4&amp;AJ$5&amp;AJ$6=$E$3:$AH$3&amp;$E$4:$AH$4&amp;$E$5:$AH$5&amp;$E$6:$AH$6))</f>
        <v>0.63</v>
      </c>
      <c r="AK61" s="13" cm="1">
        <f t="array" aca="1" ref="AK61" ca="1">SUMPRODUCT(($E61:$AH61)*(AK$3=$E$3:$AH$3)*(AK$4=$E$4:$AH$4)*(AK$5=$E$5:$AH$5)*(AK$6=$E$6:$AH$6))</f>
        <v>0.63</v>
      </c>
      <c r="AL61" s="13" cm="1">
        <f t="array" aca="1" ref="AL61" ca="1">SUMPRODUCT(($E61:$AH61)*(AL$3=$E$3:$AH$3)*(AL$4=$E$4:$AH$4)*(AL$5=$E$5:$AH$5)*(AL$6=$E$6:$AH$6))</f>
        <v>0.63</v>
      </c>
      <c r="AM61" s="17" cm="1">
        <f t="array" aca="1" ref="AM61" ca="1">SUMPRODUCT(($E61:$AH61)*(AM$3=$E$3:$AH$3)*(AM$4=$E$4:$AH$4)*(AM$5=$E$5:$AH$5)*(AM$6=$E$6:$AH$6))</f>
        <v>0.63</v>
      </c>
      <c r="AN61" s="13" cm="1">
        <f t="array" aca="1" ref="AN61" ca="1">SUMPRODUCT(($E61:$AH61)*(AN$3=$E$3:$AH$3)*(AN$4=$E$4:$AH$4)*(AN$5=$E$5:$AH$5)*(AN$6=$E$6:$AH$6))</f>
        <v>0.63</v>
      </c>
      <c r="AO61" s="13" cm="1">
        <f t="array" aca="1" ref="AO61" ca="1">SUMPRODUCT(($E61:$AH61)*(AO$3=$E$3:$AH$3)*(AO$4=$E$4:$AH$4)*(AO$5=$E$5:$AH$5)*(AO$6=$E$6:$AH$6))</f>
        <v>0.63</v>
      </c>
      <c r="AP61" s="13" cm="1">
        <f t="array" aca="1" ref="AP61" ca="1">SUMPRODUCT(($E61:$AH61)*(AP$3=$E$3:$AH$3)*(AP$4=$E$4:$AH$4)*(AP$5=$E$5:$AH$5)*(AP$6=$E$6:$AH$6))</f>
        <v>0.63</v>
      </c>
      <c r="AQ61" s="13" cm="1">
        <f t="array" aca="1" ref="AQ61" ca="1">SUMPRODUCT(($E61:$AH61)*(AQ$3=$E$3:$AH$3)*(AQ$4=$E$4:$AH$4)*(AQ$5=$E$5:$AH$5)*(AQ$6=$E$6:$AH$6))</f>
        <v>0.63</v>
      </c>
      <c r="AR61" s="13" cm="1">
        <f t="array" aca="1" ref="AR61" ca="1">SUMPRODUCT(($E61:$AH61)*(AR$3=$E$3:$AH$3)*(AR$4=$E$4:$AH$4)*(AR$5=$E$5:$AH$5)*(AR$6=$E$6:$AH$6))</f>
        <v>0.63</v>
      </c>
      <c r="AS61" s="13" cm="1">
        <f t="array" aca="1" ref="AS61" ca="1">SUMPRODUCT(($E61:$AH61)*(AS$3=$E$3:$AH$3)*(AS$4=$E$4:$AH$4)*(AS$5=$E$5:$AH$5)*(AS$6=$E$6:$AH$6))</f>
        <v>0.63</v>
      </c>
      <c r="AU61" s="13" cm="1">
        <f t="array" aca="1" ref="AU61" ca="1">SUMPRODUCT(($E61:$AH61)*(AU$5=$E$5:$AH$5))</f>
        <v>1.26</v>
      </c>
      <c r="AV61" s="13" cm="1">
        <f t="array" aca="1" ref="AV61" ca="1">SUMPRODUCT(($E61:$AH61)*(AV$5=$E$5:$AH$5))</f>
        <v>2.52</v>
      </c>
      <c r="AW61" s="13" cm="1">
        <f t="array" aca="1" ref="AW61" ca="1">SUMPRODUCT(($E61:$AH61)*(AW$5=$E$5:$AH$5))</f>
        <v>2.52</v>
      </c>
    </row>
    <row r="62" spans="3:49" x14ac:dyDescent="0.25">
      <c r="C62" s="1" t="s">
        <v>554</v>
      </c>
      <c r="D62" s="1"/>
      <c r="E62" s="33">
        <f t="shared" ref="E62:AH62" si="80">E60*(1-E61)</f>
        <v>42.282541884225552</v>
      </c>
      <c r="F62" s="33">
        <f t="shared" si="80"/>
        <v>-69.364680766625185</v>
      </c>
      <c r="G62" s="33">
        <f t="shared" si="80"/>
        <v>-7.8395205040113769</v>
      </c>
      <c r="H62" s="33">
        <f t="shared" si="80"/>
        <v>41.118631015888305</v>
      </c>
      <c r="I62" s="33">
        <f t="shared" si="80"/>
        <v>72.171780373722086</v>
      </c>
      <c r="J62" s="56">
        <f t="shared" si="80"/>
        <v>251.69722323744941</v>
      </c>
      <c r="K62" s="33">
        <f t="shared" si="80"/>
        <v>67.804797807710557</v>
      </c>
      <c r="L62" s="33">
        <f t="shared" si="80"/>
        <v>33.223527397906139</v>
      </c>
      <c r="M62" s="33">
        <f t="shared" si="80"/>
        <v>-258.14747056184649</v>
      </c>
      <c r="N62" s="33">
        <f t="shared" si="80"/>
        <v>226.37913689237971</v>
      </c>
      <c r="O62" s="33">
        <f t="shared" si="80"/>
        <v>151.69178162749276</v>
      </c>
      <c r="P62" s="34">
        <f t="shared" si="80"/>
        <v>133.59048404525024</v>
      </c>
      <c r="Q62" s="33">
        <f t="shared" si="80"/>
        <v>94.335395141630826</v>
      </c>
      <c r="R62" s="33">
        <f t="shared" si="80"/>
        <v>-18.192140602402748</v>
      </c>
      <c r="S62" s="33">
        <f t="shared" si="80"/>
        <v>-1.8988252395839333</v>
      </c>
      <c r="T62" s="33">
        <f t="shared" si="80"/>
        <v>28.495085077514194</v>
      </c>
      <c r="U62" s="33">
        <f t="shared" si="80"/>
        <v>67.313063621075301</v>
      </c>
      <c r="V62" s="33">
        <f t="shared" si="80"/>
        <v>207.79298278823424</v>
      </c>
      <c r="W62" s="33">
        <f t="shared" si="80"/>
        <v>59.591362520433137</v>
      </c>
      <c r="X62" s="33">
        <f t="shared" si="80"/>
        <v>10.224837586080232</v>
      </c>
      <c r="Y62" s="33">
        <f t="shared" si="80"/>
        <v>-281.90788787246345</v>
      </c>
      <c r="Z62" s="33">
        <f t="shared" si="80"/>
        <v>216.86825101917725</v>
      </c>
      <c r="AA62" s="33">
        <f t="shared" si="80"/>
        <v>129.5966825442847</v>
      </c>
      <c r="AB62" s="33">
        <f t="shared" si="80"/>
        <v>162.24811803043838</v>
      </c>
      <c r="AC62" s="33">
        <f t="shared" si="80"/>
        <v>88.038866065077954</v>
      </c>
      <c r="AD62" s="33">
        <f t="shared" si="80"/>
        <v>-23.25955385390743</v>
      </c>
      <c r="AE62" s="33">
        <f t="shared" si="80"/>
        <v>7.2362119566576162</v>
      </c>
      <c r="AF62" s="33">
        <f t="shared" si="80"/>
        <v>36.154548783892011</v>
      </c>
      <c r="AG62" s="33">
        <f t="shared" si="80"/>
        <v>76.610076307331099</v>
      </c>
      <c r="AH62" s="33">
        <f t="shared" si="80"/>
        <v>224.66975003141474</v>
      </c>
      <c r="AJ62" s="13" cm="1">
        <f t="array" aca="1" ref="AJ62" ca="1">SUMPRODUCT(($E62:$AH62)*(AJ$3&amp;AJ$4&amp;AJ$5&amp;AJ$6=$E$3:$AH$3&amp;$E$4:$AH$4&amp;$E$5:$AH$5&amp;$E$6:$AH$6))</f>
        <v>-34.921659386411008</v>
      </c>
      <c r="AK62" s="13" cm="1">
        <f t="array" aca="1" ref="AK62" ca="1">SUMPRODUCT(($E62:$AH62)*(AK$3=$E$3:$AH$3)*(AK$4=$E$4:$AH$4)*(AK$5=$E$5:$AH$5)*(AK$6=$E$6:$AH$6))</f>
        <v>364.98763462705983</v>
      </c>
      <c r="AL62" s="13" cm="1">
        <f t="array" aca="1" ref="AL62" ca="1">SUMPRODUCT(($E62:$AH62)*(AL$3=$E$3:$AH$3)*(AL$4=$E$4:$AH$4)*(AL$5=$E$5:$AH$5)*(AL$6=$E$6:$AH$6))</f>
        <v>-157.11914535622981</v>
      </c>
      <c r="AM62" s="17" cm="1">
        <f t="array" aca="1" ref="AM62" ca="1">SUMPRODUCT(($E62:$AH62)*(AM$3=$E$3:$AH$3)*(AM$4=$E$4:$AH$4)*(AM$5=$E$5:$AH$5)*(AM$6=$E$6:$AH$6))</f>
        <v>511.66140256512267</v>
      </c>
      <c r="AN62" s="13" cm="1">
        <f t="array" aca="1" ref="AN62" ca="1">SUMPRODUCT(($E62:$AH62)*(AN$3=$E$3:$AH$3)*(AN$4=$E$4:$AH$4)*(AN$5=$E$5:$AH$5)*(AN$6=$E$6:$AH$6))</f>
        <v>74.244429299644153</v>
      </c>
      <c r="AO62" s="13" cm="1">
        <f t="array" aca="1" ref="AO62" ca="1">SUMPRODUCT(($E62:$AH62)*(AO$3=$E$3:$AH$3)*(AO$4=$E$4:$AH$4)*(AO$5=$E$5:$AH$5)*(AO$6=$E$6:$AH$6))</f>
        <v>303.60113148682376</v>
      </c>
      <c r="AP62" s="13" cm="1">
        <f t="array" aca="1" ref="AP62" ca="1">SUMPRODUCT(($E62:$AH62)*(AP$3=$E$3:$AH$3)*(AP$4=$E$4:$AH$4)*(AP$5=$E$5:$AH$5)*(AP$6=$E$6:$AH$6))</f>
        <v>-212.0916877659501</v>
      </c>
      <c r="AQ62" s="13" cm="1">
        <f t="array" aca="1" ref="AQ62" ca="1">SUMPRODUCT(($E62:$AH62)*(AQ$3=$E$3:$AH$3)*(AQ$4=$E$4:$AH$4)*(AQ$5=$E$5:$AH$5)*(AQ$6=$E$6:$AH$6))</f>
        <v>508.71305159390033</v>
      </c>
      <c r="AR62" s="13" cm="1">
        <f t="array" aca="1" ref="AR62" ca="1">SUMPRODUCT(($E62:$AH62)*(AR$3=$E$3:$AH$3)*(AR$4=$E$4:$AH$4)*(AR$5=$E$5:$AH$5)*(AR$6=$E$6:$AH$6))</f>
        <v>72.015524167828133</v>
      </c>
      <c r="AS62" s="13" cm="1">
        <f t="array" aca="1" ref="AS62" ca="1">SUMPRODUCT(($E62:$AH62)*(AS$3=$E$3:$AH$3)*(AS$4=$E$4:$AH$4)*(AS$5=$E$5:$AH$5)*(AS$6=$E$6:$AH$6))</f>
        <v>337.43437512263785</v>
      </c>
      <c r="AU62" s="13" cm="1">
        <f t="array" aca="1" ref="AU62" ca="1">SUMPRODUCT(($E62:$AH62)*(AU$5=$E$5:$AH$5))</f>
        <v>330.06597524064875</v>
      </c>
      <c r="AV62" s="13" cm="1">
        <f t="array" aca="1" ref="AV62" ca="1">SUMPRODUCT(($E62:$AH62)*(AV$5=$E$5:$AH$5))</f>
        <v>732.38781799536082</v>
      </c>
      <c r="AW62" s="13" cm="1">
        <f t="array" aca="1" ref="AW62" ca="1">SUMPRODUCT(($E62:$AH62)*(AW$5=$E$5:$AH$5))</f>
        <v>706.07126311841614</v>
      </c>
    </row>
    <row r="63" spans="3:49" x14ac:dyDescent="0.25">
      <c r="C63" s="1" t="s">
        <v>457</v>
      </c>
      <c r="D63" s="1"/>
      <c r="E63" s="33">
        <f>Expense!E175</f>
        <v>20.029275765633791</v>
      </c>
      <c r="F63" s="33">
        <f>Expense!F175</f>
        <v>20.029275765633791</v>
      </c>
      <c r="G63" s="33">
        <f>Expense!G175</f>
        <v>20.856150765633792</v>
      </c>
      <c r="H63" s="33">
        <f>Expense!H175</f>
        <v>20.856150765633792</v>
      </c>
      <c r="I63" s="33">
        <f>Expense!I175</f>
        <v>20.856150765633792</v>
      </c>
      <c r="J63" s="56">
        <f>Expense!J175</f>
        <v>24.39781743230046</v>
      </c>
      <c r="K63" s="33">
        <f>Expense!K175</f>
        <v>19.065109098967124</v>
      </c>
      <c r="L63" s="33">
        <f>Expense!L175</f>
        <v>19.065109098967124</v>
      </c>
      <c r="M63" s="33">
        <f>Expense!M175</f>
        <v>19.065109098967124</v>
      </c>
      <c r="N63" s="33">
        <f>Expense!N175</f>
        <v>19.065109098967124</v>
      </c>
      <c r="O63" s="33">
        <f>Expense!O175</f>
        <v>19.065109098967124</v>
      </c>
      <c r="P63" s="34">
        <f>Expense!P175</f>
        <v>19.117609098967126</v>
      </c>
      <c r="Q63" s="33">
        <f>Expense!Q175</f>
        <v>19.117609098967126</v>
      </c>
      <c r="R63" s="33">
        <f>Expense!R175</f>
        <v>19.117609098967126</v>
      </c>
      <c r="S63" s="33">
        <f>Expense!S175</f>
        <v>19.117609098967126</v>
      </c>
      <c r="T63" s="33">
        <f>Expense!T175</f>
        <v>19.117609098967126</v>
      </c>
      <c r="U63" s="33">
        <f>Expense!U175</f>
        <v>19.117609098967126</v>
      </c>
      <c r="V63" s="33">
        <f>Expense!V175</f>
        <v>19.117609098967126</v>
      </c>
      <c r="W63" s="33">
        <f>Expense!W175</f>
        <v>19.117609098967126</v>
      </c>
      <c r="X63" s="33">
        <f>Expense!X175</f>
        <v>19.117609098967126</v>
      </c>
      <c r="Y63" s="33">
        <f>Expense!Y175</f>
        <v>19.117609098967126</v>
      </c>
      <c r="Z63" s="33">
        <f>Expense!Z175</f>
        <v>19.117609098967126</v>
      </c>
      <c r="AA63" s="33">
        <f>Expense!AA175</f>
        <v>19.117609098967126</v>
      </c>
      <c r="AB63" s="33">
        <f>Expense!AB175</f>
        <v>19.117609098967126</v>
      </c>
      <c r="AC63" s="33">
        <f>Expense!AC175</f>
        <v>19.117609098967126</v>
      </c>
      <c r="AD63" s="33">
        <f>Expense!AD175</f>
        <v>19.117609098967126</v>
      </c>
      <c r="AE63" s="33">
        <f>Expense!AE175</f>
        <v>19.117609098967126</v>
      </c>
      <c r="AF63" s="33">
        <f>Expense!AF175</f>
        <v>19.117609098967126</v>
      </c>
      <c r="AG63" s="33">
        <f>Expense!AG175</f>
        <v>19.117609098967126</v>
      </c>
      <c r="AH63" s="33">
        <f>Expense!AH175</f>
        <v>19.117609098967126</v>
      </c>
      <c r="AJ63" s="13" cm="1">
        <f t="array" aca="1" ref="AJ63" ca="1">SUMPRODUCT(($E63:$AH63)*(AJ$3&amp;AJ$4&amp;AJ$5&amp;AJ$6=$E$3:$AH$3&amp;$E$4:$AH$4&amp;$E$5:$AH$5&amp;$E$6:$AH$6))</f>
        <v>60.914702296901375</v>
      </c>
      <c r="AK63" s="13" cm="1">
        <f t="array" aca="1" ref="AK63" ca="1">SUMPRODUCT(($E63:$AH63)*(AK$3=$E$3:$AH$3)*(AK$4=$E$4:$AH$4)*(AK$5=$E$5:$AH$5)*(AK$6=$E$6:$AH$6))</f>
        <v>66.110118963568041</v>
      </c>
      <c r="AL63" s="13" cm="1">
        <f t="array" aca="1" ref="AL63" ca="1">SUMPRODUCT(($E63:$AH63)*(AL$3=$E$3:$AH$3)*(AL$4=$E$4:$AH$4)*(AL$5=$E$5:$AH$5)*(AL$6=$E$6:$AH$6))</f>
        <v>57.195327296901368</v>
      </c>
      <c r="AM63" s="17" cm="1">
        <f t="array" aca="1" ref="AM63" ca="1">SUMPRODUCT(($E63:$AH63)*(AM$3=$E$3:$AH$3)*(AM$4=$E$4:$AH$4)*(AM$5=$E$5:$AH$5)*(AM$6=$E$6:$AH$6))</f>
        <v>57.247827296901377</v>
      </c>
      <c r="AN63" s="13" cm="1">
        <f t="array" aca="1" ref="AN63" ca="1">SUMPRODUCT(($E63:$AH63)*(AN$3=$E$3:$AH$3)*(AN$4=$E$4:$AH$4)*(AN$5=$E$5:$AH$5)*(AN$6=$E$6:$AH$6))</f>
        <v>57.352827296901381</v>
      </c>
      <c r="AO63" s="13" cm="1">
        <f t="array" aca="1" ref="AO63" ca="1">SUMPRODUCT(($E63:$AH63)*(AO$3=$E$3:$AH$3)*(AO$4=$E$4:$AH$4)*(AO$5=$E$5:$AH$5)*(AO$6=$E$6:$AH$6))</f>
        <v>57.352827296901381</v>
      </c>
      <c r="AP63" s="13" cm="1">
        <f t="array" aca="1" ref="AP63" ca="1">SUMPRODUCT(($E63:$AH63)*(AP$3=$E$3:$AH$3)*(AP$4=$E$4:$AH$4)*(AP$5=$E$5:$AH$5)*(AP$6=$E$6:$AH$6))</f>
        <v>57.352827296901381</v>
      </c>
      <c r="AQ63" s="13" cm="1">
        <f t="array" aca="1" ref="AQ63" ca="1">SUMPRODUCT(($E63:$AH63)*(AQ$3=$E$3:$AH$3)*(AQ$4=$E$4:$AH$4)*(AQ$5=$E$5:$AH$5)*(AQ$6=$E$6:$AH$6))</f>
        <v>57.352827296901381</v>
      </c>
      <c r="AR63" s="13" cm="1">
        <f t="array" aca="1" ref="AR63" ca="1">SUMPRODUCT(($E63:$AH63)*(AR$3=$E$3:$AH$3)*(AR$4=$E$4:$AH$4)*(AR$5=$E$5:$AH$5)*(AR$6=$E$6:$AH$6))</f>
        <v>57.352827296901381</v>
      </c>
      <c r="AS63" s="13" cm="1">
        <f t="array" aca="1" ref="AS63" ca="1">SUMPRODUCT(($E63:$AH63)*(AS$3=$E$3:$AH$3)*(AS$4=$E$4:$AH$4)*(AS$5=$E$5:$AH$5)*(AS$6=$E$6:$AH$6))</f>
        <v>57.352827296901381</v>
      </c>
      <c r="AU63" s="13" cm="1">
        <f t="array" aca="1" ref="AU63" ca="1">SUMPRODUCT(($E63:$AH63)*(AU$5=$E$5:$AH$5))</f>
        <v>127.02482126046942</v>
      </c>
      <c r="AV63" s="13" cm="1">
        <f t="array" aca="1" ref="AV63" ca="1">SUMPRODUCT(($E63:$AH63)*(AV$5=$E$5:$AH$5))</f>
        <v>229.14880918760556</v>
      </c>
      <c r="AW63" s="13" cm="1">
        <f t="array" aca="1" ref="AW63" ca="1">SUMPRODUCT(($E63:$AH63)*(AW$5=$E$5:$AH$5))</f>
        <v>229.41130918760555</v>
      </c>
    </row>
    <row r="64" spans="3:49" x14ac:dyDescent="0.25">
      <c r="C64" s="1" t="s">
        <v>551</v>
      </c>
      <c r="D64" s="1"/>
      <c r="E64" s="33">
        <f>SUM(Balance_Sheet!E157,Balance_Sheet!E172)</f>
        <v>0</v>
      </c>
      <c r="F64" s="33">
        <f>SUM(Balance_Sheet!F157,Balance_Sheet!F172)</f>
        <v>305</v>
      </c>
      <c r="G64" s="33">
        <f>SUM(Balance_Sheet!G157,Balance_Sheet!G172)</f>
        <v>0</v>
      </c>
      <c r="H64" s="33">
        <f>SUM(Balance_Sheet!H157,Balance_Sheet!H172)</f>
        <v>0</v>
      </c>
      <c r="I64" s="33">
        <f>SUM(Balance_Sheet!I157,Balance_Sheet!I172)</f>
        <v>0</v>
      </c>
      <c r="J64" s="56">
        <f>SUM(Balance_Sheet!J157,Balance_Sheet!J172)</f>
        <v>1900</v>
      </c>
      <c r="K64" s="33">
        <f>SUM(Balance_Sheet!K157,Balance_Sheet!K172)</f>
        <v>0</v>
      </c>
      <c r="L64" s="33">
        <f>SUM(Balance_Sheet!L157,Balance_Sheet!L172)</f>
        <v>0</v>
      </c>
      <c r="M64" s="33">
        <f>SUM(Balance_Sheet!M157,Balance_Sheet!M172)</f>
        <v>0</v>
      </c>
      <c r="N64" s="33">
        <f>SUM(Balance_Sheet!N157,Balance_Sheet!N172)</f>
        <v>0</v>
      </c>
      <c r="O64" s="33">
        <f>SUM(Balance_Sheet!O157,Balance_Sheet!O172)</f>
        <v>305</v>
      </c>
      <c r="P64" s="34">
        <f>SUM(Balance_Sheet!P157,Balance_Sheet!P172)</f>
        <v>0</v>
      </c>
      <c r="Q64" s="33">
        <f>SUM(Balance_Sheet!Q157,Balance_Sheet!Q172)</f>
        <v>0</v>
      </c>
      <c r="R64" s="33">
        <f>SUM(Balance_Sheet!R157,Balance_Sheet!R172)</f>
        <v>0</v>
      </c>
      <c r="S64" s="33">
        <f>SUM(Balance_Sheet!S157,Balance_Sheet!S172)</f>
        <v>0</v>
      </c>
      <c r="T64" s="33">
        <f>SUM(Balance_Sheet!T157,Balance_Sheet!T172)</f>
        <v>0</v>
      </c>
      <c r="U64" s="33">
        <f>SUM(Balance_Sheet!U157,Balance_Sheet!U172)</f>
        <v>0</v>
      </c>
      <c r="V64" s="33">
        <f>SUM(Balance_Sheet!V157,Balance_Sheet!V172)</f>
        <v>0</v>
      </c>
      <c r="W64" s="33">
        <f>SUM(Balance_Sheet!W157,Balance_Sheet!W172)</f>
        <v>0</v>
      </c>
      <c r="X64" s="33">
        <f>SUM(Balance_Sheet!X157,Balance_Sheet!X172)</f>
        <v>0</v>
      </c>
      <c r="Y64" s="33">
        <f>SUM(Balance_Sheet!Y157,Balance_Sheet!Y172)</f>
        <v>0</v>
      </c>
      <c r="Z64" s="33">
        <f>SUM(Balance_Sheet!Z157,Balance_Sheet!Z172)</f>
        <v>0</v>
      </c>
      <c r="AA64" s="33">
        <f>SUM(Balance_Sheet!AA157,Balance_Sheet!AA172)</f>
        <v>0</v>
      </c>
      <c r="AB64" s="33">
        <f>SUM(Balance_Sheet!AB157,Balance_Sheet!AB172)</f>
        <v>0</v>
      </c>
      <c r="AC64" s="33">
        <f>SUM(Balance_Sheet!AC157,Balance_Sheet!AC172)</f>
        <v>0</v>
      </c>
      <c r="AD64" s="33">
        <f>SUM(Balance_Sheet!AD157,Balance_Sheet!AD172)</f>
        <v>0</v>
      </c>
      <c r="AE64" s="33">
        <f>SUM(Balance_Sheet!AE157,Balance_Sheet!AE172)</f>
        <v>0</v>
      </c>
      <c r="AF64" s="33">
        <f>SUM(Balance_Sheet!AF157,Balance_Sheet!AF172)</f>
        <v>0</v>
      </c>
      <c r="AG64" s="33">
        <f>SUM(Balance_Sheet!AG157,Balance_Sheet!AG172)</f>
        <v>0</v>
      </c>
      <c r="AH64" s="33">
        <f>SUM(Balance_Sheet!AH157,Balance_Sheet!AH172)</f>
        <v>0</v>
      </c>
      <c r="AJ64" s="13" cm="1">
        <f t="array" aca="1" ref="AJ64" ca="1">SUMPRODUCT(($E64:$AH64)*(AJ$3&amp;AJ$4&amp;AJ$5&amp;AJ$6=$E$3:$AH$3&amp;$E$4:$AH$4&amp;$E$5:$AH$5&amp;$E$6:$AH$6))</f>
        <v>305</v>
      </c>
      <c r="AK64" s="13" cm="1">
        <f t="array" aca="1" ref="AK64" ca="1">SUMPRODUCT(($E64:$AH64)*(AK$3=$E$3:$AH$3)*(AK$4=$E$4:$AH$4)*(AK$5=$E$5:$AH$5)*(AK$6=$E$6:$AH$6))</f>
        <v>1900</v>
      </c>
      <c r="AL64" s="13" cm="1">
        <f t="array" aca="1" ref="AL64" ca="1">SUMPRODUCT(($E64:$AH64)*(AL$3=$E$3:$AH$3)*(AL$4=$E$4:$AH$4)*(AL$5=$E$5:$AH$5)*(AL$6=$E$6:$AH$6))</f>
        <v>0</v>
      </c>
      <c r="AM64" s="17" cm="1">
        <f t="array" aca="1" ref="AM64" ca="1">SUMPRODUCT(($E64:$AH64)*(AM$3=$E$3:$AH$3)*(AM$4=$E$4:$AH$4)*(AM$5=$E$5:$AH$5)*(AM$6=$E$6:$AH$6))</f>
        <v>305</v>
      </c>
      <c r="AN64" s="13" cm="1">
        <f t="array" aca="1" ref="AN64" ca="1">SUMPRODUCT(($E64:$AH64)*(AN$3=$E$3:$AH$3)*(AN$4=$E$4:$AH$4)*(AN$5=$E$5:$AH$5)*(AN$6=$E$6:$AH$6))</f>
        <v>0</v>
      </c>
      <c r="AO64" s="13" cm="1">
        <f t="array" aca="1" ref="AO64" ca="1">SUMPRODUCT(($E64:$AH64)*(AO$3=$E$3:$AH$3)*(AO$4=$E$4:$AH$4)*(AO$5=$E$5:$AH$5)*(AO$6=$E$6:$AH$6))</f>
        <v>0</v>
      </c>
      <c r="AP64" s="13" cm="1">
        <f t="array" aca="1" ref="AP64" ca="1">SUMPRODUCT(($E64:$AH64)*(AP$3=$E$3:$AH$3)*(AP$4=$E$4:$AH$4)*(AP$5=$E$5:$AH$5)*(AP$6=$E$6:$AH$6))</f>
        <v>0</v>
      </c>
      <c r="AQ64" s="13" cm="1">
        <f t="array" aca="1" ref="AQ64" ca="1">SUMPRODUCT(($E64:$AH64)*(AQ$3=$E$3:$AH$3)*(AQ$4=$E$4:$AH$4)*(AQ$5=$E$5:$AH$5)*(AQ$6=$E$6:$AH$6))</f>
        <v>0</v>
      </c>
      <c r="AR64" s="13" cm="1">
        <f t="array" aca="1" ref="AR64" ca="1">SUMPRODUCT(($E64:$AH64)*(AR$3=$E$3:$AH$3)*(AR$4=$E$4:$AH$4)*(AR$5=$E$5:$AH$5)*(AR$6=$E$6:$AH$6))</f>
        <v>0</v>
      </c>
      <c r="AS64" s="13" cm="1">
        <f t="array" aca="1" ref="AS64" ca="1">SUMPRODUCT(($E64:$AH64)*(AS$3=$E$3:$AH$3)*(AS$4=$E$4:$AH$4)*(AS$5=$E$5:$AH$5)*(AS$6=$E$6:$AH$6))</f>
        <v>0</v>
      </c>
      <c r="AU64" s="13" cm="1">
        <f t="array" aca="1" ref="AU64" ca="1">SUMPRODUCT(($E64:$AH64)*(AU$5=$E$5:$AH$5))</f>
        <v>2205</v>
      </c>
      <c r="AV64" s="13" cm="1">
        <f t="array" aca="1" ref="AV64" ca="1">SUMPRODUCT(($E64:$AH64)*(AV$5=$E$5:$AH$5))</f>
        <v>305</v>
      </c>
      <c r="AW64" s="13" cm="1">
        <f t="array" aca="1" ref="AW64" ca="1">SUMPRODUCT(($E64:$AH64)*(AW$5=$E$5:$AH$5))</f>
        <v>0</v>
      </c>
    </row>
    <row r="65" spans="3:49" x14ac:dyDescent="0.25">
      <c r="C65" s="1" t="s">
        <v>552</v>
      </c>
      <c r="D65" s="1"/>
      <c r="E65" s="33">
        <f>SUM(Expense!E42,Expense!E63,Expense!E122,Expense!E132,Expense!E148)</f>
        <v>358.06080593035</v>
      </c>
      <c r="F65" s="33">
        <f>SUM(Expense!F42,Expense!F63,Expense!F122,Expense!F132,Expense!F148)</f>
        <v>357.9045551603125</v>
      </c>
      <c r="G65" s="33">
        <f>SUM(Expense!G42,Expense!G63,Expense!G122,Expense!G132,Expense!G148)</f>
        <v>358.4975942123657</v>
      </c>
      <c r="H65" s="33">
        <f>SUM(Expense!H42,Expense!H63,Expense!H122,Expense!H132,Expense!H148)</f>
        <v>358.12345926837992</v>
      </c>
      <c r="I65" s="33">
        <f>SUM(Expense!I42,Expense!I63,Expense!I122,Expense!I132,Expense!I148)</f>
        <v>358.02240992622393</v>
      </c>
      <c r="J65" s="56">
        <f>SUM(Expense!J42,Expense!J63,Expense!J122,Expense!J132,Expense!J148)</f>
        <v>358.45283808301087</v>
      </c>
      <c r="K65" s="33">
        <f>SUM(Expense!K42,Expense!K63,Expense!K122,Expense!K132,Expense!K148)</f>
        <v>358.29729165264075</v>
      </c>
      <c r="L65" s="33">
        <f>SUM(Expense!L42,Expense!L63,Expense!L122,Expense!L132,Expense!L148)</f>
        <v>358.50940465464527</v>
      </c>
      <c r="M65" s="33">
        <f>SUM(Expense!M42,Expense!M63,Expense!M122,Expense!M132,Expense!M148)</f>
        <v>357.90623953724105</v>
      </c>
      <c r="N65" s="33">
        <f>SUM(Expense!N42,Expense!N63,Expense!N122,Expense!N132,Expense!N148)</f>
        <v>358.14871007687628</v>
      </c>
      <c r="O65" s="33">
        <f>SUM(Expense!O42,Expense!O63,Expense!O122,Expense!O132,Expense!O148)</f>
        <v>358.38334921233462</v>
      </c>
      <c r="P65" s="34">
        <f>SUM(Expense!P42,Expense!P63,Expense!P122,Expense!P132,Expense!P148)</f>
        <v>357.95694769630683</v>
      </c>
      <c r="Q65" s="33">
        <f>SUM(Expense!Q42,Expense!Q63,Expense!Q122,Expense!Q132,Expense!Q148)</f>
        <v>368.67199856679929</v>
      </c>
      <c r="R65" s="33">
        <f>SUM(Expense!R42,Expense!R63,Expense!R122,Expense!R132,Expense!R148)</f>
        <v>376.75170395525532</v>
      </c>
      <c r="S65" s="33">
        <f>SUM(Expense!S42,Expense!S63,Expense!S122,Expense!S132,Expense!S148)</f>
        <v>393.87559235058404</v>
      </c>
      <c r="T65" s="33">
        <f>SUM(Expense!T42,Expense!T63,Expense!T122,Expense!T132,Expense!T148)</f>
        <v>391.67563227237326</v>
      </c>
      <c r="U65" s="33">
        <f>SUM(Expense!U42,Expense!U63,Expense!U122,Expense!U132,Expense!U148)</f>
        <v>391.67902969256369</v>
      </c>
      <c r="V65" s="33">
        <f>SUM(Expense!V42,Expense!V63,Expense!V122,Expense!V132,Expense!V148)</f>
        <v>391.63997617461854</v>
      </c>
      <c r="W65" s="33">
        <f>SUM(Expense!W42,Expense!W63,Expense!W122,Expense!W132,Expense!W148)</f>
        <v>392.17258734828761</v>
      </c>
      <c r="X65" s="33">
        <f>SUM(Expense!X42,Expense!X63,Expense!X122,Expense!X132,Expense!X148)</f>
        <v>392.16601476430634</v>
      </c>
      <c r="Y65" s="33">
        <f>SUM(Expense!Y42,Expense!Y63,Expense!Y122,Expense!Y132,Expense!Y148)</f>
        <v>407.44172632278378</v>
      </c>
      <c r="Z65" s="33">
        <f>SUM(Expense!Z42,Expense!Z63,Expense!Z122,Expense!Z132,Expense!Z148)</f>
        <v>407.44617498471115</v>
      </c>
      <c r="AA65" s="33">
        <f>SUM(Expense!AA42,Expense!AA63,Expense!AA122,Expense!AA132,Expense!AA148)</f>
        <v>407.44452932565633</v>
      </c>
      <c r="AB65" s="33">
        <f>SUM(Expense!AB42,Expense!AB63,Expense!AB122,Expense!AB132,Expense!AB148)</f>
        <v>407.44204315339397</v>
      </c>
      <c r="AC65" s="33">
        <f>SUM(Expense!AC42,Expense!AC63,Expense!AC122,Expense!AC132,Expense!AC148)</f>
        <v>407.44565153874544</v>
      </c>
      <c r="AD65" s="33">
        <f>SUM(Expense!AD42,Expense!AD63,Expense!AD122,Expense!AD132,Expense!AD148)</f>
        <v>407.44442612604399</v>
      </c>
      <c r="AE65" s="33">
        <f>SUM(Expense!AE42,Expense!AE63,Expense!AE122,Expense!AE132,Expense!AE148)</f>
        <v>407.44409190855578</v>
      </c>
      <c r="AF65" s="33">
        <f>SUM(Expense!AF42,Expense!AF63,Expense!AF122,Expense!AF132,Expense!AF148)</f>
        <v>407.4444861728511</v>
      </c>
      <c r="AG65" s="33">
        <f>SUM(Expense!AG42,Expense!AG63,Expense!AG122,Expense!AG132,Expense!AG148)</f>
        <v>407.44420470420778</v>
      </c>
      <c r="AH65" s="33">
        <f>SUM(Expense!AH42,Expense!AH63,Expense!AH122,Expense!AH132,Expense!AH148)</f>
        <v>407.44415060063301</v>
      </c>
      <c r="AJ65" s="13" cm="1">
        <f t="array" aca="1" ref="AJ65" ca="1">SUMPRODUCT(($E65:$AH65)*(AJ$3&amp;AJ$4&amp;AJ$5&amp;AJ$6=$E$3:$AH$3&amp;$E$4:$AH$4&amp;$E$5:$AH$5&amp;$E$6:$AH$6))</f>
        <v>1074.4629553030281</v>
      </c>
      <c r="AK65" s="13" cm="1">
        <f t="array" aca="1" ref="AK65" ca="1">SUMPRODUCT(($E65:$AH65)*(AK$3=$E$3:$AH$3)*(AK$4=$E$4:$AH$4)*(AK$5=$E$5:$AH$5)*(AK$6=$E$6:$AH$6))</f>
        <v>1074.5987072776147</v>
      </c>
      <c r="AL65" s="13" cm="1">
        <f t="array" aca="1" ref="AL65" ca="1">SUMPRODUCT(($E65:$AH65)*(AL$3=$E$3:$AH$3)*(AL$4=$E$4:$AH$4)*(AL$5=$E$5:$AH$5)*(AL$6=$E$6:$AH$6))</f>
        <v>1074.7129358445272</v>
      </c>
      <c r="AM65" s="17" cm="1">
        <f t="array" aca="1" ref="AM65" ca="1">SUMPRODUCT(($E65:$AH65)*(AM$3=$E$3:$AH$3)*(AM$4=$E$4:$AH$4)*(AM$5=$E$5:$AH$5)*(AM$6=$E$6:$AH$6))</f>
        <v>1074.4890069855178</v>
      </c>
      <c r="AN65" s="13" cm="1">
        <f t="array" aca="1" ref="AN65" ca="1">SUMPRODUCT(($E65:$AH65)*(AN$3=$E$3:$AH$3)*(AN$4=$E$4:$AH$4)*(AN$5=$E$5:$AH$5)*(AN$6=$E$6:$AH$6))</f>
        <v>1139.2992948726387</v>
      </c>
      <c r="AO65" s="13" cm="1">
        <f t="array" aca="1" ref="AO65" ca="1">SUMPRODUCT(($E65:$AH65)*(AO$3=$E$3:$AH$3)*(AO$4=$E$4:$AH$4)*(AO$5=$E$5:$AH$5)*(AO$6=$E$6:$AH$6))</f>
        <v>1174.9946381395555</v>
      </c>
      <c r="AP65" s="13" cm="1">
        <f t="array" aca="1" ref="AP65" ca="1">SUMPRODUCT(($E65:$AH65)*(AP$3=$E$3:$AH$3)*(AP$4=$E$4:$AH$4)*(AP$5=$E$5:$AH$5)*(AP$6=$E$6:$AH$6))</f>
        <v>1191.7803284353777</v>
      </c>
      <c r="AQ65" s="13" cm="1">
        <f t="array" aca="1" ref="AQ65" ca="1">SUMPRODUCT(($E65:$AH65)*(AQ$3=$E$3:$AH$3)*(AQ$4=$E$4:$AH$4)*(AQ$5=$E$5:$AH$5)*(AQ$6=$E$6:$AH$6))</f>
        <v>1222.3327474637615</v>
      </c>
      <c r="AR65" s="13" cm="1">
        <f t="array" aca="1" ref="AR65" ca="1">SUMPRODUCT(($E65:$AH65)*(AR$3=$E$3:$AH$3)*(AR$4=$E$4:$AH$4)*(AR$5=$E$5:$AH$5)*(AR$6=$E$6:$AH$6))</f>
        <v>1222.3341695733452</v>
      </c>
      <c r="AS65" s="13" cm="1">
        <f t="array" aca="1" ref="AS65" ca="1">SUMPRODUCT(($E65:$AH65)*(AS$3=$E$3:$AH$3)*(AS$4=$E$4:$AH$4)*(AS$5=$E$5:$AH$5)*(AS$6=$E$6:$AH$6))</f>
        <v>1222.332841477692</v>
      </c>
      <c r="AU65" s="13" cm="1">
        <f t="array" aca="1" ref="AU65" ca="1">SUMPRODUCT(($E65:$AH65)*(AU$5=$E$5:$AH$5))</f>
        <v>2149.0616625806429</v>
      </c>
      <c r="AV65" s="13" cm="1">
        <f t="array" aca="1" ref="AV65" ca="1">SUMPRODUCT(($E65:$AH65)*(AV$5=$E$5:$AH$5))</f>
        <v>4463.495875842239</v>
      </c>
      <c r="AW65" s="13" cm="1">
        <f t="array" aca="1" ref="AW65" ca="1">SUMPRODUCT(($E65:$AH65)*(AW$5=$E$5:$AH$5))</f>
        <v>4858.7800869501771</v>
      </c>
    </row>
    <row r="66" spans="3:49" x14ac:dyDescent="0.25">
      <c r="C66" s="1" t="s">
        <v>91</v>
      </c>
      <c r="D66" s="11"/>
      <c r="E66" s="33">
        <f>Summary_Income_Stmt!E56</f>
        <v>29.125237104659139</v>
      </c>
      <c r="F66" s="33">
        <f>Summary_Income_Stmt!F56</f>
        <v>-82.624194245865795</v>
      </c>
      <c r="G66" s="33">
        <f>Summary_Income_Stmt!G56</f>
        <v>-21.710702552945516</v>
      </c>
      <c r="H66" s="33">
        <f>Summary_Income_Stmt!H56</f>
        <v>26.986821621171551</v>
      </c>
      <c r="I66" s="33">
        <f>Summary_Income_Stmt!I56</f>
        <v>57.953457461618527</v>
      </c>
      <c r="J66" s="56">
        <f>Summary_Income_Stmt!J56</f>
        <v>235.4447518774752</v>
      </c>
      <c r="K66" s="33">
        <f>Summary_Income_Stmt!K56</f>
        <v>54.654992854057717</v>
      </c>
      <c r="L66" s="33">
        <f>Summary_Income_Stmt!L56</f>
        <v>20.343899815251607</v>
      </c>
      <c r="M66" s="33">
        <f>Summary_Income_Stmt!M56</f>
        <v>-271.15692301059426</v>
      </c>
      <c r="N66" s="33">
        <f>Summary_Income_Stmt!N56</f>
        <v>213.57803618904262</v>
      </c>
      <c r="O66" s="33">
        <f>Summary_Income_Stmt!O56</f>
        <v>138.5389775796522</v>
      </c>
      <c r="P66" s="34">
        <f>Summary_Income_Stmt!P56</f>
        <v>120.59405030732998</v>
      </c>
      <c r="Q66" s="33">
        <f>Summary_Income_Stmt!Q56</f>
        <v>81.200688086606505</v>
      </c>
      <c r="R66" s="33">
        <f>Summary_Income_Stmt!R56</f>
        <v>-31.173665531776798</v>
      </c>
      <c r="S66" s="33">
        <f>Summary_Income_Stmt!S56</f>
        <v>-15.110091406378155</v>
      </c>
      <c r="T66" s="33">
        <f>Summary_Income_Stmt!T56</f>
        <v>15.340571690454514</v>
      </c>
      <c r="U66" s="33">
        <f>Summary_Income_Stmt!U56</f>
        <v>54.057078316209406</v>
      </c>
      <c r="V66" s="33">
        <f>Summary_Income_Stmt!V56</f>
        <v>194.50537495823039</v>
      </c>
      <c r="W66" s="33">
        <f>Summary_Income_Stmt!W56</f>
        <v>46.212717877344666</v>
      </c>
      <c r="X66" s="33">
        <f>Summary_Income_Stmt!X56</f>
        <v>-2.930033740955265</v>
      </c>
      <c r="Y66" s="33">
        <f>Summary_Income_Stmt!Y56</f>
        <v>-294.75468644242693</v>
      </c>
      <c r="Z66" s="33">
        <f>Summary_Income_Stmt!Z56</f>
        <v>204.2411705500968</v>
      </c>
      <c r="AA66" s="33">
        <f>Summary_Income_Stmt!AA56</f>
        <v>116.43258315676363</v>
      </c>
      <c r="AB66" s="33">
        <f>Summary_Income_Stmt!AB56</f>
        <v>149.20150943019695</v>
      </c>
      <c r="AC66" s="33">
        <f>Summary_Income_Stmt!AC56</f>
        <v>75.310315180858495</v>
      </c>
      <c r="AD66" s="33">
        <f>Summary_Income_Stmt!AD56</f>
        <v>-35.681259428359056</v>
      </c>
      <c r="AE66" s="33">
        <f>Summary_Income_Stmt!AE56</f>
        <v>-5.3773876435951724</v>
      </c>
      <c r="AF66" s="33">
        <f>Summary_Income_Stmt!AF56</f>
        <v>23.628256871298657</v>
      </c>
      <c r="AG66" s="33">
        <f>Summary_Income_Stmt!AG56</f>
        <v>63.996305277565639</v>
      </c>
      <c r="AH66" s="33">
        <f>Summary_Income_Stmt!AH56</f>
        <v>212.06107516189809</v>
      </c>
      <c r="AJ66" s="13" cm="1">
        <f t="array" aca="1" ref="AJ66" ca="1">SUMPRODUCT(($E66:$AH66)*(AJ$3&amp;AJ$4&amp;AJ$5&amp;AJ$6=$E$3:$AH$3&amp;$E$4:$AH$4&amp;$E$5:$AH$5&amp;$E$6:$AH$6))</f>
        <v>-75.20965969415218</v>
      </c>
      <c r="AK66" s="13" cm="1">
        <f t="array" aca="1" ref="AK66" ca="1">SUMPRODUCT(($E66:$AH66)*(AK$3=$E$3:$AH$3)*(AK$4=$E$4:$AH$4)*(AK$5=$E$5:$AH$5)*(AK$6=$E$6:$AH$6))</f>
        <v>320.38503096026528</v>
      </c>
      <c r="AL66" s="13" cm="1">
        <f t="array" aca="1" ref="AL66" ca="1">SUMPRODUCT(($E66:$AH66)*(AL$3=$E$3:$AH$3)*(AL$4=$E$4:$AH$4)*(AL$5=$E$5:$AH$5)*(AL$6=$E$6:$AH$6))</f>
        <v>-196.15803034128493</v>
      </c>
      <c r="AM66" s="17" cm="1">
        <f t="array" aca="1" ref="AM66" ca="1">SUMPRODUCT(($E66:$AH66)*(AM$3=$E$3:$AH$3)*(AM$4=$E$4:$AH$4)*(AM$5=$E$5:$AH$5)*(AM$6=$E$6:$AH$6))</f>
        <v>472.71106407602485</v>
      </c>
      <c r="AN66" s="13" cm="1">
        <f t="array" aca="1" ref="AN66" ca="1">SUMPRODUCT(($E66:$AH66)*(AN$3=$E$3:$AH$3)*(AN$4=$E$4:$AH$4)*(AN$5=$E$5:$AH$5)*(AN$6=$E$6:$AH$6))</f>
        <v>34.916931148451553</v>
      </c>
      <c r="AO66" s="13" cm="1">
        <f t="array" aca="1" ref="AO66" ca="1">SUMPRODUCT(($E66:$AH66)*(AO$3=$E$3:$AH$3)*(AO$4=$E$4:$AH$4)*(AO$5=$E$5:$AH$5)*(AO$6=$E$6:$AH$6))</f>
        <v>263.90302496489431</v>
      </c>
      <c r="AP66" s="13" cm="1">
        <f t="array" aca="1" ref="AP66" ca="1">SUMPRODUCT(($E66:$AH66)*(AP$3=$E$3:$AH$3)*(AP$4=$E$4:$AH$4)*(AP$5=$E$5:$AH$5)*(AP$6=$E$6:$AH$6))</f>
        <v>-251.47200230603752</v>
      </c>
      <c r="AQ66" s="13" cm="1">
        <f t="array" aca="1" ref="AQ66" ca="1">SUMPRODUCT(($E66:$AH66)*(AQ$3=$E$3:$AH$3)*(AQ$4=$E$4:$AH$4)*(AQ$5=$E$5:$AH$5)*(AQ$6=$E$6:$AH$6))</f>
        <v>469.8752631370574</v>
      </c>
      <c r="AR66" s="13" cm="1">
        <f t="array" aca="1" ref="AR66" ca="1">SUMPRODUCT(($E66:$AH66)*(AR$3=$E$3:$AH$3)*(AR$4=$E$4:$AH$4)*(AR$5=$E$5:$AH$5)*(AR$6=$E$6:$AH$6))</f>
        <v>34.251668108904269</v>
      </c>
      <c r="AS66" s="13" cm="1">
        <f t="array" aca="1" ref="AS66" ca="1">SUMPRODUCT(($E66:$AH66)*(AS$3=$E$3:$AH$3)*(AS$4=$E$4:$AH$4)*(AS$5=$E$5:$AH$5)*(AS$6=$E$6:$AH$6))</f>
        <v>299.68563731076239</v>
      </c>
      <c r="AU66" s="13" cm="1">
        <f t="array" aca="1" ref="AU66" ca="1">SUMPRODUCT(($E66:$AH66)*(AU$5=$E$5:$AH$5))</f>
        <v>245.1753712661131</v>
      </c>
      <c r="AV66" s="13" cm="1">
        <f t="array" aca="1" ref="AV66" ca="1">SUMPRODUCT(($E66:$AH66)*(AV$5=$E$5:$AH$5))</f>
        <v>575.37298984808581</v>
      </c>
      <c r="AW66" s="13" cm="1">
        <f t="array" aca="1" ref="AW66" ca="1">SUMPRODUCT(($E66:$AH66)*(AW$5=$E$5:$AH$5))</f>
        <v>552.34056625068649</v>
      </c>
    </row>
    <row r="67" spans="3:49" x14ac:dyDescent="0.25">
      <c r="C67" s="327" t="s">
        <v>526</v>
      </c>
      <c r="D67" s="11"/>
      <c r="E67" s="33"/>
      <c r="F67" s="33"/>
      <c r="G67" s="33"/>
      <c r="H67" s="33"/>
      <c r="I67" s="33"/>
      <c r="J67" s="56"/>
      <c r="K67" s="33"/>
      <c r="L67" s="33"/>
      <c r="M67" s="33"/>
      <c r="N67" s="33"/>
      <c r="O67" s="33"/>
      <c r="P67" s="34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J67" s="13"/>
      <c r="AK67" s="13"/>
      <c r="AL67" s="13"/>
      <c r="AM67" s="17"/>
      <c r="AN67" s="13"/>
      <c r="AO67" s="13"/>
      <c r="AP67" s="13"/>
      <c r="AQ67" s="13"/>
      <c r="AR67" s="13"/>
      <c r="AS67" s="13"/>
      <c r="AU67" s="13"/>
      <c r="AV67" s="13"/>
      <c r="AW67" s="13"/>
    </row>
    <row r="68" spans="3:49" x14ac:dyDescent="0.25">
      <c r="C68" s="1" t="s">
        <v>587</v>
      </c>
      <c r="D68" s="33">
        <f>SUM(Balance_Sheet!E133:E134)</f>
        <v>246.16374131729265</v>
      </c>
      <c r="E68" s="33">
        <f>SUM(Balance_Sheet!F133:F134)</f>
        <v>135.6172686523077</v>
      </c>
      <c r="F68" s="33">
        <f>SUM(Balance_Sheet!G133:G134)</f>
        <v>104.58124702517178</v>
      </c>
      <c r="G68" s="33">
        <f>SUM(Balance_Sheet!H133:H134)</f>
        <v>220.3387481265695</v>
      </c>
      <c r="H68" s="33">
        <f>SUM(Balance_Sheet!I133:I134)</f>
        <v>194.87042680974713</v>
      </c>
      <c r="I68" s="33">
        <f>SUM(Balance_Sheet!J133:J134)</f>
        <v>457.29454652664936</v>
      </c>
      <c r="J68" s="56">
        <f>SUM(Balance_Sheet!K133:K134)</f>
        <v>381.01141905038583</v>
      </c>
      <c r="K68" s="33">
        <f>SUM(Balance_Sheet!L133:L134)</f>
        <v>154.40458371311826</v>
      </c>
      <c r="L68" s="33">
        <f>SUM(Balance_Sheet!M133:M134)</f>
        <v>204.20598537290149</v>
      </c>
      <c r="M68" s="33">
        <f>SUM(Balance_Sheet!N133:N134)</f>
        <v>415.45631288783875</v>
      </c>
      <c r="N68" s="33">
        <f>SUM(Balance_Sheet!O133:O134)</f>
        <v>452.64577974165724</v>
      </c>
      <c r="O68" s="33">
        <f>SUM(Balance_Sheet!P133:P134)</f>
        <v>514.81979277117432</v>
      </c>
      <c r="P68" s="34">
        <f>SUM(Balance_Sheet!Q133:Q134)</f>
        <v>269.06128777812012</v>
      </c>
      <c r="Q68" s="33">
        <f>SUM(Balance_Sheet!R133:R134)</f>
        <v>114.43748410707357</v>
      </c>
      <c r="R68" s="33">
        <f>SUM(Balance_Sheet!S133:S134)</f>
        <v>129.62505261378698</v>
      </c>
      <c r="S68" s="33">
        <f>SUM(Balance_Sheet!T133:T134)</f>
        <v>241.31560668318966</v>
      </c>
      <c r="T68" s="33">
        <f>SUM(Balance_Sheet!U133:U134)</f>
        <v>191.61541290077875</v>
      </c>
      <c r="U68" s="33">
        <f>SUM(Balance_Sheet!V133:V134)</f>
        <v>571.02548171213596</v>
      </c>
      <c r="V68" s="33">
        <f>SUM(Balance_Sheet!W133:W134)</f>
        <v>246.16838935216293</v>
      </c>
      <c r="W68" s="33">
        <f>SUM(Balance_Sheet!X133:X134)</f>
        <v>179.40814443083798</v>
      </c>
      <c r="X68" s="33">
        <f>SUM(Balance_Sheet!Y133:Y134)</f>
        <v>220.70029110453083</v>
      </c>
      <c r="Y68" s="33">
        <f>SUM(Balance_Sheet!Z133:Z134)</f>
        <v>524.4407079566497</v>
      </c>
      <c r="Z68" s="33">
        <f>SUM(Balance_Sheet!AA133:AA134)</f>
        <v>357.42562643641338</v>
      </c>
      <c r="AA68" s="33">
        <f>SUM(Balance_Sheet!AB133:AB134)</f>
        <v>576.32725713606976</v>
      </c>
      <c r="AB68" s="33">
        <f>SUM(Balance_Sheet!AC133:AC134)</f>
        <v>276.16848532073641</v>
      </c>
      <c r="AC68" s="33">
        <f>SUM(Balance_Sheet!AD133:AD134)</f>
        <v>118.96778640778263</v>
      </c>
      <c r="AD68" s="33">
        <f>SUM(Balance_Sheet!AE133:AE134)</f>
        <v>134.84570154207083</v>
      </c>
      <c r="AE68" s="33">
        <f>SUM(Balance_Sheet!AF133:AF134)</f>
        <v>251.88484551760541</v>
      </c>
      <c r="AF68" s="33">
        <f>SUM(Balance_Sheet!AG133:AG134)</f>
        <v>199.89156705151618</v>
      </c>
      <c r="AG68" s="33">
        <f>SUM(Balance_Sheet!AH133:AH134)</f>
        <v>596.78941137977063</v>
      </c>
      <c r="AH68" s="33">
        <f>SUM(Balance_Sheet!AI133:AI134)</f>
        <v>0</v>
      </c>
      <c r="AJ68" s="13" cm="1">
        <f t="array" aca="1" ref="AJ68" ca="1">SUMPRODUCT(($E68:$AH68)*(AJ$3&amp;AJ$4&amp;AJ$5&amp;AJ$6=$E$3:$AH$3&amp;$E$4:$AH$4&amp;$E$5:$AH$5&amp;$E$6:$AH$6))</f>
        <v>460.53726380404896</v>
      </c>
      <c r="AK68" s="13" cm="1">
        <f t="array" aca="1" ref="AK68" ca="1">SUMPRODUCT(($E68:$AH68)*(AK$3=$E$3:$AH$3)*(AK$4=$E$4:$AH$4)*(AK$5=$E$5:$AH$5)*(AK$6=$E$6:$AH$6))</f>
        <v>1033.1763923867825</v>
      </c>
      <c r="AL68" s="13" cm="1">
        <f t="array" aca="1" ref="AL68" ca="1">SUMPRODUCT(($E68:$AH68)*(AL$3=$E$3:$AH$3)*(AL$4=$E$4:$AH$4)*(AL$5=$E$5:$AH$5)*(AL$6=$E$6:$AH$6))</f>
        <v>774.06688197385847</v>
      </c>
      <c r="AM68" s="17" cm="1">
        <f t="array" aca="1" ref="AM68" ca="1">SUMPRODUCT(($E68:$AH68)*(AM$3=$E$3:$AH$3)*(AM$4=$E$4:$AH$4)*(AM$5=$E$5:$AH$5)*(AM$6=$E$6:$AH$6))</f>
        <v>1236.5268602909518</v>
      </c>
      <c r="AN68" s="13" cm="1">
        <f t="array" aca="1" ref="AN68" ca="1">SUMPRODUCT(($E68:$AH68)*(AN$3=$E$3:$AH$3)*(AN$4=$E$4:$AH$4)*(AN$5=$E$5:$AH$5)*(AN$6=$E$6:$AH$6))</f>
        <v>485.37814340405021</v>
      </c>
      <c r="AO68" s="13" cm="1">
        <f t="array" aca="1" ref="AO68" ca="1">SUMPRODUCT(($E68:$AH68)*(AO$3=$E$3:$AH$3)*(AO$4=$E$4:$AH$4)*(AO$5=$E$5:$AH$5)*(AO$6=$E$6:$AH$6))</f>
        <v>1008.8092839650776</v>
      </c>
      <c r="AP68" s="13" cm="1">
        <f t="array" aca="1" ref="AP68" ca="1">SUMPRODUCT(($E68:$AH68)*(AP$3=$E$3:$AH$3)*(AP$4=$E$4:$AH$4)*(AP$5=$E$5:$AH$5)*(AP$6=$E$6:$AH$6))</f>
        <v>924.54914349201852</v>
      </c>
      <c r="AQ68" s="13" cm="1">
        <f t="array" aca="1" ref="AQ68" ca="1">SUMPRODUCT(($E68:$AH68)*(AQ$3=$E$3:$AH$3)*(AQ$4=$E$4:$AH$4)*(AQ$5=$E$5:$AH$5)*(AQ$6=$E$6:$AH$6))</f>
        <v>1209.9213688932196</v>
      </c>
      <c r="AR68" s="13" cm="1">
        <f t="array" aca="1" ref="AR68" ca="1">SUMPRODUCT(($E68:$AH68)*(AR$3=$E$3:$AH$3)*(AR$4=$E$4:$AH$4)*(AR$5=$E$5:$AH$5)*(AR$6=$E$6:$AH$6))</f>
        <v>505.69833346745884</v>
      </c>
      <c r="AS68" s="13" cm="1">
        <f t="array" aca="1" ref="AS68" ca="1">SUMPRODUCT(($E68:$AH68)*(AS$3=$E$3:$AH$3)*(AS$4=$E$4:$AH$4)*(AS$5=$E$5:$AH$5)*(AS$6=$E$6:$AH$6))</f>
        <v>796.6809784312868</v>
      </c>
      <c r="AU68" s="13" cm="1">
        <f t="array" aca="1" ref="AU68" ca="1">SUMPRODUCT(($E68:$AH68)*(AU$5=$E$5:$AH$5))</f>
        <v>1493.7136561908314</v>
      </c>
      <c r="AV68" s="13" cm="1">
        <f t="array" aca="1" ref="AV68" ca="1">SUMPRODUCT(($E68:$AH68)*(AV$5=$E$5:$AH$5))</f>
        <v>3504.7811696339377</v>
      </c>
      <c r="AW68" s="13" cm="1">
        <f t="array" aca="1" ref="AW68" ca="1">SUMPRODUCT(($E68:$AH68)*(AW$5=$E$5:$AH$5))</f>
        <v>3436.8498242839837</v>
      </c>
    </row>
    <row r="69" spans="3:49" x14ac:dyDescent="0.25">
      <c r="C69" s="1"/>
      <c r="D69" s="11"/>
      <c r="E69" s="33"/>
      <c r="F69" s="33"/>
      <c r="G69" s="33"/>
      <c r="H69" s="33"/>
      <c r="I69" s="33"/>
      <c r="J69" s="56"/>
      <c r="K69" s="33"/>
      <c r="L69" s="33"/>
      <c r="M69" s="33"/>
      <c r="N69" s="33"/>
      <c r="O69" s="33"/>
      <c r="P69" s="34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M69" s="8"/>
    </row>
    <row r="70" spans="3:49" x14ac:dyDescent="0.25">
      <c r="C70" s="11" t="s">
        <v>558</v>
      </c>
      <c r="D70" s="11"/>
      <c r="E70" s="45" t="str">
        <f t="shared" ref="E70:AH70" si="81">E$9</f>
        <v>Jul-20A</v>
      </c>
      <c r="F70" s="45" t="str">
        <f t="shared" si="81"/>
        <v>Aug-20A</v>
      </c>
      <c r="G70" s="45" t="str">
        <f t="shared" si="81"/>
        <v>Sep-20A</v>
      </c>
      <c r="H70" s="45" t="str">
        <f t="shared" si="81"/>
        <v>Oct-20A</v>
      </c>
      <c r="I70" s="45" t="str">
        <f t="shared" si="81"/>
        <v>Nov-20A</v>
      </c>
      <c r="J70" s="45" t="str">
        <f t="shared" si="81"/>
        <v>Dec-20A</v>
      </c>
      <c r="K70" s="45" t="str">
        <f t="shared" si="81"/>
        <v>Jan-21A</v>
      </c>
      <c r="L70" s="45" t="str">
        <f t="shared" si="81"/>
        <v>Feb-21A</v>
      </c>
      <c r="M70" s="45" t="str">
        <f t="shared" si="81"/>
        <v>Mar-21A</v>
      </c>
      <c r="N70" s="45" t="str">
        <f t="shared" si="81"/>
        <v>Apr-21A</v>
      </c>
      <c r="O70" s="45" t="str">
        <f t="shared" si="81"/>
        <v>May-21A</v>
      </c>
      <c r="P70" s="46" t="str">
        <f t="shared" si="81"/>
        <v>Jun-21A</v>
      </c>
      <c r="Q70" s="45" t="str">
        <f t="shared" si="81"/>
        <v>Jul-21F</v>
      </c>
      <c r="R70" s="45" t="str">
        <f t="shared" si="81"/>
        <v>Aug-21F</v>
      </c>
      <c r="S70" s="45" t="str">
        <f t="shared" si="81"/>
        <v>Sep-21F</v>
      </c>
      <c r="T70" s="45" t="str">
        <f t="shared" si="81"/>
        <v>Oct-21F</v>
      </c>
      <c r="U70" s="45" t="str">
        <f t="shared" si="81"/>
        <v>Nov-21F</v>
      </c>
      <c r="V70" s="45" t="str">
        <f t="shared" si="81"/>
        <v>Dec-21F</v>
      </c>
      <c r="W70" s="45" t="str">
        <f t="shared" si="81"/>
        <v>Jan-22F</v>
      </c>
      <c r="X70" s="45" t="str">
        <f t="shared" si="81"/>
        <v>Feb-22F</v>
      </c>
      <c r="Y70" s="45" t="str">
        <f t="shared" si="81"/>
        <v>Mar-22F</v>
      </c>
      <c r="Z70" s="45" t="str">
        <f t="shared" si="81"/>
        <v>Apr-22F</v>
      </c>
      <c r="AA70" s="45" t="str">
        <f t="shared" si="81"/>
        <v>May-22F</v>
      </c>
      <c r="AB70" s="45" t="str">
        <f t="shared" si="81"/>
        <v>Jun-22F</v>
      </c>
      <c r="AC70" s="45" t="str">
        <f t="shared" si="81"/>
        <v>Jul-22F</v>
      </c>
      <c r="AD70" s="45" t="str">
        <f t="shared" si="81"/>
        <v>Aug-22F</v>
      </c>
      <c r="AE70" s="45" t="str">
        <f t="shared" si="81"/>
        <v>Sep-22F</v>
      </c>
      <c r="AF70" s="45" t="str">
        <f t="shared" si="81"/>
        <v>Oct-22F</v>
      </c>
      <c r="AG70" s="45" t="str">
        <f t="shared" si="81"/>
        <v>Nov-22F</v>
      </c>
      <c r="AH70" s="45" t="str">
        <f t="shared" si="81"/>
        <v>Dec-22F</v>
      </c>
      <c r="AJ70" s="45" t="str">
        <f ca="1">AJ$10</f>
        <v>Q3'20A</v>
      </c>
      <c r="AK70" s="45" t="str">
        <f t="shared" ref="AK70:AW70" ca="1" si="82">AK$10</f>
        <v>Q4'20A</v>
      </c>
      <c r="AL70" s="45" t="str">
        <f t="shared" ca="1" si="82"/>
        <v>Q1'21A</v>
      </c>
      <c r="AM70" s="46" t="str">
        <f t="shared" ca="1" si="82"/>
        <v>Q2'21A</v>
      </c>
      <c r="AN70" s="45" t="str">
        <f t="shared" ca="1" si="82"/>
        <v>Q3'21F</v>
      </c>
      <c r="AO70" s="45" t="str">
        <f t="shared" ca="1" si="82"/>
        <v>Q4'21F</v>
      </c>
      <c r="AP70" s="45" t="str">
        <f t="shared" ca="1" si="82"/>
        <v>Q1'22F</v>
      </c>
      <c r="AQ70" s="45" t="str">
        <f t="shared" ca="1" si="82"/>
        <v>Q2'22F</v>
      </c>
      <c r="AR70" s="45" t="str">
        <f t="shared" ca="1" si="82"/>
        <v>Q3'22F</v>
      </c>
      <c r="AS70" s="45" t="str">
        <f t="shared" ca="1" si="82"/>
        <v>Q4'22F</v>
      </c>
      <c r="AU70" s="45" t="str">
        <f t="shared" ca="1" si="82"/>
        <v>FY20</v>
      </c>
      <c r="AV70" s="45" t="str">
        <f t="shared" ca="1" si="82"/>
        <v>FY21</v>
      </c>
      <c r="AW70" s="45" t="str">
        <f t="shared" ca="1" si="82"/>
        <v>FY22</v>
      </c>
    </row>
    <row r="71" spans="3:49" x14ac:dyDescent="0.25">
      <c r="C71" s="1" t="s">
        <v>179</v>
      </c>
      <c r="D71" s="1"/>
      <c r="E71" s="33">
        <f>Cash_Flow_Stmt!E27</f>
        <v>-155.25372102412547</v>
      </c>
      <c r="F71" s="33">
        <f>Cash_Flow_Stmt!F27</f>
        <v>-251.8668147243261</v>
      </c>
      <c r="G71" s="33">
        <f>Cash_Flow_Stmt!G27</f>
        <v>-395.88963916346086</v>
      </c>
      <c r="H71" s="33">
        <f>Cash_Flow_Stmt!H27</f>
        <v>-131.41293780275237</v>
      </c>
      <c r="I71" s="33">
        <f>Cash_Flow_Stmt!I27</f>
        <v>160.15425639908091</v>
      </c>
      <c r="J71" s="56">
        <f>Cash_Flow_Stmt!J27</f>
        <v>-91.339003056223305</v>
      </c>
      <c r="K71" s="33">
        <f>Cash_Flow_Stmt!K27</f>
        <v>410.3960065797267</v>
      </c>
      <c r="L71" s="33">
        <f>Cash_Flow_Stmt!L27</f>
        <v>-197.20232824292174</v>
      </c>
      <c r="M71" s="33">
        <f>Cash_Flow_Stmt!M27</f>
        <v>316.4836639150019</v>
      </c>
      <c r="N71" s="33">
        <f>Cash_Flow_Stmt!N27</f>
        <v>-534.23292835972688</v>
      </c>
      <c r="O71" s="33">
        <f>Cash_Flow_Stmt!O27</f>
        <v>280.52452139795395</v>
      </c>
      <c r="P71" s="34">
        <f>Cash_Flow_Stmt!P27</f>
        <v>-210.03541838593202</v>
      </c>
      <c r="Q71" s="33">
        <f>Cash_Flow_Stmt!Q27</f>
        <v>232.68170984850599</v>
      </c>
      <c r="R71" s="33">
        <f>Cash_Flow_Stmt!R27</f>
        <v>-348.97403152431144</v>
      </c>
      <c r="S71" s="33">
        <f>Cash_Flow_Stmt!S27</f>
        <v>86.206754027151021</v>
      </c>
      <c r="T71" s="33">
        <f>Cash_Flow_Stmt!T27</f>
        <v>-154.1345586929686</v>
      </c>
      <c r="U71" s="33">
        <f>Cash_Flow_Stmt!U27</f>
        <v>-48.034215399430565</v>
      </c>
      <c r="V71" s="33">
        <f>Cash_Flow_Stmt!V27</f>
        <v>-138.2837667108285</v>
      </c>
      <c r="W71" s="33">
        <f>Cash_Flow_Stmt!W27</f>
        <v>339.90883451084574</v>
      </c>
      <c r="X71" s="33">
        <f>Cash_Flow_Stmt!X27</f>
        <v>467.95861833720346</v>
      </c>
      <c r="Y71" s="33">
        <f>Cash_Flow_Stmt!Y27</f>
        <v>333.74901399960549</v>
      </c>
      <c r="Z71" s="33">
        <f>Cash_Flow_Stmt!Z27</f>
        <v>-815.72493940350296</v>
      </c>
      <c r="AA71" s="33">
        <f>Cash_Flow_Stmt!AA27</f>
        <v>178.46701865264743</v>
      </c>
      <c r="AB71" s="33">
        <f>Cash_Flow_Stmt!AB27</f>
        <v>483.12564459032097</v>
      </c>
      <c r="AC71" s="33">
        <f>Cash_Flow_Stmt!AC27</f>
        <v>466.09414141947599</v>
      </c>
      <c r="AD71" s="33">
        <f>Cash_Flow_Stmt!AD27</f>
        <v>-291.48459615365908</v>
      </c>
      <c r="AE71" s="33">
        <f>Cash_Flow_Stmt!AE27</f>
        <v>132.61927239408197</v>
      </c>
      <c r="AF71" s="33">
        <f>Cash_Flow_Stmt!AF27</f>
        <v>-132.87967165383787</v>
      </c>
      <c r="AG71" s="33">
        <f>Cash_Flow_Stmt!AG27</f>
        <v>7.7410029095391195</v>
      </c>
      <c r="AH71" s="33">
        <f>Cash_Flow_Stmt!AH27</f>
        <v>-145.09324376350116</v>
      </c>
      <c r="AJ71" s="13" cm="1">
        <f t="array" aca="1" ref="AJ71" ca="1">SUMPRODUCT(($E71:$AH71)*(AJ$3&amp;AJ$4&amp;AJ$5&amp;AJ$6=$E$3:$AH$3&amp;$E$4:$AH$4&amp;$E$5:$AH$5&amp;$E$6:$AH$6))</f>
        <v>-803.01017491191237</v>
      </c>
      <c r="AK71" s="13" cm="1">
        <f t="array" aca="1" ref="AK71" ca="1">SUMPRODUCT(($E71:$AH71)*(AK$3=$E$3:$AH$3)*(AK$4=$E$4:$AH$4)*(AK$5=$E$5:$AH$5)*(AK$6=$E$6:$AH$6))</f>
        <v>-62.597684459894765</v>
      </c>
      <c r="AL71" s="13" cm="1">
        <f t="array" aca="1" ref="AL71" ca="1">SUMPRODUCT(($E71:$AH71)*(AL$3=$E$3:$AH$3)*(AL$4=$E$4:$AH$4)*(AL$5=$E$5:$AH$5)*(AL$6=$E$6:$AH$6))</f>
        <v>529.67734225180686</v>
      </c>
      <c r="AM71" s="17" cm="1">
        <f t="array" aca="1" ref="AM71" ca="1">SUMPRODUCT(($E71:$AH71)*(AM$3=$E$3:$AH$3)*(AM$4=$E$4:$AH$4)*(AM$5=$E$5:$AH$5)*(AM$6=$E$6:$AH$6))</f>
        <v>-463.74382534770496</v>
      </c>
      <c r="AN71" s="13" cm="1">
        <f t="array" aca="1" ref="AN71" ca="1">SUMPRODUCT(($E71:$AH71)*(AN$3=$E$3:$AH$3)*(AN$4=$E$4:$AH$4)*(AN$5=$E$5:$AH$5)*(AN$6=$E$6:$AH$6))</f>
        <v>-30.085567648654433</v>
      </c>
      <c r="AO71" s="13" cm="1">
        <f t="array" aca="1" ref="AO71" ca="1">SUMPRODUCT(($E71:$AH71)*(AO$3=$E$3:$AH$3)*(AO$4=$E$4:$AH$4)*(AO$5=$E$5:$AH$5)*(AO$6=$E$6:$AH$6))</f>
        <v>-340.45254080322763</v>
      </c>
      <c r="AP71" s="13" cm="1">
        <f t="array" aca="1" ref="AP71" ca="1">SUMPRODUCT(($E71:$AH71)*(AP$3=$E$3:$AH$3)*(AP$4=$E$4:$AH$4)*(AP$5=$E$5:$AH$5)*(AP$6=$E$6:$AH$6))</f>
        <v>1141.6164668476547</v>
      </c>
      <c r="AQ71" s="13" cm="1">
        <f t="array" aca="1" ref="AQ71" ca="1">SUMPRODUCT(($E71:$AH71)*(AQ$3=$E$3:$AH$3)*(AQ$4=$E$4:$AH$4)*(AQ$5=$E$5:$AH$5)*(AQ$6=$E$6:$AH$6))</f>
        <v>-154.13227616053456</v>
      </c>
      <c r="AR71" s="13" cm="1">
        <f t="array" aca="1" ref="AR71" ca="1">SUMPRODUCT(($E71:$AH71)*(AR$3=$E$3:$AH$3)*(AR$4=$E$4:$AH$4)*(AR$5=$E$5:$AH$5)*(AR$6=$E$6:$AH$6))</f>
        <v>307.22881765989888</v>
      </c>
      <c r="AS71" s="13" cm="1">
        <f t="array" aca="1" ref="AS71" ca="1">SUMPRODUCT(($E71:$AH71)*(AS$3=$E$3:$AH$3)*(AS$4=$E$4:$AH$4)*(AS$5=$E$5:$AH$5)*(AS$6=$E$6:$AH$6))</f>
        <v>-270.2319125077999</v>
      </c>
      <c r="AU71" s="13" cm="1">
        <f t="array" aca="1" ref="AU71" ca="1">SUMPRODUCT(($E71:$AH71)*(AU$5=$E$5:$AH$5))</f>
        <v>-865.60785937180719</v>
      </c>
      <c r="AV71" s="13" cm="1">
        <f t="array" aca="1" ref="AV71" ca="1">SUMPRODUCT(($E71:$AH71)*(AV$5=$E$5:$AH$5))</f>
        <v>-304.60459154778016</v>
      </c>
      <c r="AW71" s="13" cm="1">
        <f t="array" aca="1" ref="AW71" ca="1">SUMPRODUCT(($E71:$AH71)*(AW$5=$E$5:$AH$5))</f>
        <v>1024.4810958392191</v>
      </c>
    </row>
    <row r="72" spans="3:49" x14ac:dyDescent="0.25">
      <c r="C72" s="1"/>
      <c r="D72" s="1"/>
      <c r="E72" s="33"/>
      <c r="F72" s="33"/>
      <c r="G72" s="33"/>
      <c r="H72" s="33"/>
      <c r="I72" s="33"/>
      <c r="J72" s="56"/>
      <c r="K72" s="33"/>
      <c r="L72" s="33"/>
      <c r="M72" s="33"/>
      <c r="N72" s="33"/>
      <c r="O72" s="33"/>
      <c r="P72" s="34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M72" s="8"/>
    </row>
    <row r="73" spans="3:49" x14ac:dyDescent="0.25">
      <c r="C73" s="11" t="s">
        <v>559</v>
      </c>
      <c r="D73" s="11"/>
      <c r="E73" s="45" t="str">
        <f t="shared" ref="E73:AH73" si="83">E$9</f>
        <v>Jul-20A</v>
      </c>
      <c r="F73" s="45" t="str">
        <f t="shared" si="83"/>
        <v>Aug-20A</v>
      </c>
      <c r="G73" s="45" t="str">
        <f t="shared" si="83"/>
        <v>Sep-20A</v>
      </c>
      <c r="H73" s="45" t="str">
        <f t="shared" si="83"/>
        <v>Oct-20A</v>
      </c>
      <c r="I73" s="45" t="str">
        <f t="shared" si="83"/>
        <v>Nov-20A</v>
      </c>
      <c r="J73" s="45" t="str">
        <f t="shared" si="83"/>
        <v>Dec-20A</v>
      </c>
      <c r="K73" s="45" t="str">
        <f t="shared" si="83"/>
        <v>Jan-21A</v>
      </c>
      <c r="L73" s="45" t="str">
        <f t="shared" si="83"/>
        <v>Feb-21A</v>
      </c>
      <c r="M73" s="45" t="str">
        <f t="shared" si="83"/>
        <v>Mar-21A</v>
      </c>
      <c r="N73" s="45" t="str">
        <f t="shared" si="83"/>
        <v>Apr-21A</v>
      </c>
      <c r="O73" s="45" t="str">
        <f t="shared" si="83"/>
        <v>May-21A</v>
      </c>
      <c r="P73" s="46" t="str">
        <f t="shared" si="83"/>
        <v>Jun-21A</v>
      </c>
      <c r="Q73" s="45" t="str">
        <f t="shared" si="83"/>
        <v>Jul-21F</v>
      </c>
      <c r="R73" s="45" t="str">
        <f t="shared" si="83"/>
        <v>Aug-21F</v>
      </c>
      <c r="S73" s="45" t="str">
        <f t="shared" si="83"/>
        <v>Sep-21F</v>
      </c>
      <c r="T73" s="45" t="str">
        <f t="shared" si="83"/>
        <v>Oct-21F</v>
      </c>
      <c r="U73" s="45" t="str">
        <f t="shared" si="83"/>
        <v>Nov-21F</v>
      </c>
      <c r="V73" s="45" t="str">
        <f t="shared" si="83"/>
        <v>Dec-21F</v>
      </c>
      <c r="W73" s="45" t="str">
        <f t="shared" si="83"/>
        <v>Jan-22F</v>
      </c>
      <c r="X73" s="45" t="str">
        <f t="shared" si="83"/>
        <v>Feb-22F</v>
      </c>
      <c r="Y73" s="45" t="str">
        <f t="shared" si="83"/>
        <v>Mar-22F</v>
      </c>
      <c r="Z73" s="45" t="str">
        <f t="shared" si="83"/>
        <v>Apr-22F</v>
      </c>
      <c r="AA73" s="45" t="str">
        <f t="shared" si="83"/>
        <v>May-22F</v>
      </c>
      <c r="AB73" s="45" t="str">
        <f t="shared" si="83"/>
        <v>Jun-22F</v>
      </c>
      <c r="AC73" s="45" t="str">
        <f t="shared" si="83"/>
        <v>Jul-22F</v>
      </c>
      <c r="AD73" s="45" t="str">
        <f t="shared" si="83"/>
        <v>Aug-22F</v>
      </c>
      <c r="AE73" s="45" t="str">
        <f t="shared" si="83"/>
        <v>Sep-22F</v>
      </c>
      <c r="AF73" s="45" t="str">
        <f t="shared" si="83"/>
        <v>Oct-22F</v>
      </c>
      <c r="AG73" s="45" t="str">
        <f t="shared" si="83"/>
        <v>Nov-22F</v>
      </c>
      <c r="AH73" s="45" t="str">
        <f t="shared" si="83"/>
        <v>Dec-22F</v>
      </c>
      <c r="AJ73" s="45" t="str">
        <f ca="1">AJ$10</f>
        <v>Q3'20A</v>
      </c>
      <c r="AK73" s="45" t="str">
        <f t="shared" ref="AK73:AW73" ca="1" si="84">AK$10</f>
        <v>Q4'20A</v>
      </c>
      <c r="AL73" s="45" t="str">
        <f t="shared" ca="1" si="84"/>
        <v>Q1'21A</v>
      </c>
      <c r="AM73" s="46" t="str">
        <f t="shared" ca="1" si="84"/>
        <v>Q2'21A</v>
      </c>
      <c r="AN73" s="45" t="str">
        <f t="shared" ca="1" si="84"/>
        <v>Q3'21F</v>
      </c>
      <c r="AO73" s="45" t="str">
        <f t="shared" ca="1" si="84"/>
        <v>Q4'21F</v>
      </c>
      <c r="AP73" s="45" t="str">
        <f t="shared" ca="1" si="84"/>
        <v>Q1'22F</v>
      </c>
      <c r="AQ73" s="45" t="str">
        <f t="shared" ca="1" si="84"/>
        <v>Q2'22F</v>
      </c>
      <c r="AR73" s="45" t="str">
        <f t="shared" ca="1" si="84"/>
        <v>Q3'22F</v>
      </c>
      <c r="AS73" s="45" t="str">
        <f t="shared" ca="1" si="84"/>
        <v>Q4'22F</v>
      </c>
      <c r="AU73" s="45" t="str">
        <f t="shared" ca="1" si="84"/>
        <v>FY20</v>
      </c>
      <c r="AV73" s="45" t="str">
        <f t="shared" ca="1" si="84"/>
        <v>FY21</v>
      </c>
      <c r="AW73" s="45" t="str">
        <f t="shared" ca="1" si="84"/>
        <v>FY22</v>
      </c>
    </row>
    <row r="74" spans="3:49" x14ac:dyDescent="0.25">
      <c r="C74" s="203" t="s">
        <v>526</v>
      </c>
      <c r="D74" s="11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4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J74" s="43"/>
      <c r="AK74" s="43"/>
      <c r="AL74" s="43"/>
      <c r="AM74" s="44"/>
      <c r="AN74" s="43"/>
      <c r="AO74" s="43"/>
      <c r="AP74" s="43"/>
      <c r="AQ74" s="43"/>
      <c r="AR74" s="43"/>
      <c r="AS74" s="43"/>
      <c r="AU74" s="43"/>
      <c r="AV74" s="43"/>
      <c r="AW74" s="43"/>
    </row>
    <row r="75" spans="3:49" x14ac:dyDescent="0.25">
      <c r="C75" s="1" t="s">
        <v>222</v>
      </c>
      <c r="D75" s="33">
        <f>Balance_Sheet!D16</f>
        <v>2334.70914046394</v>
      </c>
      <c r="E75" s="33">
        <f>Balance_Sheet!E16</f>
        <v>2222.4410203515222</v>
      </c>
      <c r="F75" s="33">
        <f>Balance_Sheet!F16</f>
        <v>1771.6145517969126</v>
      </c>
      <c r="G75" s="33">
        <f>Balance_Sheet!G16</f>
        <v>1807.4534139397206</v>
      </c>
      <c r="H75" s="33">
        <f>Balance_Sheet!H16</f>
        <v>1942.0852675947938</v>
      </c>
      <c r="I75" s="33">
        <f>Balance_Sheet!I16</f>
        <v>1989.8038619153058</v>
      </c>
      <c r="J75" s="56">
        <f>Balance_Sheet!J16</f>
        <v>2592.1748069343621</v>
      </c>
      <c r="K75" s="33">
        <f>Balance_Sheet!K16</f>
        <v>2541.2913275381361</v>
      </c>
      <c r="L75" s="33">
        <f>Balance_Sheet!L16</f>
        <v>2251.8200936588159</v>
      </c>
      <c r="M75" s="33">
        <f>Balance_Sheet!M16</f>
        <v>2393.948189584075</v>
      </c>
      <c r="N75" s="33">
        <f>Balance_Sheet!N16</f>
        <v>2989.3501152652366</v>
      </c>
      <c r="O75" s="33">
        <f>Balance_Sheet!O16</f>
        <v>3385.8395934337773</v>
      </c>
      <c r="P75" s="34">
        <f>Balance_Sheet!P16</f>
        <v>3818.0902348618633</v>
      </c>
      <c r="Q75" s="33">
        <f>Balance_Sheet!Q16</f>
        <v>3619.6111196060688</v>
      </c>
      <c r="R75" s="33">
        <f>Balance_Sheet!R16</f>
        <v>2989.4353721933612</v>
      </c>
      <c r="S75" s="33">
        <f>Balance_Sheet!S16</f>
        <v>2875.0858101905615</v>
      </c>
      <c r="T75" s="33">
        <f>Balance_Sheet!T16</f>
        <v>2940.4434947310797</v>
      </c>
      <c r="U75" s="33">
        <f>Balance_Sheet!U16</f>
        <v>3051.1324718312521</v>
      </c>
      <c r="V75" s="33">
        <f>Balance_Sheet!V16</f>
        <v>3999.1181812770551</v>
      </c>
      <c r="W75" s="33">
        <f>Balance_Sheet!W16</f>
        <v>3456.0850023603002</v>
      </c>
      <c r="X75" s="33">
        <f>Balance_Sheet!X16</f>
        <v>2984.125049704734</v>
      </c>
      <c r="Y75" s="33">
        <f>Balance_Sheet!Y16</f>
        <v>2952.0527441576201</v>
      </c>
      <c r="Z75" s="33">
        <f>Balance_Sheet!Z16</f>
        <v>4233.1718919976893</v>
      </c>
      <c r="AA75" s="33">
        <f>Balance_Sheet!AA16</f>
        <v>3976.3047178168163</v>
      </c>
      <c r="AB75" s="33">
        <f>Balance_Sheet!AB16</f>
        <v>4322.1898290577337</v>
      </c>
      <c r="AC75" s="33">
        <f>Balance_Sheet!AC16</f>
        <v>3895.6682642149435</v>
      </c>
      <c r="AD75" s="33">
        <f>Balance_Sheet!AD16</f>
        <v>3182.2060881809975</v>
      </c>
      <c r="AE75" s="33">
        <f>Balance_Sheet!AE16</f>
        <v>3036.3117021740782</v>
      </c>
      <c r="AF75" s="33">
        <f>Balance_Sheet!AF16</f>
        <v>3093.2176553944455</v>
      </c>
      <c r="AG75" s="33">
        <f>Balance_Sheet!AG16</f>
        <v>3156.4217174617147</v>
      </c>
      <c r="AH75" s="33">
        <f>Balance_Sheet!AH16</f>
        <v>4149.533301089371</v>
      </c>
      <c r="AJ75" s="13" cm="1">
        <f t="array" aca="1" ref="AJ75" ca="1">INDEX($E75:$AH75,1,MATCH(AJ$3&amp;AJ$4&amp;AJ$5&amp;AJ$6,$E$3:$AH$3&amp;$E$4:$AH$4&amp;$E$5:$AH$5&amp;$E$6:$AH$6,1))</f>
        <v>1807.4534139397206</v>
      </c>
      <c r="AK75" s="13" cm="1">
        <f t="array" aca="1" ref="AK75" ca="1">INDEX($E75:$AH75,1,MATCH(AK$3&amp;AK$4&amp;AK$5&amp;AK$6,$E$3:$AH$3&amp;$E$4:$AH$4&amp;$E$5:$AH$5&amp;$E$6:$AH$6,1))</f>
        <v>2592.1748069343621</v>
      </c>
      <c r="AL75" s="13" cm="1">
        <f t="array" aca="1" ref="AL75" ca="1">INDEX($E75:$AH75,1,MATCH(AL$3&amp;AL$4&amp;AL$5&amp;AL$6,$E$3:$AH$3&amp;$E$4:$AH$4&amp;$E$5:$AH$5&amp;$E$6:$AH$6,1))</f>
        <v>2393.948189584075</v>
      </c>
      <c r="AM75" s="17" cm="1">
        <f t="array" aca="1" ref="AM75" ca="1">INDEX($E75:$AH75,1,MATCH(AM$3&amp;AM$4&amp;AM$5&amp;AM$6,$E$3:$AH$3&amp;$E$4:$AH$4&amp;$E$5:$AH$5&amp;$E$6:$AH$6,1))</f>
        <v>3818.0902348618633</v>
      </c>
      <c r="AN75" s="13" cm="1">
        <f t="array" aca="1" ref="AN75" ca="1">INDEX($E75:$AH75,1,MATCH(AN$3&amp;AN$4&amp;AN$5&amp;AN$6,$E$3:$AH$3&amp;$E$4:$AH$4&amp;$E$5:$AH$5&amp;$E$6:$AH$6,1))</f>
        <v>2875.0858101905615</v>
      </c>
      <c r="AO75" s="13" cm="1">
        <f t="array" aca="1" ref="AO75" ca="1">INDEX($E75:$AH75,1,MATCH(AO$3&amp;AO$4&amp;AO$5&amp;AO$6,$E$3:$AH$3&amp;$E$4:$AH$4&amp;$E$5:$AH$5&amp;$E$6:$AH$6,1))</f>
        <v>3999.1181812770551</v>
      </c>
      <c r="AP75" s="13" cm="1">
        <f t="array" aca="1" ref="AP75" ca="1">INDEX($E75:$AH75,1,MATCH(AP$3&amp;AP$4&amp;AP$5&amp;AP$6,$E$3:$AH$3&amp;$E$4:$AH$4&amp;$E$5:$AH$5&amp;$E$6:$AH$6,1))</f>
        <v>2952.0527441576201</v>
      </c>
      <c r="AQ75" s="13" cm="1">
        <f t="array" aca="1" ref="AQ75" ca="1">INDEX($E75:$AH75,1,MATCH(AQ$3&amp;AQ$4&amp;AQ$5&amp;AQ$6,$E$3:$AH$3&amp;$E$4:$AH$4&amp;$E$5:$AH$5&amp;$E$6:$AH$6,1))</f>
        <v>4322.1898290577337</v>
      </c>
      <c r="AR75" s="13" cm="1">
        <f t="array" aca="1" ref="AR75" ca="1">INDEX($E75:$AH75,1,MATCH(AR$3&amp;AR$4&amp;AR$5&amp;AR$6,$E$3:$AH$3&amp;$E$4:$AH$4&amp;$E$5:$AH$5&amp;$E$6:$AH$6,1))</f>
        <v>3036.3117021740782</v>
      </c>
      <c r="AS75" s="13" cm="1">
        <f t="array" aca="1" ref="AS75" ca="1">INDEX($E75:$AH75,1,MATCH(AS$3&amp;AS$4&amp;AS$5&amp;AS$6,$E$3:$AH$3&amp;$E$4:$AH$4&amp;$E$5:$AH$5&amp;$E$6:$AH$6,1))</f>
        <v>4149.533301089371</v>
      </c>
      <c r="AU75" s="13">
        <f t="shared" ref="AU75:AW75" ca="1" si="85">INDEX($E75:$AH75,MATCH(AU$5,$E$5:$AH$5,1))</f>
        <v>2592.1748069343621</v>
      </c>
      <c r="AV75" s="13">
        <f t="shared" ca="1" si="85"/>
        <v>3999.1181812770551</v>
      </c>
      <c r="AW75" s="13">
        <f t="shared" ca="1" si="85"/>
        <v>4149.533301089371</v>
      </c>
    </row>
    <row r="76" spans="3:49" x14ac:dyDescent="0.25">
      <c r="C76" s="1" t="s">
        <v>157</v>
      </c>
      <c r="D76" s="33">
        <f>Balance_Sheet!D17</f>
        <v>1370.5173024899711</v>
      </c>
      <c r="E76" s="33">
        <f>Balance_Sheet!E17</f>
        <v>1323.8</v>
      </c>
      <c r="F76" s="33">
        <f>Balance_Sheet!F17</f>
        <v>1202</v>
      </c>
      <c r="G76" s="33">
        <f>Balance_Sheet!G17</f>
        <v>1075</v>
      </c>
      <c r="H76" s="33">
        <f>Balance_Sheet!H17</f>
        <v>1063.9000000000001</v>
      </c>
      <c r="I76" s="33">
        <f>Balance_Sheet!I17</f>
        <v>1029</v>
      </c>
      <c r="J76" s="56">
        <f>Balance_Sheet!J17</f>
        <v>1195.0999999999999</v>
      </c>
      <c r="K76" s="33">
        <f>Balance_Sheet!K17</f>
        <v>1274.2</v>
      </c>
      <c r="L76" s="33">
        <f>Balance_Sheet!L17</f>
        <v>1164.5</v>
      </c>
      <c r="M76" s="33">
        <f>Balance_Sheet!M17</f>
        <v>1118.2</v>
      </c>
      <c r="N76" s="33">
        <f>Balance_Sheet!N17</f>
        <v>1196.7</v>
      </c>
      <c r="O76" s="33">
        <f>Balance_Sheet!O17</f>
        <v>1323</v>
      </c>
      <c r="P76" s="34">
        <f>Balance_Sheet!P17</f>
        <v>1495</v>
      </c>
      <c r="Q76" s="33">
        <f>Balance_Sheet!Q17</f>
        <v>1448.9389392357605</v>
      </c>
      <c r="R76" s="33">
        <f>Balance_Sheet!R17</f>
        <v>1289.7609609953947</v>
      </c>
      <c r="S76" s="33">
        <f>Balance_Sheet!S17</f>
        <v>1170.8679691972261</v>
      </c>
      <c r="T76" s="33">
        <f>Balance_Sheet!T17</f>
        <v>1163.1777869256564</v>
      </c>
      <c r="U76" s="33">
        <f>Balance_Sheet!U17</f>
        <v>1109.6999695183017</v>
      </c>
      <c r="V76" s="33">
        <f>Balance_Sheet!V17</f>
        <v>1359.8618963751701</v>
      </c>
      <c r="W76" s="33">
        <f>Balance_Sheet!W17</f>
        <v>1295.747684193236</v>
      </c>
      <c r="X76" s="33">
        <f>Balance_Sheet!X17</f>
        <v>1201.2858653191549</v>
      </c>
      <c r="Y76" s="33">
        <f>Balance_Sheet!Y17</f>
        <v>1161.1442385399109</v>
      </c>
      <c r="Z76" s="33">
        <f>Balance_Sheet!Z17</f>
        <v>1321.2476072453912</v>
      </c>
      <c r="AA76" s="33">
        <f>Balance_Sheet!AA17</f>
        <v>1343.5625404195066</v>
      </c>
      <c r="AB76" s="33">
        <f>Balance_Sheet!AB17</f>
        <v>1561.5832290513108</v>
      </c>
      <c r="AC76" s="33">
        <f>Balance_Sheet!AC17</f>
        <v>1509.0167369070716</v>
      </c>
      <c r="AD76" s="33">
        <f>Balance_Sheet!AD17</f>
        <v>1342.612322939789</v>
      </c>
      <c r="AE76" s="33">
        <f>Balance_Sheet!AE17</f>
        <v>1218.3332897824409</v>
      </c>
      <c r="AF76" s="33">
        <f>Balance_Sheet!AF17</f>
        <v>1210.5456871725514</v>
      </c>
      <c r="AG76" s="33">
        <f>Balance_Sheet!AG17</f>
        <v>1154.8470474115093</v>
      </c>
      <c r="AH76" s="33">
        <f>Balance_Sheet!AH17</f>
        <v>1416.7877497230709</v>
      </c>
      <c r="AJ76" s="13" cm="1">
        <f t="array" aca="1" ref="AJ76" ca="1">INDEX($E76:$AH76,1,MATCH(AJ$3&amp;AJ$4&amp;AJ$5&amp;AJ$6,$E$3:$AH$3&amp;$E$4:$AH$4&amp;$E$5:$AH$5&amp;$E$6:$AH$6,1))</f>
        <v>1075</v>
      </c>
      <c r="AK76" s="13" cm="1">
        <f t="array" aca="1" ref="AK76" ca="1">INDEX($E76:$AH76,1,MATCH(AK$3&amp;AK$4&amp;AK$5&amp;AK$6,$E$3:$AH$3&amp;$E$4:$AH$4&amp;$E$5:$AH$5&amp;$E$6:$AH$6,1))</f>
        <v>1195.0999999999999</v>
      </c>
      <c r="AL76" s="13" cm="1">
        <f t="array" aca="1" ref="AL76" ca="1">INDEX($E76:$AH76,1,MATCH(AL$3&amp;AL$4&amp;AL$5&amp;AL$6,$E$3:$AH$3&amp;$E$4:$AH$4&amp;$E$5:$AH$5&amp;$E$6:$AH$6,1))</f>
        <v>1118.2</v>
      </c>
      <c r="AM76" s="17" cm="1">
        <f t="array" aca="1" ref="AM76" ca="1">INDEX($E76:$AH76,1,MATCH(AM$3&amp;AM$4&amp;AM$5&amp;AM$6,$E$3:$AH$3&amp;$E$4:$AH$4&amp;$E$5:$AH$5&amp;$E$6:$AH$6,1))</f>
        <v>1495</v>
      </c>
      <c r="AN76" s="13" cm="1">
        <f t="array" aca="1" ref="AN76" ca="1">INDEX($E76:$AH76,1,MATCH(AN$3&amp;AN$4&amp;AN$5&amp;AN$6,$E$3:$AH$3&amp;$E$4:$AH$4&amp;$E$5:$AH$5&amp;$E$6:$AH$6,1))</f>
        <v>1170.8679691972261</v>
      </c>
      <c r="AO76" s="13" cm="1">
        <f t="array" aca="1" ref="AO76" ca="1">INDEX($E76:$AH76,1,MATCH(AO$3&amp;AO$4&amp;AO$5&amp;AO$6,$E$3:$AH$3&amp;$E$4:$AH$4&amp;$E$5:$AH$5&amp;$E$6:$AH$6,1))</f>
        <v>1359.8618963751701</v>
      </c>
      <c r="AP76" s="13" cm="1">
        <f t="array" aca="1" ref="AP76" ca="1">INDEX($E76:$AH76,1,MATCH(AP$3&amp;AP$4&amp;AP$5&amp;AP$6,$E$3:$AH$3&amp;$E$4:$AH$4&amp;$E$5:$AH$5&amp;$E$6:$AH$6,1))</f>
        <v>1161.1442385399109</v>
      </c>
      <c r="AQ76" s="13" cm="1">
        <f t="array" aca="1" ref="AQ76" ca="1">INDEX($E76:$AH76,1,MATCH(AQ$3&amp;AQ$4&amp;AQ$5&amp;AQ$6,$E$3:$AH$3&amp;$E$4:$AH$4&amp;$E$5:$AH$5&amp;$E$6:$AH$6,1))</f>
        <v>1561.5832290513108</v>
      </c>
      <c r="AR76" s="13" cm="1">
        <f t="array" aca="1" ref="AR76" ca="1">INDEX($E76:$AH76,1,MATCH(AR$3&amp;AR$4&amp;AR$5&amp;AR$6,$E$3:$AH$3&amp;$E$4:$AH$4&amp;$E$5:$AH$5&amp;$E$6:$AH$6,1))</f>
        <v>1218.3332897824409</v>
      </c>
      <c r="AS76" s="13" cm="1">
        <f t="array" aca="1" ref="AS76" ca="1">INDEX($E76:$AH76,1,MATCH(AS$3&amp;AS$4&amp;AS$5&amp;AS$6,$E$3:$AH$3&amp;$E$4:$AH$4&amp;$E$5:$AH$5&amp;$E$6:$AH$6,1))</f>
        <v>1416.7877497230709</v>
      </c>
      <c r="AU76" s="13">
        <f t="shared" ref="AU76:AW85" ca="1" si="86">INDEX($E76:$AH76,MATCH(AU$5,$E$5:$AH$5,1))</f>
        <v>1195.0999999999999</v>
      </c>
      <c r="AV76" s="13">
        <f t="shared" ca="1" si="86"/>
        <v>1359.8618963751701</v>
      </c>
      <c r="AW76" s="13">
        <f t="shared" ca="1" si="86"/>
        <v>1416.7877497230709</v>
      </c>
    </row>
    <row r="77" spans="3:49" x14ac:dyDescent="0.25">
      <c r="C77" s="1" t="s">
        <v>158</v>
      </c>
      <c r="D77" s="33">
        <f>Balance_Sheet!D25</f>
        <v>2025.2028754140629</v>
      </c>
      <c r="E77" s="33">
        <f>Balance_Sheet!E25</f>
        <v>1813.4062277040557</v>
      </c>
      <c r="F77" s="33">
        <f>Balance_Sheet!F25</f>
        <v>1198.8913656738462</v>
      </c>
      <c r="G77" s="33">
        <f>Balance_Sheet!G25</f>
        <v>923.80937648741406</v>
      </c>
      <c r="H77" s="33">
        <f>Balance_Sheet!H25</f>
        <v>980.83062593671525</v>
      </c>
      <c r="I77" s="33">
        <f>Balance_Sheet!I25</f>
        <v>1101.5647865951264</v>
      </c>
      <c r="J77" s="56">
        <f>Balance_Sheet!J25</f>
        <v>1321.2527267366754</v>
      </c>
      <c r="K77" s="33">
        <f>Balance_Sheet!K25</f>
        <v>1587.5475793766077</v>
      </c>
      <c r="L77" s="33">
        <f>Balance_Sheet!L25</f>
        <v>1019.0702525065806</v>
      </c>
      <c r="M77" s="33">
        <f>Balance_Sheet!M25</f>
        <v>1206.7970073135493</v>
      </c>
      <c r="N77" s="33">
        <f>Balance_Sheet!N25</f>
        <v>1395.3718435560806</v>
      </c>
      <c r="O77" s="33">
        <f>Balance_Sheet!O25</f>
        <v>1810.5831189666289</v>
      </c>
      <c r="P77" s="34">
        <f>Balance_Sheet!P25</f>
        <v>1784.7086149400711</v>
      </c>
      <c r="Q77" s="33">
        <f>Balance_Sheet!Q25</f>
        <v>1982.0848199654847</v>
      </c>
      <c r="R77" s="33">
        <f>Balance_Sheet!R25</f>
        <v>1011.656649398785</v>
      </c>
      <c r="S77" s="33">
        <f>Balance_Sheet!S25</f>
        <v>1145.0316613978441</v>
      </c>
      <c r="T77" s="33">
        <f>Balance_Sheet!T25</f>
        <v>1074.2084157408804</v>
      </c>
      <c r="U77" s="33">
        <f>Balance_Sheet!U25</f>
        <v>1083.1648232928571</v>
      </c>
      <c r="V77" s="33">
        <f>Balance_Sheet!V25</f>
        <v>1649.853427028165</v>
      </c>
      <c r="W77" s="33">
        <f>Balance_Sheet!W25</f>
        <v>1025.701622300679</v>
      </c>
      <c r="X77" s="33">
        <f>Balance_Sheet!X25</f>
        <v>1184.0937532435305</v>
      </c>
      <c r="Y77" s="33">
        <f>Balance_Sheet!Y25</f>
        <v>1304.2734782323419</v>
      </c>
      <c r="Z77" s="33">
        <f>Balance_Sheet!Z25</f>
        <v>1761.4121504392415</v>
      </c>
      <c r="AA77" s="33">
        <f>Balance_Sheet!AA25</f>
        <v>1429.7025057456535</v>
      </c>
      <c r="AB77" s="33">
        <f>Balance_Sheet!AB25</f>
        <v>1997.9344914050416</v>
      </c>
      <c r="AC77" s="33">
        <f>Balance_Sheet!AC25</f>
        <v>2034.4411751960915</v>
      </c>
      <c r="AD77" s="33">
        <f>Balance_Sheet!AD25</f>
        <v>1051.7056812528124</v>
      </c>
      <c r="AE77" s="33">
        <f>Balance_Sheet!AE25</f>
        <v>1191.1478109799655</v>
      </c>
      <c r="AF77" s="33">
        <f>Balance_Sheet!AF25</f>
        <v>1121.2570317005197</v>
      </c>
      <c r="AG77" s="33">
        <f>Balance_Sheet!AG25</f>
        <v>1129.948320050865</v>
      </c>
      <c r="AH77" s="33">
        <f>Balance_Sheet!AH25</f>
        <v>1724.292675393071</v>
      </c>
      <c r="AJ77" s="13" cm="1">
        <f t="array" aca="1" ref="AJ77" ca="1">INDEX($E77:$AH77,1,MATCH(AJ$3&amp;AJ$4&amp;AJ$5&amp;AJ$6,$E$3:$AH$3&amp;$E$4:$AH$4&amp;$E$5:$AH$5&amp;$E$6:$AH$6,1))</f>
        <v>923.80937648741406</v>
      </c>
      <c r="AK77" s="13" cm="1">
        <f t="array" aca="1" ref="AK77" ca="1">INDEX($E77:$AH77,1,MATCH(AK$3&amp;AK$4&amp;AK$5&amp;AK$6,$E$3:$AH$3&amp;$E$4:$AH$4&amp;$E$5:$AH$5&amp;$E$6:$AH$6,1))</f>
        <v>1321.2527267366754</v>
      </c>
      <c r="AL77" s="13" cm="1">
        <f t="array" aca="1" ref="AL77" ca="1">INDEX($E77:$AH77,1,MATCH(AL$3&amp;AL$4&amp;AL$5&amp;AL$6,$E$3:$AH$3&amp;$E$4:$AH$4&amp;$E$5:$AH$5&amp;$E$6:$AH$6,1))</f>
        <v>1206.7970073135493</v>
      </c>
      <c r="AM77" s="17" cm="1">
        <f t="array" aca="1" ref="AM77" ca="1">INDEX($E77:$AH77,1,MATCH(AM$3&amp;AM$4&amp;AM$5&amp;AM$6,$E$3:$AH$3&amp;$E$4:$AH$4&amp;$E$5:$AH$5&amp;$E$6:$AH$6,1))</f>
        <v>1784.7086149400711</v>
      </c>
      <c r="AN77" s="13" cm="1">
        <f t="array" aca="1" ref="AN77" ca="1">INDEX($E77:$AH77,1,MATCH(AN$3&amp;AN$4&amp;AN$5&amp;AN$6,$E$3:$AH$3&amp;$E$4:$AH$4&amp;$E$5:$AH$5&amp;$E$6:$AH$6,1))</f>
        <v>1145.0316613978441</v>
      </c>
      <c r="AO77" s="13" cm="1">
        <f t="array" aca="1" ref="AO77" ca="1">INDEX($E77:$AH77,1,MATCH(AO$3&amp;AO$4&amp;AO$5&amp;AO$6,$E$3:$AH$3&amp;$E$4:$AH$4&amp;$E$5:$AH$5&amp;$E$6:$AH$6,1))</f>
        <v>1649.853427028165</v>
      </c>
      <c r="AP77" s="13" cm="1">
        <f t="array" aca="1" ref="AP77" ca="1">INDEX($E77:$AH77,1,MATCH(AP$3&amp;AP$4&amp;AP$5&amp;AP$6,$E$3:$AH$3&amp;$E$4:$AH$4&amp;$E$5:$AH$5&amp;$E$6:$AH$6,1))</f>
        <v>1304.2734782323419</v>
      </c>
      <c r="AQ77" s="13" cm="1">
        <f t="array" aca="1" ref="AQ77" ca="1">INDEX($E77:$AH77,1,MATCH(AQ$3&amp;AQ$4&amp;AQ$5&amp;AQ$6,$E$3:$AH$3&amp;$E$4:$AH$4&amp;$E$5:$AH$5&amp;$E$6:$AH$6,1))</f>
        <v>1997.9344914050416</v>
      </c>
      <c r="AR77" s="13" cm="1">
        <f t="array" aca="1" ref="AR77" ca="1">INDEX($E77:$AH77,1,MATCH(AR$3&amp;AR$4&amp;AR$5&amp;AR$6,$E$3:$AH$3&amp;$E$4:$AH$4&amp;$E$5:$AH$5&amp;$E$6:$AH$6,1))</f>
        <v>1191.1478109799655</v>
      </c>
      <c r="AS77" s="13" cm="1">
        <f t="array" aca="1" ref="AS77" ca="1">INDEX($E77:$AH77,1,MATCH(AS$3&amp;AS$4&amp;AS$5&amp;AS$6,$E$3:$AH$3&amp;$E$4:$AH$4&amp;$E$5:$AH$5&amp;$E$6:$AH$6,1))</f>
        <v>1724.292675393071</v>
      </c>
      <c r="AU77" s="13">
        <f t="shared" ca="1" si="86"/>
        <v>1321.2527267366754</v>
      </c>
      <c r="AV77" s="13">
        <f t="shared" ca="1" si="86"/>
        <v>1649.853427028165</v>
      </c>
      <c r="AW77" s="13">
        <f t="shared" ca="1" si="86"/>
        <v>1724.292675393071</v>
      </c>
    </row>
    <row r="78" spans="3:49" x14ac:dyDescent="0.25">
      <c r="C78" s="327" t="s">
        <v>588</v>
      </c>
      <c r="D78" s="33"/>
      <c r="E78" s="33"/>
      <c r="F78" s="33"/>
      <c r="G78" s="33"/>
      <c r="H78" s="33"/>
      <c r="I78" s="33"/>
      <c r="J78" s="56"/>
      <c r="K78" s="33"/>
      <c r="L78" s="33"/>
      <c r="M78" s="33"/>
      <c r="N78" s="33"/>
      <c r="O78" s="33"/>
      <c r="P78" s="34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J78" s="13"/>
      <c r="AK78" s="13"/>
      <c r="AL78" s="13"/>
      <c r="AM78" s="17"/>
      <c r="AN78" s="13"/>
      <c r="AO78" s="13"/>
      <c r="AP78" s="13"/>
      <c r="AQ78" s="13"/>
      <c r="AR78" s="13"/>
      <c r="AS78" s="13"/>
      <c r="AU78" s="13"/>
      <c r="AV78" s="13"/>
      <c r="AW78" s="13"/>
    </row>
    <row r="79" spans="3:49" x14ac:dyDescent="0.25">
      <c r="C79" s="1" t="s">
        <v>169</v>
      </c>
      <c r="D79" s="33">
        <f>Balance_Sheet!D23</f>
        <v>17958.747272069817</v>
      </c>
      <c r="E79" s="33">
        <f>Balance_Sheet!E23</f>
        <v>17604.355899896767</v>
      </c>
      <c r="F79" s="33">
        <f>Balance_Sheet!F23</f>
        <v>17054.7103880713</v>
      </c>
      <c r="G79" s="33">
        <f>Balance_Sheet!G23</f>
        <v>16527.507382504111</v>
      </c>
      <c r="H79" s="33">
        <f>Balance_Sheet!H23</f>
        <v>16479.474069809901</v>
      </c>
      <c r="I79" s="33">
        <f>Balance_Sheet!I23</f>
        <v>17612.294691982959</v>
      </c>
      <c r="J79" s="56">
        <f>Balance_Sheet!J23</f>
        <v>16654.274405399261</v>
      </c>
      <c r="K79" s="33">
        <f>Balance_Sheet!K23</f>
        <v>17052.734704036226</v>
      </c>
      <c r="L79" s="33">
        <f>Balance_Sheet!L23</f>
        <v>16416.208913367449</v>
      </c>
      <c r="M79" s="33">
        <f>Balance_Sheet!M23</f>
        <v>16788.368444661181</v>
      </c>
      <c r="N79" s="33">
        <f>Balance_Sheet!N23</f>
        <v>16887.885213436079</v>
      </c>
      <c r="O79" s="33">
        <f>Balance_Sheet!O23</f>
        <v>17671.046984456039</v>
      </c>
      <c r="P79" s="34">
        <f>Balance_Sheet!P23</f>
        <v>18025.109978951659</v>
      </c>
      <c r="Q79" s="33">
        <f>Balance_Sheet!Q23</f>
        <v>17973.099284233598</v>
      </c>
      <c r="R79" s="33">
        <f>Balance_Sheet!R23</f>
        <v>16794.619298509679</v>
      </c>
      <c r="S79" s="33">
        <f>Balance_Sheet!S23</f>
        <v>16607.431270189329</v>
      </c>
      <c r="T79" s="33">
        <f>Balance_Sheet!T23</f>
        <v>16470.811985218777</v>
      </c>
      <c r="U79" s="33">
        <f>Balance_Sheet!U23</f>
        <v>16439.836700965629</v>
      </c>
      <c r="V79" s="33">
        <f>Balance_Sheet!V23</f>
        <v>17459.548342010938</v>
      </c>
      <c r="W79" s="33">
        <f>Balance_Sheet!W23</f>
        <v>17152.157556876562</v>
      </c>
      <c r="X79" s="33">
        <f>Balance_Sheet!X23</f>
        <v>17013.542175137587</v>
      </c>
      <c r="Y79" s="33">
        <f>Balance_Sheet!Y23</f>
        <v>17234.925028264297</v>
      </c>
      <c r="Z79" s="33">
        <f>Balance_Sheet!Z23</f>
        <v>17820.270376859811</v>
      </c>
      <c r="AA79" s="33">
        <f>Balance_Sheet!AA23</f>
        <v>17724.032925959171</v>
      </c>
      <c r="AB79" s="33">
        <f>Balance_Sheet!AB23</f>
        <v>18730.912141875677</v>
      </c>
      <c r="AC79" s="33">
        <f>Balance_Sheet!AC23</f>
        <v>18677.765997761588</v>
      </c>
      <c r="AD79" s="33">
        <f>Balance_Sheet!AD23</f>
        <v>17466.262583060168</v>
      </c>
      <c r="AE79" s="33">
        <f>Balance_Sheet!AE23</f>
        <v>17288.556207743452</v>
      </c>
      <c r="AF79" s="33">
        <f>Balance_Sheet!AF23</f>
        <v>17164.642658153556</v>
      </c>
      <c r="AG79" s="33">
        <f>Balance_Sheet!AG23</f>
        <v>17139.73685482279</v>
      </c>
      <c r="AH79" s="33">
        <f>Balance_Sheet!AH23</f>
        <v>18209.543668451974</v>
      </c>
      <c r="AJ79" s="13" cm="1">
        <f t="array" aca="1" ref="AJ79" ca="1">INDEX($E79:$AH79,1,MATCH(AJ$3&amp;AJ$4&amp;AJ$5&amp;AJ$6,$E$3:$AH$3&amp;$E$4:$AH$4&amp;$E$5:$AH$5&amp;$E$6:$AH$6,1))</f>
        <v>16527.507382504111</v>
      </c>
      <c r="AK79" s="13" cm="1">
        <f t="array" aca="1" ref="AK79" ca="1">INDEX($E79:$AH79,1,MATCH(AK$3&amp;AK$4&amp;AK$5&amp;AK$6,$E$3:$AH$3&amp;$E$4:$AH$4&amp;$E$5:$AH$5&amp;$E$6:$AH$6,1))</f>
        <v>16654.274405399261</v>
      </c>
      <c r="AL79" s="13" cm="1">
        <f t="array" aca="1" ref="AL79" ca="1">INDEX($E79:$AH79,1,MATCH(AL$3&amp;AL$4&amp;AL$5&amp;AL$6,$E$3:$AH$3&amp;$E$4:$AH$4&amp;$E$5:$AH$5&amp;$E$6:$AH$6,1))</f>
        <v>16788.368444661181</v>
      </c>
      <c r="AM79" s="17" cm="1">
        <f t="array" aca="1" ref="AM79" ca="1">INDEX($E79:$AH79,1,MATCH(AM$3&amp;AM$4&amp;AM$5&amp;AM$6,$E$3:$AH$3&amp;$E$4:$AH$4&amp;$E$5:$AH$5&amp;$E$6:$AH$6,1))</f>
        <v>18025.109978951659</v>
      </c>
      <c r="AN79" s="13" cm="1">
        <f t="array" aca="1" ref="AN79" ca="1">INDEX($E79:$AH79,1,MATCH(AN$3&amp;AN$4&amp;AN$5&amp;AN$6,$E$3:$AH$3&amp;$E$4:$AH$4&amp;$E$5:$AH$5&amp;$E$6:$AH$6,1))</f>
        <v>16607.431270189329</v>
      </c>
      <c r="AO79" s="13" cm="1">
        <f t="array" aca="1" ref="AO79" ca="1">INDEX($E79:$AH79,1,MATCH(AO$3&amp;AO$4&amp;AO$5&amp;AO$6,$E$3:$AH$3&amp;$E$4:$AH$4&amp;$E$5:$AH$5&amp;$E$6:$AH$6,1))</f>
        <v>17459.548342010938</v>
      </c>
      <c r="AP79" s="13" cm="1">
        <f t="array" aca="1" ref="AP79" ca="1">INDEX($E79:$AH79,1,MATCH(AP$3&amp;AP$4&amp;AP$5&amp;AP$6,$E$3:$AH$3&amp;$E$4:$AH$4&amp;$E$5:$AH$5&amp;$E$6:$AH$6,1))</f>
        <v>17234.925028264297</v>
      </c>
      <c r="AQ79" s="13" cm="1">
        <f t="array" aca="1" ref="AQ79" ca="1">INDEX($E79:$AH79,1,MATCH(AQ$3&amp;AQ$4&amp;AQ$5&amp;AQ$6,$E$3:$AH$3&amp;$E$4:$AH$4&amp;$E$5:$AH$5&amp;$E$6:$AH$6,1))</f>
        <v>18730.912141875677</v>
      </c>
      <c r="AR79" s="13" cm="1">
        <f t="array" aca="1" ref="AR79" ca="1">INDEX($E79:$AH79,1,MATCH(AR$3&amp;AR$4&amp;AR$5&amp;AR$6,$E$3:$AH$3&amp;$E$4:$AH$4&amp;$E$5:$AH$5&amp;$E$6:$AH$6,1))</f>
        <v>17288.556207743452</v>
      </c>
      <c r="AS79" s="13" cm="1">
        <f t="array" aca="1" ref="AS79" ca="1">INDEX($E79:$AH79,1,MATCH(AS$3&amp;AS$4&amp;AS$5&amp;AS$6,$E$3:$AH$3&amp;$E$4:$AH$4&amp;$E$5:$AH$5&amp;$E$6:$AH$6,1))</f>
        <v>18209.543668451974</v>
      </c>
      <c r="AU79" s="13">
        <f t="shared" ca="1" si="86"/>
        <v>16654.274405399261</v>
      </c>
      <c r="AV79" s="13">
        <f t="shared" ca="1" si="86"/>
        <v>17459.548342010938</v>
      </c>
      <c r="AW79" s="13">
        <f t="shared" ca="1" si="86"/>
        <v>18209.543668451974</v>
      </c>
    </row>
    <row r="80" spans="3:49" x14ac:dyDescent="0.25">
      <c r="C80" s="1" t="s">
        <v>546</v>
      </c>
      <c r="D80" s="33">
        <f>SUM(Balance_Sheet!D20:D22)</f>
        <v>10204.169322354965</v>
      </c>
      <c r="E80" s="33">
        <f>SUM(Balance_Sheet!E20:E22)</f>
        <v>10164.01709380843</v>
      </c>
      <c r="F80" s="33">
        <f>SUM(Balance_Sheet!F20:F22)</f>
        <v>10123.864865261898</v>
      </c>
      <c r="G80" s="33">
        <f>SUM(Balance_Sheet!G20:G22)</f>
        <v>10083.712636715363</v>
      </c>
      <c r="H80" s="33">
        <f>SUM(Balance_Sheet!H20:H22)</f>
        <v>10043.560408168829</v>
      </c>
      <c r="I80" s="33">
        <f>SUM(Balance_Sheet!I20:I22)</f>
        <v>10003.408179622296</v>
      </c>
      <c r="J80" s="56">
        <f>SUM(Balance_Sheet!J20:J22)</f>
        <v>9963.2559510757637</v>
      </c>
      <c r="K80" s="33">
        <f>SUM(Balance_Sheet!K20:K22)</f>
        <v>9923.1037225292293</v>
      </c>
      <c r="L80" s="33">
        <f>SUM(Balance_Sheet!L20:L22)</f>
        <v>9882.951493982695</v>
      </c>
      <c r="M80" s="33">
        <f>SUM(Balance_Sheet!M20:M22)</f>
        <v>9842.7992654361624</v>
      </c>
      <c r="N80" s="33">
        <f>SUM(Balance_Sheet!N20:N22)</f>
        <v>9802.647036889628</v>
      </c>
      <c r="O80" s="33">
        <f>SUM(Balance_Sheet!O20:O22)</f>
        <v>9762.4948083430936</v>
      </c>
      <c r="P80" s="34">
        <f>SUM(Balance_Sheet!P20:P22)</f>
        <v>9722.342579796561</v>
      </c>
      <c r="Q80" s="33">
        <f>SUM(Balance_Sheet!Q20:Q22)</f>
        <v>9682.1903512500285</v>
      </c>
      <c r="R80" s="33">
        <f>SUM(Balance_Sheet!R20:R22)</f>
        <v>9642.0381227034941</v>
      </c>
      <c r="S80" s="33">
        <f>SUM(Balance_Sheet!S20:S22)</f>
        <v>9601.8858941569597</v>
      </c>
      <c r="T80" s="33">
        <f>SUM(Balance_Sheet!T20:T22)</f>
        <v>9561.7336656104271</v>
      </c>
      <c r="U80" s="33">
        <f>SUM(Balance_Sheet!U20:U22)</f>
        <v>9521.5814370638927</v>
      </c>
      <c r="V80" s="33">
        <f>SUM(Balance_Sheet!V20:V22)</f>
        <v>9481.4292085173583</v>
      </c>
      <c r="W80" s="33">
        <f>SUM(Balance_Sheet!W20:W22)</f>
        <v>9441.2769799708258</v>
      </c>
      <c r="X80" s="33">
        <f>SUM(Balance_Sheet!X20:X22)</f>
        <v>9401.1247514242932</v>
      </c>
      <c r="Y80" s="33">
        <f>SUM(Balance_Sheet!Y20:Y22)</f>
        <v>9360.9725228777588</v>
      </c>
      <c r="Z80" s="33">
        <f>SUM(Balance_Sheet!Z20:Z22)</f>
        <v>9320.8202943312244</v>
      </c>
      <c r="AA80" s="33">
        <f>SUM(Balance_Sheet!AA20:AA22)</f>
        <v>9280.6680657846919</v>
      </c>
      <c r="AB80" s="33">
        <f>SUM(Balance_Sheet!AB20:AB22)</f>
        <v>9240.5158372381575</v>
      </c>
      <c r="AC80" s="33">
        <f>SUM(Balance_Sheet!AC20:AC22)</f>
        <v>9200.3636086916249</v>
      </c>
      <c r="AD80" s="33">
        <f>SUM(Balance_Sheet!AD20:AD22)</f>
        <v>9160.2113801450905</v>
      </c>
      <c r="AE80" s="33">
        <f>SUM(Balance_Sheet!AE20:AE22)</f>
        <v>9120.0591515985579</v>
      </c>
      <c r="AF80" s="33">
        <f>SUM(Balance_Sheet!AF20:AF22)</f>
        <v>9079.9069230520236</v>
      </c>
      <c r="AG80" s="33">
        <f>SUM(Balance_Sheet!AG20:AG22)</f>
        <v>9039.7546945054892</v>
      </c>
      <c r="AH80" s="33">
        <f>SUM(Balance_Sheet!AH20:AH22)</f>
        <v>8999.6024659589566</v>
      </c>
      <c r="AJ80" s="13" cm="1">
        <f t="array" aca="1" ref="AJ80" ca="1">INDEX($E80:$AH80,1,MATCH(AJ$3&amp;AJ$4&amp;AJ$5&amp;AJ$6,$E$3:$AH$3&amp;$E$4:$AH$4&amp;$E$5:$AH$5&amp;$E$6:$AH$6,1))</f>
        <v>10083.712636715363</v>
      </c>
      <c r="AK80" s="13" cm="1">
        <f t="array" aca="1" ref="AK80" ca="1">INDEX($E80:$AH80,1,MATCH(AK$3&amp;AK$4&amp;AK$5&amp;AK$6,$E$3:$AH$3&amp;$E$4:$AH$4&amp;$E$5:$AH$5&amp;$E$6:$AH$6,1))</f>
        <v>9963.2559510757637</v>
      </c>
      <c r="AL80" s="13" cm="1">
        <f t="array" aca="1" ref="AL80" ca="1">INDEX($E80:$AH80,1,MATCH(AL$3&amp;AL$4&amp;AL$5&amp;AL$6,$E$3:$AH$3&amp;$E$4:$AH$4&amp;$E$5:$AH$5&amp;$E$6:$AH$6,1))</f>
        <v>9842.7992654361624</v>
      </c>
      <c r="AM80" s="17" cm="1">
        <f t="array" aca="1" ref="AM80" ca="1">INDEX($E80:$AH80,1,MATCH(AM$3&amp;AM$4&amp;AM$5&amp;AM$6,$E$3:$AH$3&amp;$E$4:$AH$4&amp;$E$5:$AH$5&amp;$E$6:$AH$6,1))</f>
        <v>9722.342579796561</v>
      </c>
      <c r="AN80" s="13" cm="1">
        <f t="array" aca="1" ref="AN80" ca="1">INDEX($E80:$AH80,1,MATCH(AN$3&amp;AN$4&amp;AN$5&amp;AN$6,$E$3:$AH$3&amp;$E$4:$AH$4&amp;$E$5:$AH$5&amp;$E$6:$AH$6,1))</f>
        <v>9601.8858941569597</v>
      </c>
      <c r="AO80" s="13" cm="1">
        <f t="array" aca="1" ref="AO80" ca="1">INDEX($E80:$AH80,1,MATCH(AO$3&amp;AO$4&amp;AO$5&amp;AO$6,$E$3:$AH$3&amp;$E$4:$AH$4&amp;$E$5:$AH$5&amp;$E$6:$AH$6,1))</f>
        <v>9481.4292085173583</v>
      </c>
      <c r="AP80" s="13" cm="1">
        <f t="array" aca="1" ref="AP80" ca="1">INDEX($E80:$AH80,1,MATCH(AP$3&amp;AP$4&amp;AP$5&amp;AP$6,$E$3:$AH$3&amp;$E$4:$AH$4&amp;$E$5:$AH$5&amp;$E$6:$AH$6,1))</f>
        <v>9360.9725228777588</v>
      </c>
      <c r="AQ80" s="13" cm="1">
        <f t="array" aca="1" ref="AQ80" ca="1">INDEX($E80:$AH80,1,MATCH(AQ$3&amp;AQ$4&amp;AQ$5&amp;AQ$6,$E$3:$AH$3&amp;$E$4:$AH$4&amp;$E$5:$AH$5&amp;$E$6:$AH$6,1))</f>
        <v>9240.5158372381575</v>
      </c>
      <c r="AR80" s="13" cm="1">
        <f t="array" aca="1" ref="AR80" ca="1">INDEX($E80:$AH80,1,MATCH(AR$3&amp;AR$4&amp;AR$5&amp;AR$6,$E$3:$AH$3&amp;$E$4:$AH$4&amp;$E$5:$AH$5&amp;$E$6:$AH$6,1))</f>
        <v>9120.0591515985579</v>
      </c>
      <c r="AS80" s="13" cm="1">
        <f t="array" aca="1" ref="AS80" ca="1">INDEX($E80:$AH80,1,MATCH(AS$3&amp;AS$4&amp;AS$5&amp;AS$6,$E$3:$AH$3&amp;$E$4:$AH$4&amp;$E$5:$AH$5&amp;$E$6:$AH$6,1))</f>
        <v>8999.6024659589566</v>
      </c>
      <c r="AU80" s="13">
        <f t="shared" ca="1" si="86"/>
        <v>9963.2559510757637</v>
      </c>
      <c r="AV80" s="13">
        <f t="shared" ca="1" si="86"/>
        <v>9481.4292085173583</v>
      </c>
      <c r="AW80" s="13">
        <f t="shared" ca="1" si="86"/>
        <v>8999.6024659589566</v>
      </c>
    </row>
    <row r="81" spans="3:49" x14ac:dyDescent="0.25">
      <c r="C81" s="1" t="s">
        <v>553</v>
      </c>
      <c r="D81" s="33">
        <f>Balance_Sheet!D23-Balance_Sheet!D15</f>
        <v>13909.395765308876</v>
      </c>
      <c r="E81" s="33">
        <f>Balance_Sheet!E23-Balance_Sheet!E15</f>
        <v>13710.258114159951</v>
      </c>
      <c r="F81" s="33">
        <f>Balance_Sheet!F23-Balance_Sheet!F15</f>
        <v>13097.47941705881</v>
      </c>
      <c r="G81" s="33">
        <f>Balance_Sheet!G23-Balance_Sheet!G15</f>
        <v>12966.166050655082</v>
      </c>
      <c r="H81" s="33">
        <f>Balance_Sheet!H23-Balance_Sheet!H15</f>
        <v>13049.545675763624</v>
      </c>
      <c r="I81" s="33">
        <f>Balance_Sheet!I23-Balance_Sheet!I15</f>
        <v>13022.212041537601</v>
      </c>
      <c r="J81" s="56">
        <f>Balance_Sheet!J23-Balance_Sheet!J15</f>
        <v>13750.530758010125</v>
      </c>
      <c r="K81" s="33">
        <f>Balance_Sheet!K23-Balance_Sheet!K15</f>
        <v>13738.595050067364</v>
      </c>
      <c r="L81" s="33">
        <f>Balance_Sheet!L23-Balance_Sheet!L15</f>
        <v>13299.27158764151</v>
      </c>
      <c r="M81" s="33">
        <f>Balance_Sheet!M23-Balance_Sheet!M15</f>
        <v>13354.947455020239</v>
      </c>
      <c r="N81" s="33">
        <f>Balance_Sheet!N23-Balance_Sheet!N15</f>
        <v>13988.697152154864</v>
      </c>
      <c r="O81" s="33">
        <f>Balance_Sheet!O23-Balance_Sheet!O15</f>
        <v>14471.33440177687</v>
      </c>
      <c r="P81" s="34">
        <f>Balance_Sheet!P23-Balance_Sheet!P15</f>
        <v>15035.432814658423</v>
      </c>
      <c r="Q81" s="33">
        <f>Balance_Sheet!Q23-Balance_Sheet!Q15</f>
        <v>14750.740410091856</v>
      </c>
      <c r="R81" s="33">
        <f>Balance_Sheet!R23-Balance_Sheet!R15</f>
        <v>13921.234455892249</v>
      </c>
      <c r="S81" s="33">
        <f>Balance_Sheet!S23-Balance_Sheet!S15</f>
        <v>13647.839673544746</v>
      </c>
      <c r="T81" s="33">
        <f>Balance_Sheet!T23-Balance_Sheet!T15</f>
        <v>13665.354947267164</v>
      </c>
      <c r="U81" s="33">
        <f>Balance_Sheet!U23-Balance_Sheet!U15</f>
        <v>13682.413878413447</v>
      </c>
      <c r="V81" s="33">
        <f>Balance_Sheet!V23-Balance_Sheet!V15</f>
        <v>14840.409286169583</v>
      </c>
      <c r="W81" s="33">
        <f>Balance_Sheet!W23-Balance_Sheet!W15</f>
        <v>14193.109666524362</v>
      </c>
      <c r="X81" s="33">
        <f>Balance_Sheet!X23-Balance_Sheet!X15</f>
        <v>13586.535666448184</v>
      </c>
      <c r="Y81" s="33">
        <f>Balance_Sheet!Y23-Balance_Sheet!Y15</f>
        <v>13474.169505575288</v>
      </c>
      <c r="Z81" s="33">
        <f>Balance_Sheet!Z23-Balance_Sheet!Z15</f>
        <v>14875.239793574305</v>
      </c>
      <c r="AA81" s="33">
        <f>Balance_Sheet!AA23-Balance_Sheet!AA15</f>
        <v>14600.535324021017</v>
      </c>
      <c r="AB81" s="33">
        <f>Balance_Sheet!AB23-Balance_Sheet!AB15</f>
        <v>15124.288895347203</v>
      </c>
      <c r="AC81" s="33">
        <f>Balance_Sheet!AC23-Balance_Sheet!AC15</f>
        <v>14605.048609813637</v>
      </c>
      <c r="AD81" s="33">
        <f>Balance_Sheet!AD23-Balance_Sheet!AD15</f>
        <v>13685.029791265877</v>
      </c>
      <c r="AE81" s="33">
        <f>Balance_Sheet!AE23-Balance_Sheet!AE15</f>
        <v>13374.704143555078</v>
      </c>
      <c r="AF81" s="33">
        <f>Balance_Sheet!AF23-Balance_Sheet!AF15</f>
        <v>13383.670265619021</v>
      </c>
      <c r="AG81" s="33">
        <f>Balance_Sheet!AG23-Balance_Sheet!AG15</f>
        <v>13351.023459378715</v>
      </c>
      <c r="AH81" s="33">
        <f>Balance_Sheet!AH23-Balance_Sheet!AH15</f>
        <v>14565.9235167714</v>
      </c>
      <c r="AJ81" s="13" cm="1">
        <f t="array" aca="1" ref="AJ81" ca="1">INDEX($E81:$AH81,1,MATCH(AJ$3&amp;AJ$4&amp;AJ$5&amp;AJ$6,$E$3:$AH$3&amp;$E$4:$AH$4&amp;$E$5:$AH$5&amp;$E$6:$AH$6,1))</f>
        <v>12966.166050655082</v>
      </c>
      <c r="AK81" s="13" cm="1">
        <f t="array" aca="1" ref="AK81" ca="1">INDEX($E81:$AH81,1,MATCH(AK$3&amp;AK$4&amp;AK$5&amp;AK$6,$E$3:$AH$3&amp;$E$4:$AH$4&amp;$E$5:$AH$5&amp;$E$6:$AH$6,1))</f>
        <v>13750.530758010125</v>
      </c>
      <c r="AL81" s="13" cm="1">
        <f t="array" aca="1" ref="AL81" ca="1">INDEX($E81:$AH81,1,MATCH(AL$3&amp;AL$4&amp;AL$5&amp;AL$6,$E$3:$AH$3&amp;$E$4:$AH$4&amp;$E$5:$AH$5&amp;$E$6:$AH$6,1))</f>
        <v>13354.947455020239</v>
      </c>
      <c r="AM81" s="17" cm="1">
        <f t="array" aca="1" ref="AM81" ca="1">INDEX($E81:$AH81,1,MATCH(AM$3&amp;AM$4&amp;AM$5&amp;AM$6,$E$3:$AH$3&amp;$E$4:$AH$4&amp;$E$5:$AH$5&amp;$E$6:$AH$6,1))</f>
        <v>15035.432814658423</v>
      </c>
      <c r="AN81" s="13" cm="1">
        <f t="array" aca="1" ref="AN81" ca="1">INDEX($E81:$AH81,1,MATCH(AN$3&amp;AN$4&amp;AN$5&amp;AN$6,$E$3:$AH$3&amp;$E$4:$AH$4&amp;$E$5:$AH$5&amp;$E$6:$AH$6,1))</f>
        <v>13647.839673544746</v>
      </c>
      <c r="AO81" s="13" cm="1">
        <f t="array" aca="1" ref="AO81" ca="1">INDEX($E81:$AH81,1,MATCH(AO$3&amp;AO$4&amp;AO$5&amp;AO$6,$E$3:$AH$3&amp;$E$4:$AH$4&amp;$E$5:$AH$5&amp;$E$6:$AH$6,1))</f>
        <v>14840.409286169583</v>
      </c>
      <c r="AP81" s="13" cm="1">
        <f t="array" aca="1" ref="AP81" ca="1">INDEX($E81:$AH81,1,MATCH(AP$3&amp;AP$4&amp;AP$5&amp;AP$6,$E$3:$AH$3&amp;$E$4:$AH$4&amp;$E$5:$AH$5&amp;$E$6:$AH$6,1))</f>
        <v>13474.169505575288</v>
      </c>
      <c r="AQ81" s="13" cm="1">
        <f t="array" aca="1" ref="AQ81" ca="1">INDEX($E81:$AH81,1,MATCH(AQ$3&amp;AQ$4&amp;AQ$5&amp;AQ$6,$E$3:$AH$3&amp;$E$4:$AH$4&amp;$E$5:$AH$5&amp;$E$6:$AH$6,1))</f>
        <v>15124.288895347203</v>
      </c>
      <c r="AR81" s="13" cm="1">
        <f t="array" aca="1" ref="AR81" ca="1">INDEX($E81:$AH81,1,MATCH(AR$3&amp;AR$4&amp;AR$5&amp;AR$6,$E$3:$AH$3&amp;$E$4:$AH$4&amp;$E$5:$AH$5&amp;$E$6:$AH$6,1))</f>
        <v>13374.704143555078</v>
      </c>
      <c r="AS81" s="13" cm="1">
        <f t="array" aca="1" ref="AS81" ca="1">INDEX($E81:$AH81,1,MATCH(AS$3&amp;AS$4&amp;AS$5&amp;AS$6,$E$3:$AH$3&amp;$E$4:$AH$4&amp;$E$5:$AH$5&amp;$E$6:$AH$6,1))</f>
        <v>14565.9235167714</v>
      </c>
      <c r="AU81" s="13">
        <f t="shared" ca="1" si="86"/>
        <v>13750.530758010125</v>
      </c>
      <c r="AV81" s="13">
        <f t="shared" ca="1" si="86"/>
        <v>14840.409286169583</v>
      </c>
      <c r="AW81" s="13">
        <f t="shared" ca="1" si="86"/>
        <v>14565.9235167714</v>
      </c>
    </row>
    <row r="82" spans="3:49" x14ac:dyDescent="0.25">
      <c r="C82" s="1" t="s">
        <v>548</v>
      </c>
      <c r="D82" s="33">
        <f>SUM(Balance_Sheet!D28,Balance_Sheet!D32)</f>
        <v>5892.1701565200283</v>
      </c>
      <c r="E82" s="33">
        <f>SUM(Balance_Sheet!E28,Balance_Sheet!E32)</f>
        <v>5892.1701565200283</v>
      </c>
      <c r="F82" s="33">
        <f>SUM(Balance_Sheet!F28,Balance_Sheet!F32)</f>
        <v>6207.1701565200283</v>
      </c>
      <c r="G82" s="33">
        <f>SUM(Balance_Sheet!G28,Balance_Sheet!G32)</f>
        <v>6207.1701565200283</v>
      </c>
      <c r="H82" s="33">
        <f>SUM(Balance_Sheet!H28,Balance_Sheet!H32)</f>
        <v>6207.1701565200283</v>
      </c>
      <c r="I82" s="33">
        <f>SUM(Balance_Sheet!I28,Balance_Sheet!I32)</f>
        <v>7207.1701565200283</v>
      </c>
      <c r="J82" s="56">
        <f>SUM(Balance_Sheet!J28,Balance_Sheet!J32)</f>
        <v>5612.1701565200283</v>
      </c>
      <c r="K82" s="33">
        <f>SUM(Balance_Sheet!K28,Balance_Sheet!K32)</f>
        <v>5612.1701565200283</v>
      </c>
      <c r="L82" s="33">
        <f>SUM(Balance_Sheet!L28,Balance_Sheet!L32)</f>
        <v>5612.1701565200283</v>
      </c>
      <c r="M82" s="33">
        <f>SUM(Balance_Sheet!M28,Balance_Sheet!M32)</f>
        <v>5612.1701565200283</v>
      </c>
      <c r="N82" s="33">
        <f>SUM(Balance_Sheet!N28,Balance_Sheet!N32)</f>
        <v>5612.1701565200283</v>
      </c>
      <c r="O82" s="33">
        <f>SUM(Balance_Sheet!O28,Balance_Sheet!O32)</f>
        <v>5632.1701565200283</v>
      </c>
      <c r="P82" s="34">
        <f>SUM(Balance_Sheet!P28,Balance_Sheet!P32)</f>
        <v>5632.1701565200283</v>
      </c>
      <c r="Q82" s="33">
        <f>SUM(Balance_Sheet!Q28,Balance_Sheet!Q32)</f>
        <v>5632.1701565200283</v>
      </c>
      <c r="R82" s="33">
        <f>SUM(Balance_Sheet!R28,Balance_Sheet!R32)</f>
        <v>5632.1701565200283</v>
      </c>
      <c r="S82" s="33">
        <f>SUM(Balance_Sheet!S28,Balance_Sheet!S32)</f>
        <v>5632.1701565200283</v>
      </c>
      <c r="T82" s="33">
        <f>SUM(Balance_Sheet!T28,Balance_Sheet!T32)</f>
        <v>5632.1701565200283</v>
      </c>
      <c r="U82" s="33">
        <f>SUM(Balance_Sheet!U28,Balance_Sheet!U32)</f>
        <v>5632.1701565200283</v>
      </c>
      <c r="V82" s="33">
        <f>SUM(Balance_Sheet!V28,Balance_Sheet!V32)</f>
        <v>5632.1701565200283</v>
      </c>
      <c r="W82" s="33">
        <f>SUM(Balance_Sheet!W28,Balance_Sheet!W32)</f>
        <v>5632.1701565200283</v>
      </c>
      <c r="X82" s="33">
        <f>SUM(Balance_Sheet!X28,Balance_Sheet!X32)</f>
        <v>5632.1701565200283</v>
      </c>
      <c r="Y82" s="33">
        <f>SUM(Balance_Sheet!Y28,Balance_Sheet!Y32)</f>
        <v>5632.1701565200283</v>
      </c>
      <c r="Z82" s="33">
        <f>SUM(Balance_Sheet!Z28,Balance_Sheet!Z32)</f>
        <v>5632.1701565200283</v>
      </c>
      <c r="AA82" s="33">
        <f>SUM(Balance_Sheet!AA28,Balance_Sheet!AA32)</f>
        <v>5632.1701565200283</v>
      </c>
      <c r="AB82" s="33">
        <f>SUM(Balance_Sheet!AB28,Balance_Sheet!AB32)</f>
        <v>5632.1701565200283</v>
      </c>
      <c r="AC82" s="33">
        <f>SUM(Balance_Sheet!AC28,Balance_Sheet!AC32)</f>
        <v>5632.1701565200283</v>
      </c>
      <c r="AD82" s="33">
        <f>SUM(Balance_Sheet!AD28,Balance_Sheet!AD32)</f>
        <v>5632.1701565200283</v>
      </c>
      <c r="AE82" s="33">
        <f>SUM(Balance_Sheet!AE28,Balance_Sheet!AE32)</f>
        <v>5632.1701565200283</v>
      </c>
      <c r="AF82" s="33">
        <f>SUM(Balance_Sheet!AF28,Balance_Sheet!AF32)</f>
        <v>5632.1701565200283</v>
      </c>
      <c r="AG82" s="33">
        <f>SUM(Balance_Sheet!AG28,Balance_Sheet!AG32)</f>
        <v>5632.1701565200283</v>
      </c>
      <c r="AH82" s="33">
        <f>SUM(Balance_Sheet!AH28,Balance_Sheet!AH32)</f>
        <v>5632.1701565200283</v>
      </c>
      <c r="AJ82" s="13" cm="1">
        <f t="array" aca="1" ref="AJ82" ca="1">INDEX($E82:$AH82,1,MATCH(AJ$3&amp;AJ$4&amp;AJ$5&amp;AJ$6,$E$3:$AH$3&amp;$E$4:$AH$4&amp;$E$5:$AH$5&amp;$E$6:$AH$6,1))</f>
        <v>6207.1701565200283</v>
      </c>
      <c r="AK82" s="13" cm="1">
        <f t="array" aca="1" ref="AK82" ca="1">INDEX($E82:$AH82,1,MATCH(AK$3&amp;AK$4&amp;AK$5&amp;AK$6,$E$3:$AH$3&amp;$E$4:$AH$4&amp;$E$5:$AH$5&amp;$E$6:$AH$6,1))</f>
        <v>5612.1701565200283</v>
      </c>
      <c r="AL82" s="13" cm="1">
        <f t="array" aca="1" ref="AL82" ca="1">INDEX($E82:$AH82,1,MATCH(AL$3&amp;AL$4&amp;AL$5&amp;AL$6,$E$3:$AH$3&amp;$E$4:$AH$4&amp;$E$5:$AH$5&amp;$E$6:$AH$6,1))</f>
        <v>5612.1701565200283</v>
      </c>
      <c r="AM82" s="17" cm="1">
        <f t="array" aca="1" ref="AM82" ca="1">INDEX($E82:$AH82,1,MATCH(AM$3&amp;AM$4&amp;AM$5&amp;AM$6,$E$3:$AH$3&amp;$E$4:$AH$4&amp;$E$5:$AH$5&amp;$E$6:$AH$6,1))</f>
        <v>5632.1701565200283</v>
      </c>
      <c r="AN82" s="13" cm="1">
        <f t="array" aca="1" ref="AN82" ca="1">INDEX($E82:$AH82,1,MATCH(AN$3&amp;AN$4&amp;AN$5&amp;AN$6,$E$3:$AH$3&amp;$E$4:$AH$4&amp;$E$5:$AH$5&amp;$E$6:$AH$6,1))</f>
        <v>5632.1701565200283</v>
      </c>
      <c r="AO82" s="13" cm="1">
        <f t="array" aca="1" ref="AO82" ca="1">INDEX($E82:$AH82,1,MATCH(AO$3&amp;AO$4&amp;AO$5&amp;AO$6,$E$3:$AH$3&amp;$E$4:$AH$4&amp;$E$5:$AH$5&amp;$E$6:$AH$6,1))</f>
        <v>5632.1701565200283</v>
      </c>
      <c r="AP82" s="13" cm="1">
        <f t="array" aca="1" ref="AP82" ca="1">INDEX($E82:$AH82,1,MATCH(AP$3&amp;AP$4&amp;AP$5&amp;AP$6,$E$3:$AH$3&amp;$E$4:$AH$4&amp;$E$5:$AH$5&amp;$E$6:$AH$6,1))</f>
        <v>5632.1701565200283</v>
      </c>
      <c r="AQ82" s="13" cm="1">
        <f t="array" aca="1" ref="AQ82" ca="1">INDEX($E82:$AH82,1,MATCH(AQ$3&amp;AQ$4&amp;AQ$5&amp;AQ$6,$E$3:$AH$3&amp;$E$4:$AH$4&amp;$E$5:$AH$5&amp;$E$6:$AH$6,1))</f>
        <v>5632.1701565200283</v>
      </c>
      <c r="AR82" s="13" cm="1">
        <f t="array" aca="1" ref="AR82" ca="1">INDEX($E82:$AH82,1,MATCH(AR$3&amp;AR$4&amp;AR$5&amp;AR$6,$E$3:$AH$3&amp;$E$4:$AH$4&amp;$E$5:$AH$5&amp;$E$6:$AH$6,1))</f>
        <v>5632.1701565200283</v>
      </c>
      <c r="AS82" s="13" cm="1">
        <f t="array" aca="1" ref="AS82" ca="1">INDEX($E82:$AH82,1,MATCH(AS$3&amp;AS$4&amp;AS$5&amp;AS$6,$E$3:$AH$3&amp;$E$4:$AH$4&amp;$E$5:$AH$5&amp;$E$6:$AH$6,1))</f>
        <v>5632.1701565200283</v>
      </c>
      <c r="AU82" s="13">
        <f t="shared" ca="1" si="86"/>
        <v>5612.1701565200283</v>
      </c>
      <c r="AV82" s="13">
        <f t="shared" ca="1" si="86"/>
        <v>5632.1701565200283</v>
      </c>
      <c r="AW82" s="13">
        <f t="shared" ca="1" si="86"/>
        <v>5632.1701565200283</v>
      </c>
    </row>
    <row r="83" spans="3:49" x14ac:dyDescent="0.25">
      <c r="C83" s="1" t="s">
        <v>165</v>
      </c>
      <c r="D83" s="33">
        <f>Balance_Sheet!D34</f>
        <v>11741.431498752188</v>
      </c>
      <c r="E83" s="33">
        <f>Balance_Sheet!E34</f>
        <v>11357.914889474481</v>
      </c>
      <c r="F83" s="33">
        <f>Balance_Sheet!F34</f>
        <v>10890.893571894878</v>
      </c>
      <c r="G83" s="33">
        <f>Balance_Sheet!G34</f>
        <v>10385.401268880638</v>
      </c>
      <c r="H83" s="33">
        <f>Balance_Sheet!H34</f>
        <v>10310.381134565254</v>
      </c>
      <c r="I83" s="33">
        <f>Balance_Sheet!I34</f>
        <v>11385.248299276695</v>
      </c>
      <c r="J83" s="56">
        <f>Balance_Sheet!J34</f>
        <v>10191.783260815517</v>
      </c>
      <c r="K83" s="33">
        <f>Balance_Sheet!K34</f>
        <v>10535.588566598426</v>
      </c>
      <c r="L83" s="33">
        <f>Balance_Sheet!L34</f>
        <v>9878.7188761144007</v>
      </c>
      <c r="M83" s="33">
        <f>Balance_Sheet!M34</f>
        <v>10522.035330418721</v>
      </c>
      <c r="N83" s="33">
        <f>Balance_Sheet!N34</f>
        <v>10407.974063004578</v>
      </c>
      <c r="O83" s="33">
        <f>Balance_Sheet!O34</f>
        <v>11052.596856444887</v>
      </c>
      <c r="P83" s="34">
        <f>Balance_Sheet!P34</f>
        <v>11286.065800633178</v>
      </c>
      <c r="Q83" s="33">
        <f>Balance_Sheet!Q34</f>
        <v>11152.85441782851</v>
      </c>
      <c r="R83" s="33">
        <f>Balance_Sheet!R34</f>
        <v>10005.548097636369</v>
      </c>
      <c r="S83" s="33">
        <f>Balance_Sheet!S34</f>
        <v>9833.4701607223978</v>
      </c>
      <c r="T83" s="33">
        <f>Balance_Sheet!T34</f>
        <v>9681.5103040613885</v>
      </c>
      <c r="U83" s="33">
        <f>Balance_Sheet!U34</f>
        <v>9596.4779414920322</v>
      </c>
      <c r="V83" s="33">
        <f>Balance_Sheet!V34</f>
        <v>10421.684207579112</v>
      </c>
      <c r="W83" s="33">
        <f>Balance_Sheet!W34</f>
        <v>10068.08070456739</v>
      </c>
      <c r="X83" s="33">
        <f>Balance_Sheet!X34</f>
        <v>9932.3953565693664</v>
      </c>
      <c r="Y83" s="33">
        <f>Balance_Sheet!Y34</f>
        <v>10448.532896138508</v>
      </c>
      <c r="Z83" s="33">
        <f>Balance_Sheet!Z34</f>
        <v>10829.637074183924</v>
      </c>
      <c r="AA83" s="33">
        <f>Balance_Sheet!AA34</f>
        <v>10616.967040126518</v>
      </c>
      <c r="AB83" s="33">
        <f>Balance_Sheet!AB34</f>
        <v>11474.644746612828</v>
      </c>
      <c r="AC83" s="33">
        <f>Balance_Sheet!AC34</f>
        <v>11346.188287317884</v>
      </c>
      <c r="AD83" s="33">
        <f>Balance_Sheet!AD34</f>
        <v>10170.366132044819</v>
      </c>
      <c r="AE83" s="33">
        <f>Balance_Sheet!AE34</f>
        <v>9998.0371443716958</v>
      </c>
      <c r="AF83" s="33">
        <f>Balance_Sheet!AF34</f>
        <v>9850.4953379105045</v>
      </c>
      <c r="AG83" s="33">
        <f>Balance_Sheet!AG34</f>
        <v>9761.5932293021724</v>
      </c>
      <c r="AH83" s="33">
        <f>Balance_Sheet!AH34</f>
        <v>10619.338967769458</v>
      </c>
      <c r="AJ83" s="13" cm="1">
        <f t="array" aca="1" ref="AJ83" ca="1">INDEX($E83:$AH83,1,MATCH(AJ$3&amp;AJ$4&amp;AJ$5&amp;AJ$6,$E$3:$AH$3&amp;$E$4:$AH$4&amp;$E$5:$AH$5&amp;$E$6:$AH$6,1))</f>
        <v>10385.401268880638</v>
      </c>
      <c r="AK83" s="13" cm="1">
        <f t="array" aca="1" ref="AK83" ca="1">INDEX($E83:$AH83,1,MATCH(AK$3&amp;AK$4&amp;AK$5&amp;AK$6,$E$3:$AH$3&amp;$E$4:$AH$4&amp;$E$5:$AH$5&amp;$E$6:$AH$6,1))</f>
        <v>10191.783260815517</v>
      </c>
      <c r="AL83" s="13" cm="1">
        <f t="array" aca="1" ref="AL83" ca="1">INDEX($E83:$AH83,1,MATCH(AL$3&amp;AL$4&amp;AL$5&amp;AL$6,$E$3:$AH$3&amp;$E$4:$AH$4&amp;$E$5:$AH$5&amp;$E$6:$AH$6,1))</f>
        <v>10522.035330418721</v>
      </c>
      <c r="AM83" s="17" cm="1">
        <f t="array" aca="1" ref="AM83" ca="1">INDEX($E83:$AH83,1,MATCH(AM$3&amp;AM$4&amp;AM$5&amp;AM$6,$E$3:$AH$3&amp;$E$4:$AH$4&amp;$E$5:$AH$5&amp;$E$6:$AH$6,1))</f>
        <v>11286.065800633178</v>
      </c>
      <c r="AN83" s="13" cm="1">
        <f t="array" aca="1" ref="AN83" ca="1">INDEX($E83:$AH83,1,MATCH(AN$3&amp;AN$4&amp;AN$5&amp;AN$6,$E$3:$AH$3&amp;$E$4:$AH$4&amp;$E$5:$AH$5&amp;$E$6:$AH$6,1))</f>
        <v>9833.4701607223978</v>
      </c>
      <c r="AO83" s="13" cm="1">
        <f t="array" aca="1" ref="AO83" ca="1">INDEX($E83:$AH83,1,MATCH(AO$3&amp;AO$4&amp;AO$5&amp;AO$6,$E$3:$AH$3&amp;$E$4:$AH$4&amp;$E$5:$AH$5&amp;$E$6:$AH$6,1))</f>
        <v>10421.684207579112</v>
      </c>
      <c r="AP83" s="13" cm="1">
        <f t="array" aca="1" ref="AP83" ca="1">INDEX($E83:$AH83,1,MATCH(AP$3&amp;AP$4&amp;AP$5&amp;AP$6,$E$3:$AH$3&amp;$E$4:$AH$4&amp;$E$5:$AH$5&amp;$E$6:$AH$6,1))</f>
        <v>10448.532896138508</v>
      </c>
      <c r="AQ83" s="13" cm="1">
        <f t="array" aca="1" ref="AQ83" ca="1">INDEX($E83:$AH83,1,MATCH(AQ$3&amp;AQ$4&amp;AQ$5&amp;AQ$6,$E$3:$AH$3&amp;$E$4:$AH$4&amp;$E$5:$AH$5&amp;$E$6:$AH$6,1))</f>
        <v>11474.644746612828</v>
      </c>
      <c r="AR83" s="13" cm="1">
        <f t="array" aca="1" ref="AR83" ca="1">INDEX($E83:$AH83,1,MATCH(AR$3&amp;AR$4&amp;AR$5&amp;AR$6,$E$3:$AH$3&amp;$E$4:$AH$4&amp;$E$5:$AH$5&amp;$E$6:$AH$6,1))</f>
        <v>9998.0371443716958</v>
      </c>
      <c r="AS83" s="13" cm="1">
        <f t="array" aca="1" ref="AS83" ca="1">INDEX($E83:$AH83,1,MATCH(AS$3&amp;AS$4&amp;AS$5&amp;AS$6,$E$3:$AH$3&amp;$E$4:$AH$4&amp;$E$5:$AH$5&amp;$E$6:$AH$6,1))</f>
        <v>10619.338967769458</v>
      </c>
      <c r="AU83" s="13">
        <f t="shared" ca="1" si="86"/>
        <v>10191.783260815517</v>
      </c>
      <c r="AV83" s="13">
        <f t="shared" ca="1" si="86"/>
        <v>10421.684207579112</v>
      </c>
      <c r="AW83" s="13">
        <f t="shared" ca="1" si="86"/>
        <v>10619.338967769458</v>
      </c>
    </row>
    <row r="84" spans="3:49" x14ac:dyDescent="0.25">
      <c r="C84" s="1" t="s">
        <v>549</v>
      </c>
      <c r="D84" s="33">
        <f>SUM(Balance_Sheet!D36:D38)</f>
        <v>6217.3157733176286</v>
      </c>
      <c r="E84" s="33">
        <f>SUM(Balance_Sheet!E36:E38)</f>
        <v>6246.4410104222879</v>
      </c>
      <c r="F84" s="33">
        <f>SUM(Balance_Sheet!F36:F38)</f>
        <v>6163.8168161764215</v>
      </c>
      <c r="G84" s="33">
        <f>SUM(Balance_Sheet!G36:G38)</f>
        <v>6142.1061136234766</v>
      </c>
      <c r="H84" s="33">
        <f>SUM(Balance_Sheet!H36:H38)</f>
        <v>6169.0929352446474</v>
      </c>
      <c r="I84" s="33">
        <f>SUM(Balance_Sheet!I36:I38)</f>
        <v>6227.0463927062665</v>
      </c>
      <c r="J84" s="56">
        <f>SUM(Balance_Sheet!J36:J38)</f>
        <v>6462.4911445837415</v>
      </c>
      <c r="K84" s="33">
        <f>SUM(Balance_Sheet!K36:K38)</f>
        <v>6517.1461374377996</v>
      </c>
      <c r="L84" s="33">
        <f>SUM(Balance_Sheet!L36:L38)</f>
        <v>6537.4900372530501</v>
      </c>
      <c r="M84" s="33">
        <f>SUM(Balance_Sheet!M36:M38)</f>
        <v>6266.3331142424558</v>
      </c>
      <c r="N84" s="33">
        <f>SUM(Balance_Sheet!N36:N38)</f>
        <v>6479.9111504314988</v>
      </c>
      <c r="O84" s="33">
        <f>SUM(Balance_Sheet!O36:O38)</f>
        <v>6618.4501280111508</v>
      </c>
      <c r="P84" s="34">
        <f>SUM(Balance_Sheet!P36:P38)</f>
        <v>6739.0441783184806</v>
      </c>
      <c r="Q84" s="33">
        <f>SUM(Balance_Sheet!Q36:Q38)</f>
        <v>6820.2448664050871</v>
      </c>
      <c r="R84" s="33">
        <f>SUM(Balance_Sheet!R36:R38)</f>
        <v>6789.0712008733099</v>
      </c>
      <c r="S84" s="33">
        <f>SUM(Balance_Sheet!S36:S38)</f>
        <v>6773.9611094669326</v>
      </c>
      <c r="T84" s="33">
        <f>SUM(Balance_Sheet!T36:T38)</f>
        <v>6789.3016811573871</v>
      </c>
      <c r="U84" s="33">
        <f>SUM(Balance_Sheet!U36:U38)</f>
        <v>6843.3587594735964</v>
      </c>
      <c r="V84" s="33">
        <f>SUM(Balance_Sheet!V36:V38)</f>
        <v>7037.8641344318257</v>
      </c>
      <c r="W84" s="33">
        <f>SUM(Balance_Sheet!W36:W38)</f>
        <v>7084.076852309171</v>
      </c>
      <c r="X84" s="33">
        <f>SUM(Balance_Sheet!X36:X38)</f>
        <v>7081.1468185682152</v>
      </c>
      <c r="Y84" s="33">
        <f>SUM(Balance_Sheet!Y36:Y38)</f>
        <v>6786.3921321257885</v>
      </c>
      <c r="Z84" s="33">
        <f>SUM(Balance_Sheet!Z36:Z38)</f>
        <v>6990.6333026758857</v>
      </c>
      <c r="AA84" s="33">
        <f>SUM(Balance_Sheet!AA36:AA38)</f>
        <v>7107.0658858326487</v>
      </c>
      <c r="AB84" s="33">
        <f>SUM(Balance_Sheet!AB36:AB38)</f>
        <v>7256.2673952628456</v>
      </c>
      <c r="AC84" s="33">
        <f>SUM(Balance_Sheet!AC36:AC38)</f>
        <v>7331.5777104437038</v>
      </c>
      <c r="AD84" s="33">
        <f>SUM(Balance_Sheet!AD36:AD38)</f>
        <v>7295.8964510153455</v>
      </c>
      <c r="AE84" s="33">
        <f>SUM(Balance_Sheet!AE36:AE38)</f>
        <v>7290.5190633717502</v>
      </c>
      <c r="AF84" s="33">
        <f>SUM(Balance_Sheet!AF36:AF38)</f>
        <v>7314.1473202430479</v>
      </c>
      <c r="AG84" s="33">
        <f>SUM(Balance_Sheet!AG36:AG38)</f>
        <v>7378.1436255206136</v>
      </c>
      <c r="AH84" s="33">
        <f>SUM(Balance_Sheet!AH36:AH38)</f>
        <v>7590.2047006825123</v>
      </c>
      <c r="AJ84" s="13" cm="1">
        <f t="array" aca="1" ref="AJ84" ca="1">INDEX($E84:$AH84,1,MATCH(AJ$3&amp;AJ$4&amp;AJ$5&amp;AJ$6,$E$3:$AH$3&amp;$E$4:$AH$4&amp;$E$5:$AH$5&amp;$E$6:$AH$6,1))</f>
        <v>6142.1061136234766</v>
      </c>
      <c r="AK84" s="13" cm="1">
        <f t="array" aca="1" ref="AK84" ca="1">INDEX($E84:$AH84,1,MATCH(AK$3&amp;AK$4&amp;AK$5&amp;AK$6,$E$3:$AH$3&amp;$E$4:$AH$4&amp;$E$5:$AH$5&amp;$E$6:$AH$6,1))</f>
        <v>6462.4911445837415</v>
      </c>
      <c r="AL84" s="13" cm="1">
        <f t="array" aca="1" ref="AL84" ca="1">INDEX($E84:$AH84,1,MATCH(AL$3&amp;AL$4&amp;AL$5&amp;AL$6,$E$3:$AH$3&amp;$E$4:$AH$4&amp;$E$5:$AH$5&amp;$E$6:$AH$6,1))</f>
        <v>6266.3331142424558</v>
      </c>
      <c r="AM84" s="17" cm="1">
        <f t="array" aca="1" ref="AM84" ca="1">INDEX($E84:$AH84,1,MATCH(AM$3&amp;AM$4&amp;AM$5&amp;AM$6,$E$3:$AH$3&amp;$E$4:$AH$4&amp;$E$5:$AH$5&amp;$E$6:$AH$6,1))</f>
        <v>6739.0441783184806</v>
      </c>
      <c r="AN84" s="13" cm="1">
        <f t="array" aca="1" ref="AN84" ca="1">INDEX($E84:$AH84,1,MATCH(AN$3&amp;AN$4&amp;AN$5&amp;AN$6,$E$3:$AH$3&amp;$E$4:$AH$4&amp;$E$5:$AH$5&amp;$E$6:$AH$6,1))</f>
        <v>6773.9611094669326</v>
      </c>
      <c r="AO84" s="13" cm="1">
        <f t="array" aca="1" ref="AO84" ca="1">INDEX($E84:$AH84,1,MATCH(AO$3&amp;AO$4&amp;AO$5&amp;AO$6,$E$3:$AH$3&amp;$E$4:$AH$4&amp;$E$5:$AH$5&amp;$E$6:$AH$6,1))</f>
        <v>7037.8641344318257</v>
      </c>
      <c r="AP84" s="13" cm="1">
        <f t="array" aca="1" ref="AP84" ca="1">INDEX($E84:$AH84,1,MATCH(AP$3&amp;AP$4&amp;AP$5&amp;AP$6,$E$3:$AH$3&amp;$E$4:$AH$4&amp;$E$5:$AH$5&amp;$E$6:$AH$6,1))</f>
        <v>6786.3921321257885</v>
      </c>
      <c r="AQ84" s="13" cm="1">
        <f t="array" aca="1" ref="AQ84" ca="1">INDEX($E84:$AH84,1,MATCH(AQ$3&amp;AQ$4&amp;AQ$5&amp;AQ$6,$E$3:$AH$3&amp;$E$4:$AH$4&amp;$E$5:$AH$5&amp;$E$6:$AH$6,1))</f>
        <v>7256.2673952628456</v>
      </c>
      <c r="AR84" s="13" cm="1">
        <f t="array" aca="1" ref="AR84" ca="1">INDEX($E84:$AH84,1,MATCH(AR$3&amp;AR$4&amp;AR$5&amp;AR$6,$E$3:$AH$3&amp;$E$4:$AH$4&amp;$E$5:$AH$5&amp;$E$6:$AH$6,1))</f>
        <v>7290.5190633717502</v>
      </c>
      <c r="AS84" s="13" cm="1">
        <f t="array" aca="1" ref="AS84" ca="1">INDEX($E84:$AH84,1,MATCH(AS$3&amp;AS$4&amp;AS$5&amp;AS$6,$E$3:$AH$3&amp;$E$4:$AH$4&amp;$E$5:$AH$5&amp;$E$6:$AH$6,1))</f>
        <v>7590.2047006825123</v>
      </c>
      <c r="AU84" s="13">
        <f t="shared" ca="1" si="86"/>
        <v>6462.4911445837415</v>
      </c>
      <c r="AV84" s="13">
        <f t="shared" ca="1" si="86"/>
        <v>7037.8641344318257</v>
      </c>
      <c r="AW84" s="13">
        <f t="shared" ca="1" si="86"/>
        <v>7590.2047006825123</v>
      </c>
    </row>
    <row r="85" spans="3:49" x14ac:dyDescent="0.25">
      <c r="C85" s="1" t="s">
        <v>555</v>
      </c>
      <c r="D85" s="33">
        <f t="shared" ref="D85:AH85" si="87">D82+D84</f>
        <v>12109.485929837658</v>
      </c>
      <c r="E85" s="33">
        <f t="shared" si="87"/>
        <v>12138.611166942315</v>
      </c>
      <c r="F85" s="33">
        <f t="shared" si="87"/>
        <v>12370.98697269645</v>
      </c>
      <c r="G85" s="33">
        <f t="shared" si="87"/>
        <v>12349.276270143506</v>
      </c>
      <c r="H85" s="33">
        <f t="shared" si="87"/>
        <v>12376.263091764675</v>
      </c>
      <c r="I85" s="33">
        <f t="shared" si="87"/>
        <v>13434.216549226294</v>
      </c>
      <c r="J85" s="56">
        <f t="shared" si="87"/>
        <v>12074.66130110377</v>
      </c>
      <c r="K85" s="33">
        <f t="shared" si="87"/>
        <v>12129.316293957829</v>
      </c>
      <c r="L85" s="33">
        <f t="shared" si="87"/>
        <v>12149.660193773077</v>
      </c>
      <c r="M85" s="33">
        <f t="shared" si="87"/>
        <v>11878.503270762485</v>
      </c>
      <c r="N85" s="33">
        <f t="shared" si="87"/>
        <v>12092.081306951528</v>
      </c>
      <c r="O85" s="33">
        <f t="shared" si="87"/>
        <v>12250.620284531178</v>
      </c>
      <c r="P85" s="34">
        <f t="shared" si="87"/>
        <v>12371.214334838509</v>
      </c>
      <c r="Q85" s="33">
        <f t="shared" si="87"/>
        <v>12452.415022925115</v>
      </c>
      <c r="R85" s="33">
        <f t="shared" si="87"/>
        <v>12421.241357393337</v>
      </c>
      <c r="S85" s="33">
        <f t="shared" si="87"/>
        <v>12406.131265986962</v>
      </c>
      <c r="T85" s="33">
        <f t="shared" si="87"/>
        <v>12421.471837677414</v>
      </c>
      <c r="U85" s="33">
        <f t="shared" si="87"/>
        <v>12475.528915993626</v>
      </c>
      <c r="V85" s="33">
        <f t="shared" si="87"/>
        <v>12670.034290951855</v>
      </c>
      <c r="W85" s="33">
        <f t="shared" si="87"/>
        <v>12716.247008829199</v>
      </c>
      <c r="X85" s="33">
        <f t="shared" si="87"/>
        <v>12713.316975088244</v>
      </c>
      <c r="Y85" s="33">
        <f t="shared" si="87"/>
        <v>12418.562288645817</v>
      </c>
      <c r="Z85" s="33">
        <f t="shared" si="87"/>
        <v>12622.803459195915</v>
      </c>
      <c r="AA85" s="33">
        <f t="shared" si="87"/>
        <v>12739.236042352677</v>
      </c>
      <c r="AB85" s="33">
        <f t="shared" si="87"/>
        <v>12888.437551782874</v>
      </c>
      <c r="AC85" s="33">
        <f t="shared" si="87"/>
        <v>12963.747866963731</v>
      </c>
      <c r="AD85" s="33">
        <f t="shared" si="87"/>
        <v>12928.066607535373</v>
      </c>
      <c r="AE85" s="33">
        <f t="shared" si="87"/>
        <v>12922.689219891778</v>
      </c>
      <c r="AF85" s="33">
        <f t="shared" si="87"/>
        <v>12946.317476763077</v>
      </c>
      <c r="AG85" s="33">
        <f t="shared" si="87"/>
        <v>13010.313782040641</v>
      </c>
      <c r="AH85" s="33">
        <f t="shared" si="87"/>
        <v>13222.37485720254</v>
      </c>
      <c r="AJ85" s="13" cm="1">
        <f t="array" aca="1" ref="AJ85" ca="1">INDEX($E85:$AH85,1,MATCH(AJ$3&amp;AJ$4&amp;AJ$5&amp;AJ$6,$E$3:$AH$3&amp;$E$4:$AH$4&amp;$E$5:$AH$5&amp;$E$6:$AH$6,1))</f>
        <v>12349.276270143506</v>
      </c>
      <c r="AK85" s="13" cm="1">
        <f t="array" aca="1" ref="AK85" ca="1">INDEX($E85:$AH85,1,MATCH(AK$3&amp;AK$4&amp;AK$5&amp;AK$6,$E$3:$AH$3&amp;$E$4:$AH$4&amp;$E$5:$AH$5&amp;$E$6:$AH$6,1))</f>
        <v>12074.66130110377</v>
      </c>
      <c r="AL85" s="13" cm="1">
        <f t="array" aca="1" ref="AL85" ca="1">INDEX($E85:$AH85,1,MATCH(AL$3&amp;AL$4&amp;AL$5&amp;AL$6,$E$3:$AH$3&amp;$E$4:$AH$4&amp;$E$5:$AH$5&amp;$E$6:$AH$6,1))</f>
        <v>11878.503270762485</v>
      </c>
      <c r="AM85" s="17" cm="1">
        <f t="array" aca="1" ref="AM85" ca="1">INDEX($E85:$AH85,1,MATCH(AM$3&amp;AM$4&amp;AM$5&amp;AM$6,$E$3:$AH$3&amp;$E$4:$AH$4&amp;$E$5:$AH$5&amp;$E$6:$AH$6,1))</f>
        <v>12371.214334838509</v>
      </c>
      <c r="AN85" s="13" cm="1">
        <f t="array" aca="1" ref="AN85" ca="1">INDEX($E85:$AH85,1,MATCH(AN$3&amp;AN$4&amp;AN$5&amp;AN$6,$E$3:$AH$3&amp;$E$4:$AH$4&amp;$E$5:$AH$5&amp;$E$6:$AH$6,1))</f>
        <v>12406.131265986962</v>
      </c>
      <c r="AO85" s="13" cm="1">
        <f t="array" aca="1" ref="AO85" ca="1">INDEX($E85:$AH85,1,MATCH(AO$3&amp;AO$4&amp;AO$5&amp;AO$6,$E$3:$AH$3&amp;$E$4:$AH$4&amp;$E$5:$AH$5&amp;$E$6:$AH$6,1))</f>
        <v>12670.034290951855</v>
      </c>
      <c r="AP85" s="13" cm="1">
        <f t="array" aca="1" ref="AP85" ca="1">INDEX($E85:$AH85,1,MATCH(AP$3&amp;AP$4&amp;AP$5&amp;AP$6,$E$3:$AH$3&amp;$E$4:$AH$4&amp;$E$5:$AH$5&amp;$E$6:$AH$6,1))</f>
        <v>12418.562288645817</v>
      </c>
      <c r="AQ85" s="13" cm="1">
        <f t="array" aca="1" ref="AQ85" ca="1">INDEX($E85:$AH85,1,MATCH(AQ$3&amp;AQ$4&amp;AQ$5&amp;AQ$6,$E$3:$AH$3&amp;$E$4:$AH$4&amp;$E$5:$AH$5&amp;$E$6:$AH$6,1))</f>
        <v>12888.437551782874</v>
      </c>
      <c r="AR85" s="13" cm="1">
        <f t="array" aca="1" ref="AR85" ca="1">INDEX($E85:$AH85,1,MATCH(AR$3&amp;AR$4&amp;AR$5&amp;AR$6,$E$3:$AH$3&amp;$E$4:$AH$4&amp;$E$5:$AH$5&amp;$E$6:$AH$6,1))</f>
        <v>12922.689219891778</v>
      </c>
      <c r="AS85" s="13" cm="1">
        <f t="array" aca="1" ref="AS85" ca="1">INDEX($E85:$AH85,1,MATCH(AS$3&amp;AS$4&amp;AS$5&amp;AS$6,$E$3:$AH$3&amp;$E$4:$AH$4&amp;$E$5:$AH$5&amp;$E$6:$AH$6,1))</f>
        <v>13222.37485720254</v>
      </c>
      <c r="AU85" s="13">
        <f t="shared" ca="1" si="86"/>
        <v>12074.66130110377</v>
      </c>
      <c r="AV85" s="13">
        <f t="shared" ca="1" si="86"/>
        <v>12670.034290951855</v>
      </c>
      <c r="AW85" s="13">
        <f t="shared" ca="1" si="86"/>
        <v>13222.37485720254</v>
      </c>
    </row>
    <row r="86" spans="3:49" x14ac:dyDescent="0.25">
      <c r="C86" s="1"/>
      <c r="D86" s="33"/>
      <c r="E86" s="33"/>
      <c r="F86" s="33"/>
      <c r="G86" s="33"/>
      <c r="H86" s="33"/>
      <c r="I86" s="33"/>
      <c r="J86" s="56"/>
      <c r="K86" s="33"/>
      <c r="L86" s="33"/>
      <c r="M86" s="33"/>
      <c r="N86" s="33"/>
      <c r="O86" s="33"/>
      <c r="P86" s="34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M86" s="8"/>
    </row>
    <row r="87" spans="3:49" x14ac:dyDescent="0.25">
      <c r="C87" s="203" t="s">
        <v>97</v>
      </c>
      <c r="D87" s="11"/>
      <c r="E87" s="45" t="str">
        <f t="shared" ref="E87:AH87" si="88">E$9</f>
        <v>Jul-20A</v>
      </c>
      <c r="F87" s="45" t="str">
        <f t="shared" si="88"/>
        <v>Aug-20A</v>
      </c>
      <c r="G87" s="45" t="str">
        <f t="shared" si="88"/>
        <v>Sep-20A</v>
      </c>
      <c r="H87" s="45" t="str">
        <f t="shared" si="88"/>
        <v>Oct-20A</v>
      </c>
      <c r="I87" s="45" t="str">
        <f t="shared" si="88"/>
        <v>Nov-20A</v>
      </c>
      <c r="J87" s="45" t="str">
        <f t="shared" si="88"/>
        <v>Dec-20A</v>
      </c>
      <c r="K87" s="45" t="str">
        <f t="shared" si="88"/>
        <v>Jan-21A</v>
      </c>
      <c r="L87" s="45" t="str">
        <f t="shared" si="88"/>
        <v>Feb-21A</v>
      </c>
      <c r="M87" s="45" t="str">
        <f t="shared" si="88"/>
        <v>Mar-21A</v>
      </c>
      <c r="N87" s="45" t="str">
        <f t="shared" si="88"/>
        <v>Apr-21A</v>
      </c>
      <c r="O87" s="45" t="str">
        <f t="shared" si="88"/>
        <v>May-21A</v>
      </c>
      <c r="P87" s="46" t="str">
        <f t="shared" si="88"/>
        <v>Jun-21A</v>
      </c>
      <c r="Q87" s="45" t="str">
        <f t="shared" si="88"/>
        <v>Jul-21F</v>
      </c>
      <c r="R87" s="45" t="str">
        <f t="shared" si="88"/>
        <v>Aug-21F</v>
      </c>
      <c r="S87" s="45" t="str">
        <f t="shared" si="88"/>
        <v>Sep-21F</v>
      </c>
      <c r="T87" s="45" t="str">
        <f t="shared" si="88"/>
        <v>Oct-21F</v>
      </c>
      <c r="U87" s="45" t="str">
        <f t="shared" si="88"/>
        <v>Nov-21F</v>
      </c>
      <c r="V87" s="45" t="str">
        <f t="shared" si="88"/>
        <v>Dec-21F</v>
      </c>
      <c r="W87" s="45" t="str">
        <f t="shared" si="88"/>
        <v>Jan-22F</v>
      </c>
      <c r="X87" s="45" t="str">
        <f t="shared" si="88"/>
        <v>Feb-22F</v>
      </c>
      <c r="Y87" s="45" t="str">
        <f t="shared" si="88"/>
        <v>Mar-22F</v>
      </c>
      <c r="Z87" s="45" t="str">
        <f t="shared" si="88"/>
        <v>Apr-22F</v>
      </c>
      <c r="AA87" s="45" t="str">
        <f t="shared" si="88"/>
        <v>May-22F</v>
      </c>
      <c r="AB87" s="45" t="str">
        <f t="shared" si="88"/>
        <v>Jun-22F</v>
      </c>
      <c r="AC87" s="45" t="str">
        <f t="shared" si="88"/>
        <v>Jul-22F</v>
      </c>
      <c r="AD87" s="45" t="str">
        <f t="shared" si="88"/>
        <v>Aug-22F</v>
      </c>
      <c r="AE87" s="45" t="str">
        <f t="shared" si="88"/>
        <v>Sep-22F</v>
      </c>
      <c r="AF87" s="45" t="str">
        <f t="shared" si="88"/>
        <v>Oct-22F</v>
      </c>
      <c r="AG87" s="45" t="str">
        <f t="shared" si="88"/>
        <v>Nov-22F</v>
      </c>
      <c r="AH87" s="45" t="str">
        <f t="shared" si="88"/>
        <v>Dec-22F</v>
      </c>
      <c r="AJ87" s="45" t="str">
        <f ca="1">AJ$10</f>
        <v>Q3'20A</v>
      </c>
      <c r="AK87" s="45" t="str">
        <f t="shared" ref="AK87:AW87" ca="1" si="89">AK$10</f>
        <v>Q4'20A</v>
      </c>
      <c r="AL87" s="45" t="str">
        <f t="shared" ca="1" si="89"/>
        <v>Q1'21A</v>
      </c>
      <c r="AM87" s="46" t="str">
        <f t="shared" ca="1" si="89"/>
        <v>Q2'21A</v>
      </c>
      <c r="AN87" s="45" t="str">
        <f t="shared" ca="1" si="89"/>
        <v>Q3'21F</v>
      </c>
      <c r="AO87" s="45" t="str">
        <f t="shared" ca="1" si="89"/>
        <v>Q4'21F</v>
      </c>
      <c r="AP87" s="45" t="str">
        <f t="shared" ca="1" si="89"/>
        <v>Q1'22F</v>
      </c>
      <c r="AQ87" s="45" t="str">
        <f t="shared" ca="1" si="89"/>
        <v>Q2'22F</v>
      </c>
      <c r="AR87" s="45" t="str">
        <f t="shared" ca="1" si="89"/>
        <v>Q3'22F</v>
      </c>
      <c r="AS87" s="45" t="str">
        <f t="shared" ca="1" si="89"/>
        <v>Q4'22F</v>
      </c>
      <c r="AU87" s="45" t="str">
        <f t="shared" ca="1" si="89"/>
        <v>FY20</v>
      </c>
      <c r="AV87" s="45" t="str">
        <f t="shared" ca="1" si="89"/>
        <v>FY21</v>
      </c>
      <c r="AW87" s="45" t="str">
        <f t="shared" ca="1" si="89"/>
        <v>FY22</v>
      </c>
    </row>
    <row r="88" spans="3:49" x14ac:dyDescent="0.25">
      <c r="C88" s="1" t="s">
        <v>602</v>
      </c>
      <c r="D88" s="11"/>
      <c r="E88" s="195">
        <f>E55*1000000/E89</f>
        <v>42363.171776661038</v>
      </c>
      <c r="F88" s="252">
        <f t="shared" ref="F88:AH88" si="90">F55*1000000/F89</f>
        <v>33829.496067298314</v>
      </c>
      <c r="G88" s="252">
        <f t="shared" si="90"/>
        <v>32933.955944829351</v>
      </c>
      <c r="H88" s="252">
        <f t="shared" si="90"/>
        <v>33714.312250478353</v>
      </c>
      <c r="I88" s="252">
        <f t="shared" si="90"/>
        <v>34171.811588405944</v>
      </c>
      <c r="J88" s="252">
        <f t="shared" si="90"/>
        <v>47351.321361003094</v>
      </c>
      <c r="K88" s="252">
        <f t="shared" si="90"/>
        <v>39342.648672190364</v>
      </c>
      <c r="L88" s="252">
        <f t="shared" si="90"/>
        <v>34326.177543904938</v>
      </c>
      <c r="M88" s="252">
        <f t="shared" si="90"/>
        <v>34361.203515249443</v>
      </c>
      <c r="N88" s="252">
        <f t="shared" si="90"/>
        <v>47132.136601982231</v>
      </c>
      <c r="O88" s="252">
        <f t="shared" si="90"/>
        <v>46593.625358382887</v>
      </c>
      <c r="P88" s="253">
        <f t="shared" si="90"/>
        <v>49219.968198493814</v>
      </c>
      <c r="Q88" s="252">
        <f t="shared" si="90"/>
        <v>42786.692102878784</v>
      </c>
      <c r="R88" s="252">
        <f t="shared" si="90"/>
        <v>34761.52385909138</v>
      </c>
      <c r="S88" s="252">
        <f t="shared" si="90"/>
        <v>31841.369856463712</v>
      </c>
      <c r="T88" s="252">
        <f t="shared" si="90"/>
        <v>32368.264762127441</v>
      </c>
      <c r="U88" s="252">
        <f t="shared" si="90"/>
        <v>33155.963690792873</v>
      </c>
      <c r="V88" s="252">
        <f t="shared" si="90"/>
        <v>43606.375695324576</v>
      </c>
      <c r="W88" s="252">
        <f t="shared" si="90"/>
        <v>38258.071153328237</v>
      </c>
      <c r="X88" s="252">
        <f t="shared" si="90"/>
        <v>32909.425549938715</v>
      </c>
      <c r="Y88" s="252">
        <f t="shared" si="90"/>
        <v>32477.687959133436</v>
      </c>
      <c r="Z88" s="252">
        <f t="shared" si="90"/>
        <v>46506.214718828567</v>
      </c>
      <c r="AA88" s="252">
        <f t="shared" si="90"/>
        <v>43642.869575403369</v>
      </c>
      <c r="AB88" s="252">
        <f t="shared" si="90"/>
        <v>47518.246553241021</v>
      </c>
      <c r="AC88" s="252">
        <f t="shared" si="90"/>
        <v>42798.982213473195</v>
      </c>
      <c r="AD88" s="252">
        <f t="shared" si="90"/>
        <v>34928.065562964824</v>
      </c>
      <c r="AE88" s="252">
        <f t="shared" si="90"/>
        <v>33311.927958363412</v>
      </c>
      <c r="AF88" s="252">
        <f t="shared" si="90"/>
        <v>33931.941302868494</v>
      </c>
      <c r="AG88" s="252">
        <f t="shared" si="90"/>
        <v>34628.721816044359</v>
      </c>
      <c r="AH88" s="252">
        <f t="shared" si="90"/>
        <v>45537.477314834992</v>
      </c>
      <c r="AJ88" s="252">
        <f t="shared" ref="AJ88" ca="1" si="91">AJ55*1000000/AJ89</f>
        <v>109126.62378878871</v>
      </c>
      <c r="AK88" s="252">
        <f t="shared" ref="AK88" ca="1" si="92">AK55*1000000/AK89</f>
        <v>115237.44519988737</v>
      </c>
      <c r="AL88" s="252">
        <f t="shared" ref="AL88" ca="1" si="93">AL55*1000000/AL89</f>
        <v>108030.02973134477</v>
      </c>
      <c r="AM88" s="253">
        <f t="shared" ref="AM88" ca="1" si="94">AM55*1000000/AM89</f>
        <v>142945.73015885893</v>
      </c>
      <c r="AN88" s="252">
        <f t="shared" ref="AN88" ca="1" si="95">AN55*1000000/AN89</f>
        <v>106148.62929896142</v>
      </c>
      <c r="AO88" s="252">
        <f t="shared" ref="AO88" ca="1" si="96">AO55*1000000/AO89</f>
        <v>109253.02835021098</v>
      </c>
      <c r="AP88" s="252">
        <f t="shared" ref="AP88" ca="1" si="97">AP55*1000000/AP89</f>
        <v>103645.3859678474</v>
      </c>
      <c r="AQ88" s="252">
        <f t="shared" ref="AQ88" ca="1" si="98">AQ55*1000000/AQ89</f>
        <v>137667.23617228304</v>
      </c>
      <c r="AR88" s="252">
        <f t="shared" ref="AR88" ca="1" si="99">AR55*1000000/AR89</f>
        <v>111037.67504337951</v>
      </c>
      <c r="AS88" s="252">
        <f t="shared" ref="AS88" ca="1" si="100">AS55*1000000/AS89</f>
        <v>114098.91479537966</v>
      </c>
      <c r="AU88" s="252">
        <f t="shared" ref="AU88" ca="1" si="101">AU55*1000000/AU89</f>
        <v>224364.0689886761</v>
      </c>
      <c r="AV88" s="252">
        <f t="shared" ref="AV88" ca="1" si="102">AV55*1000000/AV89</f>
        <v>446307.33107451524</v>
      </c>
      <c r="AW88" s="252">
        <f t="shared" ref="AW88" ca="1" si="103">AW55*1000000/AW89</f>
        <v>465939.38028982241</v>
      </c>
    </row>
    <row r="89" spans="3:49" x14ac:dyDescent="0.25">
      <c r="C89" s="1" t="s">
        <v>556</v>
      </c>
      <c r="E89" s="279">
        <f>Headcount!E37</f>
        <v>25400</v>
      </c>
      <c r="F89" s="279">
        <f>Headcount!F37</f>
        <v>25400</v>
      </c>
      <c r="G89" s="279">
        <f>Headcount!G37</f>
        <v>25400</v>
      </c>
      <c r="H89" s="279">
        <f>Headcount!H37</f>
        <v>25400</v>
      </c>
      <c r="I89" s="279">
        <f>Headcount!I37</f>
        <v>25400</v>
      </c>
      <c r="J89" s="280">
        <f>Headcount!J37</f>
        <v>25400</v>
      </c>
      <c r="K89" s="279">
        <f>Headcount!K37</f>
        <v>25400</v>
      </c>
      <c r="L89" s="279">
        <f>Headcount!L37</f>
        <v>25400</v>
      </c>
      <c r="M89" s="279">
        <f>Headcount!M37</f>
        <v>25400</v>
      </c>
      <c r="N89" s="279">
        <f>Headcount!N37</f>
        <v>25400</v>
      </c>
      <c r="O89" s="279">
        <f>Headcount!O37</f>
        <v>25400</v>
      </c>
      <c r="P89" s="281">
        <f>Headcount!P37</f>
        <v>25400</v>
      </c>
      <c r="Q89" s="279">
        <f>Headcount!Q37</f>
        <v>26475.711518212811</v>
      </c>
      <c r="R89" s="279">
        <f>Headcount!R37</f>
        <v>26589.452667623795</v>
      </c>
      <c r="S89" s="279">
        <f>Headcount!S37</f>
        <v>27683.674861297684</v>
      </c>
      <c r="T89" s="279">
        <f>Headcount!T37</f>
        <v>27735.977045445245</v>
      </c>
      <c r="U89" s="279">
        <f>Headcount!U37</f>
        <v>27631.839130318491</v>
      </c>
      <c r="V89" s="279">
        <f>Headcount!V37</f>
        <v>27631.655689955602</v>
      </c>
      <c r="W89" s="279">
        <f>Headcount!W37</f>
        <v>27631.584735614422</v>
      </c>
      <c r="X89" s="279">
        <f>Headcount!X37</f>
        <v>27631.519808884139</v>
      </c>
      <c r="Y89" s="279">
        <f>Headcount!Y37</f>
        <v>27631.476553248984</v>
      </c>
      <c r="Z89" s="279">
        <f>Headcount!Z37</f>
        <v>27631.62658574868</v>
      </c>
      <c r="AA89" s="279">
        <f>Headcount!AA37</f>
        <v>27631.399102034586</v>
      </c>
      <c r="AB89" s="279">
        <f>Headcount!AB37</f>
        <v>27631.54547543783</v>
      </c>
      <c r="AC89" s="279">
        <f>Headcount!AC37</f>
        <v>27689.045270989893</v>
      </c>
      <c r="AD89" s="279">
        <f>Headcount!AD37</f>
        <v>27689.61997937804</v>
      </c>
      <c r="AE89" s="279">
        <f>Headcount!AE37</f>
        <v>27689.766889733095</v>
      </c>
      <c r="AF89" s="279">
        <f>Headcount!AF37</f>
        <v>27690.179997665546</v>
      </c>
      <c r="AG89" s="279">
        <f>Headcount!AG37</f>
        <v>27690.321259523917</v>
      </c>
      <c r="AH89" s="279">
        <f>Headcount!AH37</f>
        <v>27689.938601102407</v>
      </c>
      <c r="AJ89" s="83" cm="1">
        <f t="array" aca="1" ref="AJ89" ca="1">INDEX($E89:$AH89,1,MATCH(AJ$3&amp;AJ$4&amp;AJ$5&amp;AJ$6,$E$3:$AH$3&amp;$E$4:$AH$4&amp;$E$5:$AH$5&amp;$E$6:$AH$6,1))</f>
        <v>25400</v>
      </c>
      <c r="AK89" s="83" cm="1">
        <f t="array" aca="1" ref="AK89" ca="1">INDEX($E89:$AH89,1,MATCH(AK$3&amp;AK$4&amp;AK$5&amp;AK$6,$E$3:$AH$3&amp;$E$4:$AH$4&amp;$E$5:$AH$5&amp;$E$6:$AH$6,1))</f>
        <v>25400</v>
      </c>
      <c r="AL89" s="83" cm="1">
        <f t="array" aca="1" ref="AL89" ca="1">INDEX($E89:$AH89,1,MATCH(AL$3&amp;AL$4&amp;AL$5&amp;AL$6,$E$3:$AH$3&amp;$E$4:$AH$4&amp;$E$5:$AH$5&amp;$E$6:$AH$6,1))</f>
        <v>25400</v>
      </c>
      <c r="AM89" s="158" cm="1">
        <f t="array" aca="1" ref="AM89" ca="1">INDEX($E89:$AH89,1,MATCH(AM$3&amp;AM$4&amp;AM$5&amp;AM$6,$E$3:$AH$3&amp;$E$4:$AH$4&amp;$E$5:$AH$5&amp;$E$6:$AH$6,1))</f>
        <v>25400</v>
      </c>
      <c r="AN89" s="83" cm="1">
        <f t="array" aca="1" ref="AN89" ca="1">INDEX($E89:$AH89,1,MATCH(AN$3&amp;AN$4&amp;AN$5&amp;AN$6,$E$3:$AH$3&amp;$E$4:$AH$4&amp;$E$5:$AH$5&amp;$E$6:$AH$6,1))</f>
        <v>27683.674861297684</v>
      </c>
      <c r="AO89" s="83" cm="1">
        <f t="array" aca="1" ref="AO89" ca="1">INDEX($E89:$AH89,1,MATCH(AO$3&amp;AO$4&amp;AO$5&amp;AO$6,$E$3:$AH$3&amp;$E$4:$AH$4&amp;$E$5:$AH$5&amp;$E$6:$AH$6,1))</f>
        <v>27631.655689955602</v>
      </c>
      <c r="AP89" s="83" cm="1">
        <f t="array" aca="1" ref="AP89" ca="1">INDEX($E89:$AH89,1,MATCH(AP$3&amp;AP$4&amp;AP$5&amp;AP$6,$E$3:$AH$3&amp;$E$4:$AH$4&amp;$E$5:$AH$5&amp;$E$6:$AH$6,1))</f>
        <v>27631.476553248984</v>
      </c>
      <c r="AQ89" s="83" cm="1">
        <f t="array" aca="1" ref="AQ89" ca="1">INDEX($E89:$AH89,1,MATCH(AQ$3&amp;AQ$4&amp;AQ$5&amp;AQ$6,$E$3:$AH$3&amp;$E$4:$AH$4&amp;$E$5:$AH$5&amp;$E$6:$AH$6,1))</f>
        <v>27631.54547543783</v>
      </c>
      <c r="AR89" s="83" cm="1">
        <f t="array" aca="1" ref="AR89" ca="1">INDEX($E89:$AH89,1,MATCH(AR$3&amp;AR$4&amp;AR$5&amp;AR$6,$E$3:$AH$3&amp;$E$4:$AH$4&amp;$E$5:$AH$5&amp;$E$6:$AH$6,1))</f>
        <v>27689.766889733095</v>
      </c>
      <c r="AS89" s="83" cm="1">
        <f t="array" aca="1" ref="AS89" ca="1">INDEX($E89:$AH89,1,MATCH(AS$3&amp;AS$4&amp;AS$5&amp;AS$6,$E$3:$AH$3&amp;$E$4:$AH$4&amp;$E$5:$AH$5&amp;$E$6:$AH$6,1))</f>
        <v>27689.938601102407</v>
      </c>
      <c r="AT89" s="83"/>
      <c r="AU89" s="83">
        <f ca="1">INDEX($E89:$AH89,MATCH(AU$5,$E$5:$AH$5,1))</f>
        <v>25400</v>
      </c>
      <c r="AV89" s="83">
        <f t="shared" ref="AV89:AW89" ca="1" si="104">INDEX($E89:$AH89,MATCH(AV$5,$E$5:$AH$5,1))</f>
        <v>27631.655689955602</v>
      </c>
      <c r="AW89" s="83">
        <f t="shared" ca="1" si="104"/>
        <v>27689.938601102407</v>
      </c>
    </row>
    <row r="90" spans="3:49" x14ac:dyDescent="0.25">
      <c r="C90" s="1"/>
      <c r="E90" s="279"/>
      <c r="F90" s="279"/>
      <c r="G90" s="279"/>
      <c r="H90" s="279"/>
      <c r="I90" s="279"/>
      <c r="J90" s="280"/>
      <c r="K90" s="279"/>
      <c r="L90" s="279"/>
      <c r="M90" s="279"/>
      <c r="N90" s="279"/>
      <c r="O90" s="279"/>
      <c r="P90" s="281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  <c r="AB90" s="279"/>
      <c r="AC90" s="279"/>
      <c r="AD90" s="279"/>
      <c r="AE90" s="279"/>
      <c r="AF90" s="279"/>
      <c r="AG90" s="279"/>
      <c r="AH90" s="279"/>
    </row>
    <row r="91" spans="3:49" x14ac:dyDescent="0.25">
      <c r="P91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6097-37D5-4B33-85A1-9345D0E160E9}">
  <sheetPr>
    <tabColor theme="9"/>
  </sheetPr>
  <dimension ref="A3:AH58"/>
  <sheetViews>
    <sheetView showGridLines="0" tabSelected="1" zoomScale="85" zoomScaleNormal="85" workbookViewId="0">
      <pane xSplit="3" ySplit="10" topLeftCell="D30" activePane="bottomRight" state="frozen"/>
      <selection activeCell="J8" sqref="J8"/>
      <selection pane="topRight" activeCell="J8" sqref="J8"/>
      <selection pane="bottomLeft" activeCell="J8" sqref="J8"/>
      <selection pane="bottomRight" activeCell="D58" sqref="D58"/>
    </sheetView>
  </sheetViews>
  <sheetFormatPr defaultRowHeight="15" outlineLevelRow="1" outlineLevelCol="1" x14ac:dyDescent="0.25"/>
  <cols>
    <col min="1" max="2" width="2.5703125" customWidth="1"/>
    <col min="3" max="3" width="40.42578125" bestFit="1" customWidth="1"/>
    <col min="4" max="4" width="2.5703125" customWidth="1"/>
    <col min="5" max="10" width="11.85546875" bestFit="1" customWidth="1" outlineLevel="1"/>
    <col min="11" max="28" width="11.85546875" bestFit="1" customWidth="1"/>
    <col min="29" max="34" width="11.85546875" bestFit="1" customWidth="1" outlineLevel="1"/>
    <col min="35" max="35" width="2.5703125" customWidth="1"/>
  </cols>
  <sheetData>
    <row r="3" spans="1:34" outlineLevel="1" x14ac:dyDescent="0.25">
      <c r="C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s="8" t="s">
        <v>14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</row>
    <row r="4" spans="1:34" outlineLevel="1" x14ac:dyDescent="0.25">
      <c r="C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s="8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</row>
    <row r="5" spans="1:34" outlineLevel="1" x14ac:dyDescent="0.25">
      <c r="C5" t="s">
        <v>11</v>
      </c>
      <c r="E5" s="5">
        <f t="shared" ref="E5:AH5" si="0">YEAR(E8)</f>
        <v>2020</v>
      </c>
      <c r="F5" s="5">
        <f t="shared" si="0"/>
        <v>2020</v>
      </c>
      <c r="G5" s="5">
        <f t="shared" si="0"/>
        <v>2020</v>
      </c>
      <c r="H5" s="5">
        <f t="shared" si="0"/>
        <v>2020</v>
      </c>
      <c r="I5" s="5">
        <f t="shared" si="0"/>
        <v>2020</v>
      </c>
      <c r="J5" s="5">
        <f t="shared" si="0"/>
        <v>2020</v>
      </c>
      <c r="K5" s="5">
        <f t="shared" si="0"/>
        <v>2021</v>
      </c>
      <c r="L5" s="5">
        <f t="shared" si="0"/>
        <v>2021</v>
      </c>
      <c r="M5" s="5">
        <f t="shared" si="0"/>
        <v>2021</v>
      </c>
      <c r="N5" s="5">
        <f t="shared" si="0"/>
        <v>2021</v>
      </c>
      <c r="O5" s="5">
        <f t="shared" si="0"/>
        <v>2021</v>
      </c>
      <c r="P5" s="9">
        <f t="shared" si="0"/>
        <v>2021</v>
      </c>
      <c r="Q5" s="5">
        <f t="shared" si="0"/>
        <v>2021</v>
      </c>
      <c r="R5" s="5">
        <f t="shared" si="0"/>
        <v>2021</v>
      </c>
      <c r="S5" s="5">
        <f t="shared" si="0"/>
        <v>2021</v>
      </c>
      <c r="T5" s="5">
        <f t="shared" si="0"/>
        <v>2021</v>
      </c>
      <c r="U5" s="5">
        <f t="shared" si="0"/>
        <v>2021</v>
      </c>
      <c r="V5" s="5">
        <f t="shared" si="0"/>
        <v>2021</v>
      </c>
      <c r="W5" s="5">
        <f t="shared" si="0"/>
        <v>2022</v>
      </c>
      <c r="X5" s="5">
        <f t="shared" si="0"/>
        <v>2022</v>
      </c>
      <c r="Y5" s="5">
        <f t="shared" si="0"/>
        <v>2022</v>
      </c>
      <c r="Z5" s="5">
        <f t="shared" si="0"/>
        <v>2022</v>
      </c>
      <c r="AA5" s="5">
        <f t="shared" si="0"/>
        <v>2022</v>
      </c>
      <c r="AB5" s="5">
        <f t="shared" si="0"/>
        <v>2022</v>
      </c>
      <c r="AC5" s="5">
        <f t="shared" si="0"/>
        <v>2022</v>
      </c>
      <c r="AD5" s="5">
        <f t="shared" si="0"/>
        <v>2022</v>
      </c>
      <c r="AE5" s="5">
        <f t="shared" si="0"/>
        <v>2022</v>
      </c>
      <c r="AF5" s="5">
        <f t="shared" si="0"/>
        <v>2022</v>
      </c>
      <c r="AG5" s="5">
        <f t="shared" si="0"/>
        <v>2022</v>
      </c>
      <c r="AH5" s="5">
        <f t="shared" si="0"/>
        <v>2022</v>
      </c>
    </row>
    <row r="6" spans="1:34" outlineLevel="1" x14ac:dyDescent="0.25">
      <c r="C6" t="s">
        <v>10</v>
      </c>
      <c r="E6" s="5" t="str">
        <f t="shared" ref="E6:AH6" si="1">"Q"&amp;ROUNDUP(E7/3,0)</f>
        <v>Q3</v>
      </c>
      <c r="F6" s="5" t="str">
        <f t="shared" si="1"/>
        <v>Q3</v>
      </c>
      <c r="G6" s="5" t="str">
        <f t="shared" si="1"/>
        <v>Q3</v>
      </c>
      <c r="H6" s="5" t="str">
        <f t="shared" si="1"/>
        <v>Q4</v>
      </c>
      <c r="I6" s="5" t="str">
        <f t="shared" si="1"/>
        <v>Q4</v>
      </c>
      <c r="J6" s="5" t="str">
        <f t="shared" si="1"/>
        <v>Q4</v>
      </c>
      <c r="K6" s="5" t="str">
        <f t="shared" si="1"/>
        <v>Q1</v>
      </c>
      <c r="L6" s="5" t="str">
        <f t="shared" si="1"/>
        <v>Q1</v>
      </c>
      <c r="M6" s="5" t="str">
        <f t="shared" si="1"/>
        <v>Q1</v>
      </c>
      <c r="N6" s="5" t="str">
        <f t="shared" si="1"/>
        <v>Q2</v>
      </c>
      <c r="O6" s="5" t="str">
        <f t="shared" si="1"/>
        <v>Q2</v>
      </c>
      <c r="P6" s="9" t="str">
        <f t="shared" si="1"/>
        <v>Q2</v>
      </c>
      <c r="Q6" s="5" t="str">
        <f t="shared" si="1"/>
        <v>Q3</v>
      </c>
      <c r="R6" s="5" t="str">
        <f t="shared" si="1"/>
        <v>Q3</v>
      </c>
      <c r="S6" s="5" t="str">
        <f t="shared" si="1"/>
        <v>Q3</v>
      </c>
      <c r="T6" s="5" t="str">
        <f t="shared" si="1"/>
        <v>Q4</v>
      </c>
      <c r="U6" s="5" t="str">
        <f t="shared" si="1"/>
        <v>Q4</v>
      </c>
      <c r="V6" s="5" t="str">
        <f t="shared" si="1"/>
        <v>Q4</v>
      </c>
      <c r="W6" s="5" t="str">
        <f t="shared" si="1"/>
        <v>Q1</v>
      </c>
      <c r="X6" s="5" t="str">
        <f t="shared" si="1"/>
        <v>Q1</v>
      </c>
      <c r="Y6" s="5" t="str">
        <f t="shared" si="1"/>
        <v>Q1</v>
      </c>
      <c r="Z6" s="5" t="str">
        <f t="shared" si="1"/>
        <v>Q2</v>
      </c>
      <c r="AA6" s="5" t="str">
        <f t="shared" si="1"/>
        <v>Q2</v>
      </c>
      <c r="AB6" s="5" t="str">
        <f t="shared" si="1"/>
        <v>Q2</v>
      </c>
      <c r="AC6" s="5" t="str">
        <f t="shared" si="1"/>
        <v>Q3</v>
      </c>
      <c r="AD6" s="5" t="str">
        <f t="shared" si="1"/>
        <v>Q3</v>
      </c>
      <c r="AE6" s="5" t="str">
        <f t="shared" si="1"/>
        <v>Q3</v>
      </c>
      <c r="AF6" s="5" t="str">
        <f t="shared" si="1"/>
        <v>Q4</v>
      </c>
      <c r="AG6" s="5" t="str">
        <f t="shared" si="1"/>
        <v>Q4</v>
      </c>
      <c r="AH6" s="5" t="str">
        <f t="shared" si="1"/>
        <v>Q4</v>
      </c>
    </row>
    <row r="7" spans="1:34" outlineLevel="1" x14ac:dyDescent="0.25">
      <c r="C7" t="s">
        <v>12</v>
      </c>
      <c r="E7" s="5">
        <f t="shared" ref="E7:AH7" si="2">MONTH(E8)</f>
        <v>7</v>
      </c>
      <c r="F7" s="5">
        <f t="shared" si="2"/>
        <v>8</v>
      </c>
      <c r="G7" s="5">
        <f t="shared" si="2"/>
        <v>9</v>
      </c>
      <c r="H7" s="5">
        <f t="shared" si="2"/>
        <v>10</v>
      </c>
      <c r="I7" s="5">
        <f t="shared" si="2"/>
        <v>11</v>
      </c>
      <c r="J7" s="5">
        <f t="shared" si="2"/>
        <v>12</v>
      </c>
      <c r="K7" s="5">
        <f t="shared" si="2"/>
        <v>1</v>
      </c>
      <c r="L7" s="5">
        <f t="shared" si="2"/>
        <v>2</v>
      </c>
      <c r="M7" s="5">
        <f t="shared" si="2"/>
        <v>3</v>
      </c>
      <c r="N7" s="5">
        <f t="shared" si="2"/>
        <v>4</v>
      </c>
      <c r="O7" s="5">
        <f t="shared" si="2"/>
        <v>5</v>
      </c>
      <c r="P7" s="9">
        <f t="shared" si="2"/>
        <v>6</v>
      </c>
      <c r="Q7" s="5">
        <f t="shared" si="2"/>
        <v>7</v>
      </c>
      <c r="R7" s="5">
        <f t="shared" si="2"/>
        <v>8</v>
      </c>
      <c r="S7" s="5">
        <f t="shared" si="2"/>
        <v>9</v>
      </c>
      <c r="T7" s="5">
        <f t="shared" si="2"/>
        <v>10</v>
      </c>
      <c r="U7" s="5">
        <f t="shared" si="2"/>
        <v>11</v>
      </c>
      <c r="V7" s="5">
        <f t="shared" si="2"/>
        <v>12</v>
      </c>
      <c r="W7" s="5">
        <f t="shared" si="2"/>
        <v>1</v>
      </c>
      <c r="X7" s="5">
        <f t="shared" si="2"/>
        <v>2</v>
      </c>
      <c r="Y7" s="5">
        <f t="shared" si="2"/>
        <v>3</v>
      </c>
      <c r="Z7" s="5">
        <f t="shared" si="2"/>
        <v>4</v>
      </c>
      <c r="AA7" s="5">
        <f t="shared" si="2"/>
        <v>5</v>
      </c>
      <c r="AB7" s="5">
        <f t="shared" si="2"/>
        <v>6</v>
      </c>
      <c r="AC7" s="5">
        <f t="shared" si="2"/>
        <v>7</v>
      </c>
      <c r="AD7" s="5">
        <f t="shared" si="2"/>
        <v>8</v>
      </c>
      <c r="AE7" s="5">
        <f t="shared" si="2"/>
        <v>9</v>
      </c>
      <c r="AF7" s="5">
        <f t="shared" si="2"/>
        <v>10</v>
      </c>
      <c r="AG7" s="5">
        <f t="shared" si="2"/>
        <v>11</v>
      </c>
      <c r="AH7" s="5">
        <f t="shared" si="2"/>
        <v>12</v>
      </c>
    </row>
    <row r="8" spans="1:34" outlineLevel="1" x14ac:dyDescent="0.25">
      <c r="C8" t="s">
        <v>9</v>
      </c>
      <c r="E8" s="6">
        <v>44043</v>
      </c>
      <c r="F8" s="7">
        <f t="shared" ref="F8:AH8" si="3">EOMONTH(E8,1)</f>
        <v>44074</v>
      </c>
      <c r="G8" s="7">
        <f t="shared" si="3"/>
        <v>44104</v>
      </c>
      <c r="H8" s="7">
        <f t="shared" si="3"/>
        <v>44135</v>
      </c>
      <c r="I8" s="7">
        <f t="shared" si="3"/>
        <v>44165</v>
      </c>
      <c r="J8" s="7">
        <f t="shared" si="3"/>
        <v>44196</v>
      </c>
      <c r="K8" s="7">
        <f t="shared" si="3"/>
        <v>44227</v>
      </c>
      <c r="L8" s="7">
        <f t="shared" si="3"/>
        <v>44255</v>
      </c>
      <c r="M8" s="7">
        <f t="shared" si="3"/>
        <v>44286</v>
      </c>
      <c r="N8" s="7">
        <f t="shared" si="3"/>
        <v>44316</v>
      </c>
      <c r="O8" s="7">
        <f t="shared" si="3"/>
        <v>44347</v>
      </c>
      <c r="P8" s="10">
        <f t="shared" si="3"/>
        <v>44377</v>
      </c>
      <c r="Q8" s="7">
        <f t="shared" si="3"/>
        <v>44408</v>
      </c>
      <c r="R8" s="7">
        <f t="shared" si="3"/>
        <v>44439</v>
      </c>
      <c r="S8" s="7">
        <f t="shared" si="3"/>
        <v>44469</v>
      </c>
      <c r="T8" s="7">
        <f t="shared" si="3"/>
        <v>44500</v>
      </c>
      <c r="U8" s="7">
        <f t="shared" si="3"/>
        <v>44530</v>
      </c>
      <c r="V8" s="7">
        <f t="shared" si="3"/>
        <v>44561</v>
      </c>
      <c r="W8" s="7">
        <f t="shared" si="3"/>
        <v>44592</v>
      </c>
      <c r="X8" s="7">
        <f t="shared" si="3"/>
        <v>44620</v>
      </c>
      <c r="Y8" s="7">
        <f t="shared" si="3"/>
        <v>44651</v>
      </c>
      <c r="Z8" s="7">
        <f t="shared" si="3"/>
        <v>44681</v>
      </c>
      <c r="AA8" s="7">
        <f t="shared" si="3"/>
        <v>44712</v>
      </c>
      <c r="AB8" s="7">
        <f t="shared" si="3"/>
        <v>44742</v>
      </c>
      <c r="AC8" s="7">
        <f t="shared" si="3"/>
        <v>44773</v>
      </c>
      <c r="AD8" s="7">
        <f t="shared" si="3"/>
        <v>44804</v>
      </c>
      <c r="AE8" s="7">
        <f t="shared" si="3"/>
        <v>44834</v>
      </c>
      <c r="AF8" s="7">
        <f t="shared" si="3"/>
        <v>44865</v>
      </c>
      <c r="AG8" s="7">
        <f t="shared" si="3"/>
        <v>44895</v>
      </c>
      <c r="AH8" s="7">
        <f t="shared" si="3"/>
        <v>44926</v>
      </c>
    </row>
    <row r="9" spans="1:34" outlineLevel="1" x14ac:dyDescent="0.25">
      <c r="C9" t="s">
        <v>17</v>
      </c>
      <c r="E9" s="5" t="str">
        <f t="shared" ref="E9:AH9" si="4">TEXT(E8,"mmm-yy")&amp;LEFT(E3,1)</f>
        <v>Jul-20A</v>
      </c>
      <c r="F9" s="5" t="str">
        <f t="shared" si="4"/>
        <v>Aug-20A</v>
      </c>
      <c r="G9" s="5" t="str">
        <f t="shared" si="4"/>
        <v>Sep-20A</v>
      </c>
      <c r="H9" s="5" t="str">
        <f t="shared" si="4"/>
        <v>Oct-20A</v>
      </c>
      <c r="I9" s="5" t="str">
        <f t="shared" si="4"/>
        <v>Nov-20A</v>
      </c>
      <c r="J9" s="5" t="str">
        <f t="shared" si="4"/>
        <v>Dec-20A</v>
      </c>
      <c r="K9" s="5" t="str">
        <f t="shared" si="4"/>
        <v>Jan-21A</v>
      </c>
      <c r="L9" s="5" t="str">
        <f t="shared" si="4"/>
        <v>Feb-21A</v>
      </c>
      <c r="M9" s="5" t="str">
        <f t="shared" si="4"/>
        <v>Mar-21A</v>
      </c>
      <c r="N9" s="5" t="str">
        <f t="shared" si="4"/>
        <v>Apr-21A</v>
      </c>
      <c r="O9" s="5" t="str">
        <f t="shared" si="4"/>
        <v>May-21A</v>
      </c>
      <c r="P9" s="9" t="str">
        <f t="shared" si="4"/>
        <v>Jun-21A</v>
      </c>
      <c r="Q9" s="5" t="str">
        <f t="shared" si="4"/>
        <v>Jul-21F</v>
      </c>
      <c r="R9" s="5" t="str">
        <f t="shared" si="4"/>
        <v>Aug-21F</v>
      </c>
      <c r="S9" s="5" t="str">
        <f t="shared" si="4"/>
        <v>Sep-21F</v>
      </c>
      <c r="T9" s="5" t="str">
        <f t="shared" si="4"/>
        <v>Oct-21F</v>
      </c>
      <c r="U9" s="5" t="str">
        <f t="shared" si="4"/>
        <v>Nov-21F</v>
      </c>
      <c r="V9" s="5" t="str">
        <f t="shared" si="4"/>
        <v>Dec-21F</v>
      </c>
      <c r="W9" s="5" t="str">
        <f t="shared" si="4"/>
        <v>Jan-22F</v>
      </c>
      <c r="X9" s="5" t="str">
        <f t="shared" si="4"/>
        <v>Feb-22F</v>
      </c>
      <c r="Y9" s="5" t="str">
        <f t="shared" si="4"/>
        <v>Mar-22F</v>
      </c>
      <c r="Z9" s="5" t="str">
        <f t="shared" si="4"/>
        <v>Apr-22F</v>
      </c>
      <c r="AA9" s="5" t="str">
        <f t="shared" si="4"/>
        <v>May-22F</v>
      </c>
      <c r="AB9" s="5" t="str">
        <f t="shared" si="4"/>
        <v>Jun-22F</v>
      </c>
      <c r="AC9" s="5" t="str">
        <f t="shared" si="4"/>
        <v>Jul-22F</v>
      </c>
      <c r="AD9" s="5" t="str">
        <f t="shared" si="4"/>
        <v>Aug-22F</v>
      </c>
      <c r="AE9" s="5" t="str">
        <f t="shared" si="4"/>
        <v>Sep-22F</v>
      </c>
      <c r="AF9" s="5" t="str">
        <f t="shared" si="4"/>
        <v>Oct-22F</v>
      </c>
      <c r="AG9" s="5" t="str">
        <f t="shared" si="4"/>
        <v>Nov-22F</v>
      </c>
      <c r="AH9" s="5" t="str">
        <f t="shared" si="4"/>
        <v>Dec-22F</v>
      </c>
    </row>
    <row r="10" spans="1:34" x14ac:dyDescent="0.25">
      <c r="E10" s="43" t="str">
        <f t="shared" ref="E10:AH10" si="5">E$9</f>
        <v>Jul-20A</v>
      </c>
      <c r="F10" s="43" t="str">
        <f t="shared" si="5"/>
        <v>Aug-20A</v>
      </c>
      <c r="G10" s="43" t="str">
        <f t="shared" si="5"/>
        <v>Sep-20A</v>
      </c>
      <c r="H10" s="43" t="str">
        <f t="shared" si="5"/>
        <v>Oct-20A</v>
      </c>
      <c r="I10" s="43" t="str">
        <f t="shared" si="5"/>
        <v>Nov-20A</v>
      </c>
      <c r="J10" s="43" t="str">
        <f t="shared" si="5"/>
        <v>Dec-20A</v>
      </c>
      <c r="K10" s="43" t="str">
        <f t="shared" si="5"/>
        <v>Jan-21A</v>
      </c>
      <c r="L10" s="43" t="str">
        <f t="shared" si="5"/>
        <v>Feb-21A</v>
      </c>
      <c r="M10" s="43" t="str">
        <f t="shared" si="5"/>
        <v>Mar-21A</v>
      </c>
      <c r="N10" s="43" t="str">
        <f t="shared" si="5"/>
        <v>Apr-21A</v>
      </c>
      <c r="O10" s="43" t="str">
        <f t="shared" si="5"/>
        <v>May-21A</v>
      </c>
      <c r="P10" s="44" t="str">
        <f t="shared" si="5"/>
        <v>Jun-21A</v>
      </c>
      <c r="Q10" s="43" t="str">
        <f t="shared" si="5"/>
        <v>Jul-21F</v>
      </c>
      <c r="R10" s="43" t="str">
        <f t="shared" si="5"/>
        <v>Aug-21F</v>
      </c>
      <c r="S10" s="43" t="str">
        <f t="shared" si="5"/>
        <v>Sep-21F</v>
      </c>
      <c r="T10" s="43" t="str">
        <f t="shared" si="5"/>
        <v>Oct-21F</v>
      </c>
      <c r="U10" s="43" t="str">
        <f t="shared" si="5"/>
        <v>Nov-21F</v>
      </c>
      <c r="V10" s="43" t="str">
        <f t="shared" si="5"/>
        <v>Dec-21F</v>
      </c>
      <c r="W10" s="43" t="str">
        <f t="shared" si="5"/>
        <v>Jan-22F</v>
      </c>
      <c r="X10" s="43" t="str">
        <f t="shared" si="5"/>
        <v>Feb-22F</v>
      </c>
      <c r="Y10" s="43" t="str">
        <f t="shared" si="5"/>
        <v>Mar-22F</v>
      </c>
      <c r="Z10" s="43" t="str">
        <f t="shared" si="5"/>
        <v>Apr-22F</v>
      </c>
      <c r="AA10" s="43" t="str">
        <f t="shared" si="5"/>
        <v>May-22F</v>
      </c>
      <c r="AB10" s="43" t="str">
        <f t="shared" si="5"/>
        <v>Jun-22F</v>
      </c>
      <c r="AC10" s="43" t="str">
        <f t="shared" si="5"/>
        <v>Jul-22F</v>
      </c>
      <c r="AD10" s="43" t="str">
        <f t="shared" si="5"/>
        <v>Aug-22F</v>
      </c>
      <c r="AE10" s="43" t="str">
        <f t="shared" si="5"/>
        <v>Sep-22F</v>
      </c>
      <c r="AF10" s="43" t="str">
        <f t="shared" si="5"/>
        <v>Oct-22F</v>
      </c>
      <c r="AG10" s="43" t="str">
        <f t="shared" si="5"/>
        <v>Nov-22F</v>
      </c>
      <c r="AH10" s="43" t="str">
        <f t="shared" si="5"/>
        <v>Dec-22F</v>
      </c>
    </row>
    <row r="11" spans="1:34" x14ac:dyDescent="0.25"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34" ht="18.75" x14ac:dyDescent="0.3">
      <c r="A12" t="s">
        <v>231</v>
      </c>
      <c r="B12" t="s">
        <v>231</v>
      </c>
      <c r="C12" s="181" t="s">
        <v>517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ht="18.75" x14ac:dyDescent="0.3">
      <c r="C13" s="182" t="s">
        <v>54</v>
      </c>
      <c r="D13" s="179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</row>
    <row r="14" spans="1:34" x14ac:dyDescent="0.25">
      <c r="C14" s="30"/>
      <c r="D14" s="30"/>
      <c r="E14" s="45" t="str">
        <f t="shared" ref="E14:AH14" si="6">E$9</f>
        <v>Jul-20A</v>
      </c>
      <c r="F14" s="45" t="str">
        <f t="shared" si="6"/>
        <v>Aug-20A</v>
      </c>
      <c r="G14" s="45" t="str">
        <f t="shared" si="6"/>
        <v>Sep-20A</v>
      </c>
      <c r="H14" s="45" t="str">
        <f t="shared" si="6"/>
        <v>Oct-20A</v>
      </c>
      <c r="I14" s="45" t="str">
        <f t="shared" si="6"/>
        <v>Nov-20A</v>
      </c>
      <c r="J14" s="45" t="str">
        <f t="shared" si="6"/>
        <v>Dec-20A</v>
      </c>
      <c r="K14" s="45" t="str">
        <f t="shared" si="6"/>
        <v>Jan-21A</v>
      </c>
      <c r="L14" s="45" t="str">
        <f t="shared" si="6"/>
        <v>Feb-21A</v>
      </c>
      <c r="M14" s="45" t="str">
        <f t="shared" si="6"/>
        <v>Mar-21A</v>
      </c>
      <c r="N14" s="45" t="str">
        <f t="shared" si="6"/>
        <v>Apr-21A</v>
      </c>
      <c r="O14" s="45" t="str">
        <f t="shared" si="6"/>
        <v>May-21A</v>
      </c>
      <c r="P14" s="46" t="str">
        <f t="shared" si="6"/>
        <v>Jun-21A</v>
      </c>
      <c r="Q14" s="45" t="str">
        <f t="shared" si="6"/>
        <v>Jul-21F</v>
      </c>
      <c r="R14" s="45" t="str">
        <f t="shared" si="6"/>
        <v>Aug-21F</v>
      </c>
      <c r="S14" s="45" t="str">
        <f t="shared" si="6"/>
        <v>Sep-21F</v>
      </c>
      <c r="T14" s="45" t="str">
        <f t="shared" si="6"/>
        <v>Oct-21F</v>
      </c>
      <c r="U14" s="45" t="str">
        <f t="shared" si="6"/>
        <v>Nov-21F</v>
      </c>
      <c r="V14" s="45" t="str">
        <f t="shared" si="6"/>
        <v>Dec-21F</v>
      </c>
      <c r="W14" s="45" t="str">
        <f t="shared" si="6"/>
        <v>Jan-22F</v>
      </c>
      <c r="X14" s="45" t="str">
        <f t="shared" si="6"/>
        <v>Feb-22F</v>
      </c>
      <c r="Y14" s="45" t="str">
        <f t="shared" si="6"/>
        <v>Mar-22F</v>
      </c>
      <c r="Z14" s="45" t="str">
        <f t="shared" si="6"/>
        <v>Apr-22F</v>
      </c>
      <c r="AA14" s="45" t="str">
        <f t="shared" si="6"/>
        <v>May-22F</v>
      </c>
      <c r="AB14" s="45" t="str">
        <f t="shared" si="6"/>
        <v>Jun-22F</v>
      </c>
      <c r="AC14" s="45" t="str">
        <f t="shared" si="6"/>
        <v>Jul-22F</v>
      </c>
      <c r="AD14" s="45" t="str">
        <f t="shared" si="6"/>
        <v>Aug-22F</v>
      </c>
      <c r="AE14" s="45" t="str">
        <f t="shared" si="6"/>
        <v>Sep-22F</v>
      </c>
      <c r="AF14" s="45" t="str">
        <f t="shared" si="6"/>
        <v>Oct-22F</v>
      </c>
      <c r="AG14" s="45" t="str">
        <f t="shared" si="6"/>
        <v>Nov-22F</v>
      </c>
      <c r="AH14" s="45" t="str">
        <f t="shared" si="6"/>
        <v>Dec-22F</v>
      </c>
    </row>
    <row r="15" spans="1:34" x14ac:dyDescent="0.25">
      <c r="C15" s="1" t="s">
        <v>604</v>
      </c>
      <c r="D15" s="11"/>
      <c r="E15" s="304">
        <f>Revenue!E72</f>
        <v>4877.2527534301125</v>
      </c>
      <c r="F15" s="304">
        <f>Revenue!F72</f>
        <v>4583.7702769180887</v>
      </c>
      <c r="G15" s="304">
        <f>Revenue!G72</f>
        <v>3739.3567329588413</v>
      </c>
      <c r="H15" s="304">
        <f>Revenue!H72</f>
        <v>4462.3931097910117</v>
      </c>
      <c r="I15" s="304">
        <f>Revenue!I72</f>
        <v>3598.0357694300228</v>
      </c>
      <c r="J15" s="304">
        <f>Revenue!J72</f>
        <v>3539.7568240696037</v>
      </c>
      <c r="K15" s="304">
        <f>Revenue!K72</f>
        <v>5150.2147303921283</v>
      </c>
      <c r="L15" s="304">
        <f>Revenue!L72</f>
        <v>4745.5823432210127</v>
      </c>
      <c r="M15" s="304">
        <f>Revenue!M72</f>
        <v>4062.177145539003</v>
      </c>
      <c r="N15" s="304">
        <f>Revenue!N72</f>
        <v>4318.8117912158823</v>
      </c>
      <c r="O15" s="304">
        <f>Revenue!O72</f>
        <v>3855.632797846843</v>
      </c>
      <c r="P15" s="305">
        <f>Revenue!P72</f>
        <v>4122.6554815045574</v>
      </c>
      <c r="Q15" s="304">
        <f>Revenue!Q72</f>
        <v>5101.4259447027589</v>
      </c>
      <c r="R15" s="304">
        <f>Revenue!R72</f>
        <v>4795.4996800296849</v>
      </c>
      <c r="S15" s="304">
        <f>Revenue!S72</f>
        <v>3912.2950148854047</v>
      </c>
      <c r="T15" s="304">
        <f>Revenue!T72</f>
        <v>4669.5138128114331</v>
      </c>
      <c r="U15" s="304">
        <f>Revenue!U72</f>
        <v>3765.2393782980885</v>
      </c>
      <c r="V15" s="304">
        <f>Revenue!V72</f>
        <v>3703.7103106978839</v>
      </c>
      <c r="W15" s="304">
        <f>Revenue!W72</f>
        <v>5388.4560229422568</v>
      </c>
      <c r="X15" s="304">
        <f>Revenue!X72</f>
        <v>4964.8488276248208</v>
      </c>
      <c r="Y15" s="304">
        <f>Revenue!Y72</f>
        <v>4249.7207188631419</v>
      </c>
      <c r="Z15" s="304">
        <f>Revenue!Z72</f>
        <v>4518.7444425734493</v>
      </c>
      <c r="AA15" s="304">
        <f>Revenue!AA72</f>
        <v>4033.3913883090695</v>
      </c>
      <c r="AB15" s="304">
        <f>Revenue!AB72</f>
        <v>4313.2283428359515</v>
      </c>
      <c r="AC15" s="304">
        <f>Revenue!AC72</f>
        <v>5336.7283352633322</v>
      </c>
      <c r="AD15" s="304">
        <f>Revenue!AD72</f>
        <v>5017.7957826707334</v>
      </c>
      <c r="AE15" s="304">
        <f>Revenue!AE72</f>
        <v>4093.8852946636916</v>
      </c>
      <c r="AF15" s="304">
        <f>Revenue!AF72</f>
        <v>4887.0110913593508</v>
      </c>
      <c r="AG15" s="304">
        <f>Revenue!AG72</f>
        <v>3940.8301630761734</v>
      </c>
      <c r="AH15" s="304">
        <f>Revenue!AH72</f>
        <v>3875.8685177734424</v>
      </c>
    </row>
    <row r="16" spans="1:34" x14ac:dyDescent="0.25">
      <c r="C16" s="42" t="s">
        <v>561</v>
      </c>
      <c r="D16" s="11"/>
      <c r="E16" s="296">
        <f>E17/E15</f>
        <v>1.6378897355206306</v>
      </c>
      <c r="F16" s="296">
        <f t="shared" ref="F16:AH16" si="7">F17/F15</f>
        <v>1.6427636683965459</v>
      </c>
      <c r="G16" s="296">
        <f t="shared" si="7"/>
        <v>1.6460046134108814</v>
      </c>
      <c r="H16" s="296">
        <f t="shared" si="7"/>
        <v>1.6434265145497087</v>
      </c>
      <c r="I16" s="296">
        <f t="shared" si="7"/>
        <v>1.6378613177626811</v>
      </c>
      <c r="J16" s="296">
        <f t="shared" si="7"/>
        <v>1.6463291659778956</v>
      </c>
      <c r="K16" s="296">
        <f t="shared" si="7"/>
        <v>1.6400778631079906</v>
      </c>
      <c r="L16" s="296">
        <f t="shared" si="7"/>
        <v>1.6419409755456207</v>
      </c>
      <c r="M16" s="296">
        <f t="shared" si="7"/>
        <v>1.6441498852162539</v>
      </c>
      <c r="N16" s="296">
        <f t="shared" si="7"/>
        <v>1.6374180376172853</v>
      </c>
      <c r="O16" s="296">
        <f t="shared" si="7"/>
        <v>1.6473131355788726</v>
      </c>
      <c r="P16" s="298">
        <f t="shared" si="7"/>
        <v>1.6359132662343061</v>
      </c>
      <c r="Q16" s="296">
        <f t="shared" si="7"/>
        <v>1.6378897355206306</v>
      </c>
      <c r="R16" s="296">
        <f t="shared" si="7"/>
        <v>1.6427636683965459</v>
      </c>
      <c r="S16" s="296">
        <f t="shared" si="7"/>
        <v>1.6460046134108814</v>
      </c>
      <c r="T16" s="296">
        <f t="shared" si="7"/>
        <v>1.6434265145497087</v>
      </c>
      <c r="U16" s="296">
        <f t="shared" si="7"/>
        <v>1.6378613177626811</v>
      </c>
      <c r="V16" s="296">
        <f t="shared" si="7"/>
        <v>1.6463291659778956</v>
      </c>
      <c r="W16" s="296">
        <f t="shared" si="7"/>
        <v>1.6400778631079904</v>
      </c>
      <c r="X16" s="296">
        <f t="shared" si="7"/>
        <v>1.6419409755456207</v>
      </c>
      <c r="Y16" s="296">
        <f t="shared" si="7"/>
        <v>1.6441498852162539</v>
      </c>
      <c r="Z16" s="296">
        <f t="shared" si="7"/>
        <v>1.6374180376172853</v>
      </c>
      <c r="AA16" s="296">
        <f t="shared" si="7"/>
        <v>1.6473131355788726</v>
      </c>
      <c r="AB16" s="296">
        <f t="shared" si="7"/>
        <v>1.6359132662343061</v>
      </c>
      <c r="AC16" s="296">
        <f t="shared" si="7"/>
        <v>1.6378897355206303</v>
      </c>
      <c r="AD16" s="296">
        <f t="shared" si="7"/>
        <v>1.6427636683965459</v>
      </c>
      <c r="AE16" s="296">
        <f t="shared" si="7"/>
        <v>1.6460046134108814</v>
      </c>
      <c r="AF16" s="296">
        <f t="shared" si="7"/>
        <v>1.6434265145497087</v>
      </c>
      <c r="AG16" s="296">
        <f t="shared" si="7"/>
        <v>1.6378613177626811</v>
      </c>
      <c r="AH16" s="296">
        <f t="shared" si="7"/>
        <v>1.6463291659778956</v>
      </c>
    </row>
    <row r="17" spans="3:34" x14ac:dyDescent="0.25">
      <c r="C17" s="1" t="s">
        <v>605</v>
      </c>
      <c r="D17" s="11"/>
      <c r="E17" s="304">
        <f>Revenue!E85</f>
        <v>7988.4022223829143</v>
      </c>
      <c r="F17" s="304">
        <f>Revenue!F85</f>
        <v>7530.05127519701</v>
      </c>
      <c r="G17" s="304">
        <f>Revenue!G85</f>
        <v>6154.9984336392945</v>
      </c>
      <c r="H17" s="304">
        <f>Revenue!H85</f>
        <v>7333.6151549744782</v>
      </c>
      <c r="I17" s="304">
        <f>Revenue!I85</f>
        <v>5893.0836066759193</v>
      </c>
      <c r="J17" s="304">
        <f>Revenue!J85</f>
        <v>5827.6048999350751</v>
      </c>
      <c r="K17" s="304">
        <f>Revenue!K85</f>
        <v>8446.7531695688176</v>
      </c>
      <c r="L17" s="304">
        <f>Revenue!L85</f>
        <v>7791.9661021603824</v>
      </c>
      <c r="M17" s="304">
        <f>Revenue!M85</f>
        <v>6678.8280875660421</v>
      </c>
      <c r="N17" s="304">
        <f>Revenue!N85</f>
        <v>7071.700328011103</v>
      </c>
      <c r="O17" s="304">
        <f>Revenue!O85</f>
        <v>6351.4345538618245</v>
      </c>
      <c r="P17" s="305">
        <f>Revenue!P85</f>
        <v>6744.3067943068863</v>
      </c>
      <c r="Q17" s="304">
        <f>Revenue!Q85</f>
        <v>8355.5731913472846</v>
      </c>
      <c r="R17" s="304">
        <f>Revenue!R85</f>
        <v>7877.8726461600272</v>
      </c>
      <c r="S17" s="304">
        <f>Revenue!S85</f>
        <v>6439.6556435257689</v>
      </c>
      <c r="T17" s="304">
        <f>Revenue!T85</f>
        <v>7674.0028100304144</v>
      </c>
      <c r="U17" s="304">
        <f>Revenue!U85</f>
        <v>6166.9399298312455</v>
      </c>
      <c r="V17" s="304">
        <f>Revenue!V85</f>
        <v>6097.5263068349796</v>
      </c>
      <c r="W17" s="304">
        <f>Revenue!W85</f>
        <v>8837.4874395585175</v>
      </c>
      <c r="X17" s="304">
        <f>Revenue!X85</f>
        <v>8151.9887274668299</v>
      </c>
      <c r="Y17" s="304">
        <f>Revenue!Y85</f>
        <v>6987.1778321199708</v>
      </c>
      <c r="Z17" s="304">
        <f>Revenue!Z85</f>
        <v>7399.0736576526315</v>
      </c>
      <c r="AA17" s="304">
        <f>Revenue!AA85</f>
        <v>6644.2586148922355</v>
      </c>
      <c r="AB17" s="304">
        <f>Revenue!AB85</f>
        <v>7056.0674663431446</v>
      </c>
      <c r="AC17" s="304">
        <f>Revenue!AC85</f>
        <v>8740.9725615899133</v>
      </c>
      <c r="AD17" s="304">
        <f>Revenue!AD85</f>
        <v>8243.0526072048906</v>
      </c>
      <c r="AE17" s="304">
        <f>Revenue!AE85</f>
        <v>6738.5540817914025</v>
      </c>
      <c r="AF17" s="304">
        <f>Revenue!AF85</f>
        <v>8031.4436044384656</v>
      </c>
      <c r="AG17" s="304">
        <f>Revenue!AG85</f>
        <v>6454.5332839748626</v>
      </c>
      <c r="AH17" s="304">
        <f>Revenue!AH85</f>
        <v>6380.9553843059339</v>
      </c>
    </row>
    <row r="18" spans="3:34" x14ac:dyDescent="0.25">
      <c r="C18" s="42" t="s">
        <v>560</v>
      </c>
      <c r="D18" s="11"/>
      <c r="E18" s="296">
        <f>E19*1000/E17</f>
        <v>611.47096359420107</v>
      </c>
      <c r="F18" s="296">
        <f t="shared" ref="F18:AH18" si="8">F19*1000/F17</f>
        <v>656.55612114583585</v>
      </c>
      <c r="G18" s="296">
        <f t="shared" si="8"/>
        <v>642.66176582265052</v>
      </c>
      <c r="H18" s="296">
        <f t="shared" si="8"/>
        <v>504.44439231923104</v>
      </c>
      <c r="I18" s="296">
        <f t="shared" si="8"/>
        <v>487.85278293513267</v>
      </c>
      <c r="J18" s="296">
        <f t="shared" si="8"/>
        <v>510.85697522444747</v>
      </c>
      <c r="K18" s="296">
        <f t="shared" si="8"/>
        <v>685.39059026360019</v>
      </c>
      <c r="L18" s="296">
        <f t="shared" si="8"/>
        <v>663.81557645815212</v>
      </c>
      <c r="M18" s="296">
        <f t="shared" si="8"/>
        <v>670.09429621035019</v>
      </c>
      <c r="N18" s="296">
        <f t="shared" si="8"/>
        <v>672.21625918936456</v>
      </c>
      <c r="O18" s="296">
        <f t="shared" si="8"/>
        <v>631.64031876863078</v>
      </c>
      <c r="P18" s="298">
        <f t="shared" si="8"/>
        <v>610.20757050891814</v>
      </c>
      <c r="Q18" s="296">
        <f t="shared" si="8"/>
        <v>611.47096359420107</v>
      </c>
      <c r="R18" s="296">
        <f t="shared" si="8"/>
        <v>656.55612114583585</v>
      </c>
      <c r="S18" s="296">
        <f t="shared" si="8"/>
        <v>642.66176582265052</v>
      </c>
      <c r="T18" s="296">
        <f t="shared" si="8"/>
        <v>504.44439231923104</v>
      </c>
      <c r="U18" s="296">
        <f t="shared" si="8"/>
        <v>487.85278293513267</v>
      </c>
      <c r="V18" s="296">
        <f t="shared" si="8"/>
        <v>510.85697522444747</v>
      </c>
      <c r="W18" s="296">
        <f t="shared" si="8"/>
        <v>685.39059026360019</v>
      </c>
      <c r="X18" s="296">
        <f t="shared" si="8"/>
        <v>663.81557645815212</v>
      </c>
      <c r="Y18" s="296">
        <f t="shared" si="8"/>
        <v>670.09429621035031</v>
      </c>
      <c r="Z18" s="296">
        <f t="shared" si="8"/>
        <v>672.21625918936456</v>
      </c>
      <c r="AA18" s="296">
        <f t="shared" si="8"/>
        <v>631.64031876863078</v>
      </c>
      <c r="AB18" s="296">
        <f t="shared" si="8"/>
        <v>610.20757050891814</v>
      </c>
      <c r="AC18" s="296">
        <f t="shared" si="8"/>
        <v>611.47096359420107</v>
      </c>
      <c r="AD18" s="296">
        <f t="shared" si="8"/>
        <v>656.55612114583585</v>
      </c>
      <c r="AE18" s="296">
        <f t="shared" si="8"/>
        <v>642.66176582265052</v>
      </c>
      <c r="AF18" s="296">
        <f t="shared" si="8"/>
        <v>504.44439231923104</v>
      </c>
      <c r="AG18" s="296">
        <f t="shared" si="8"/>
        <v>487.85278293513261</v>
      </c>
      <c r="AH18" s="296">
        <f t="shared" si="8"/>
        <v>510.85697522444752</v>
      </c>
    </row>
    <row r="19" spans="3:34" x14ac:dyDescent="0.25">
      <c r="C19" s="1" t="s">
        <v>606</v>
      </c>
      <c r="D19" s="11"/>
      <c r="E19" s="288">
        <f>Revenue!E98</f>
        <v>4884.6760044985376</v>
      </c>
      <c r="F19" s="288">
        <f>Revenue!F98</f>
        <v>4943.9012572726042</v>
      </c>
      <c r="G19" s="288">
        <f>Revenue!G98</f>
        <v>3955.5821619982771</v>
      </c>
      <c r="H19" s="288">
        <f>Revenue!H98</f>
        <v>3699.4010403542038</v>
      </c>
      <c r="I19" s="288">
        <f>Revenue!I98</f>
        <v>2874.9572375862563</v>
      </c>
      <c r="J19" s="288">
        <f>Revenue!J98</f>
        <v>2977.0726119840015</v>
      </c>
      <c r="K19" s="288">
        <f>Revenue!K98</f>
        <v>5789.3251407017078</v>
      </c>
      <c r="L19" s="288">
        <f>Revenue!L98</f>
        <v>5172.4284698479751</v>
      </c>
      <c r="M19" s="288">
        <f>Revenue!M98</f>
        <v>4475.4446068474863</v>
      </c>
      <c r="N19" s="288">
        <f>Revenue!N98</f>
        <v>4753.7119406038264</v>
      </c>
      <c r="O19" s="288">
        <f>Revenue!O98</f>
        <v>4011.822146239379</v>
      </c>
      <c r="P19" s="306">
        <f>Revenue!P98</f>
        <v>4115.4270637207946</v>
      </c>
      <c r="Q19" s="288">
        <f>Revenue!Q98</f>
        <v>5109.1903906949983</v>
      </c>
      <c r="R19" s="288">
        <f>Revenue!R98</f>
        <v>5172.2655074437089</v>
      </c>
      <c r="S19" s="288">
        <f>Revenue!S98</f>
        <v>4138.5204671580677</v>
      </c>
      <c r="T19" s="288">
        <f>Revenue!T98</f>
        <v>3871.1076841618637</v>
      </c>
      <c r="U19" s="288">
        <f>Revenue!U98</f>
        <v>3008.5588069619648</v>
      </c>
      <c r="V19" s="288">
        <f>Revenue!V98</f>
        <v>3114.9638454612141</v>
      </c>
      <c r="W19" s="288">
        <f>Revenue!W98</f>
        <v>6057.1307326461656</v>
      </c>
      <c r="X19" s="288">
        <f>Revenue!X98</f>
        <v>5411.4170964037512</v>
      </c>
      <c r="Y19" s="288">
        <f>Revenue!Y98</f>
        <v>4682.0680119109929</v>
      </c>
      <c r="Z19" s="288">
        <f>Revenue!Z98</f>
        <v>4973.7776156138207</v>
      </c>
      <c r="AA19" s="288">
        <f>Revenue!AA98</f>
        <v>4196.7816294917529</v>
      </c>
      <c r="AB19" s="288">
        <f>Revenue!AB98</f>
        <v>4305.6657859842671</v>
      </c>
      <c r="AC19" s="288">
        <f>Revenue!AC98</f>
        <v>5344.8509149858564</v>
      </c>
      <c r="AD19" s="288">
        <f>Revenue!AD98</f>
        <v>5412.0266461875126</v>
      </c>
      <c r="AE19" s="288">
        <f>Revenue!AE98</f>
        <v>4330.6110652954922</v>
      </c>
      <c r="AF19" s="288">
        <f>Revenue!AF98</f>
        <v>4051.4166884871361</v>
      </c>
      <c r="AG19" s="288">
        <f>Revenue!AG98</f>
        <v>3148.8620251345774</v>
      </c>
      <c r="AH19" s="288">
        <f>Revenue!AH98</f>
        <v>3259.7555666686812</v>
      </c>
    </row>
    <row r="20" spans="3:34" x14ac:dyDescent="0.25">
      <c r="C20" s="42" t="s">
        <v>562</v>
      </c>
      <c r="D20" s="11"/>
      <c r="E20" s="297">
        <f>E21/E19</f>
        <v>2.5896690717867613E-2</v>
      </c>
      <c r="F20" s="297">
        <f t="shared" ref="F20:AH20" si="9">F21/F19</f>
        <v>2.5534868142605294E-2</v>
      </c>
      <c r="G20" s="297">
        <f t="shared" si="9"/>
        <v>2.5074535301576079E-2</v>
      </c>
      <c r="H20" s="297">
        <f t="shared" si="9"/>
        <v>2.5305289828180449E-2</v>
      </c>
      <c r="I20" s="297">
        <f t="shared" si="9"/>
        <v>2.5560219270250237E-2</v>
      </c>
      <c r="J20" s="297">
        <f t="shared" si="9"/>
        <v>2.5764948587842059E-2</v>
      </c>
      <c r="K20" s="297">
        <f t="shared" si="9"/>
        <v>2.5171901206688253E-2</v>
      </c>
      <c r="L20" s="297">
        <f t="shared" si="9"/>
        <v>2.5715091144979874E-2</v>
      </c>
      <c r="M20" s="297">
        <f t="shared" si="9"/>
        <v>2.5939366962259267E-2</v>
      </c>
      <c r="N20" s="297">
        <f t="shared" si="9"/>
        <v>2.5700601786791535E-2</v>
      </c>
      <c r="O20" s="297">
        <f t="shared" si="9"/>
        <v>2.5948526834798678E-2</v>
      </c>
      <c r="P20" s="299">
        <f t="shared" si="9"/>
        <v>2.5731747673388532E-2</v>
      </c>
      <c r="Q20" s="297">
        <f t="shared" si="9"/>
        <v>2.5672546140889856E-2</v>
      </c>
      <c r="R20" s="297">
        <f t="shared" si="9"/>
        <v>2.567254614088986E-2</v>
      </c>
      <c r="S20" s="297">
        <f t="shared" si="9"/>
        <v>2.5672546140889856E-2</v>
      </c>
      <c r="T20" s="297">
        <f t="shared" si="9"/>
        <v>2.5672546140889856E-2</v>
      </c>
      <c r="U20" s="297">
        <f t="shared" si="9"/>
        <v>2.5672546140889856E-2</v>
      </c>
      <c r="V20" s="297">
        <f t="shared" si="9"/>
        <v>2.5672546140889856E-2</v>
      </c>
      <c r="W20" s="297">
        <f t="shared" si="9"/>
        <v>2.5672546140889856E-2</v>
      </c>
      <c r="X20" s="297">
        <f t="shared" si="9"/>
        <v>2.5672546140889856E-2</v>
      </c>
      <c r="Y20" s="297">
        <f t="shared" si="9"/>
        <v>2.5672546140889856E-2</v>
      </c>
      <c r="Z20" s="297">
        <f t="shared" si="9"/>
        <v>2.5672546140889856E-2</v>
      </c>
      <c r="AA20" s="297">
        <f t="shared" si="9"/>
        <v>2.5672546140889856E-2</v>
      </c>
      <c r="AB20" s="297">
        <f t="shared" si="9"/>
        <v>2.5672546140889856E-2</v>
      </c>
      <c r="AC20" s="297">
        <f t="shared" si="9"/>
        <v>2.5672546140889853E-2</v>
      </c>
      <c r="AD20" s="297">
        <f t="shared" si="9"/>
        <v>2.5672546140889853E-2</v>
      </c>
      <c r="AE20" s="297">
        <f t="shared" si="9"/>
        <v>2.5672546140889856E-2</v>
      </c>
      <c r="AF20" s="297">
        <f t="shared" si="9"/>
        <v>2.5672546140889856E-2</v>
      </c>
      <c r="AG20" s="297">
        <f t="shared" si="9"/>
        <v>2.5672546140889853E-2</v>
      </c>
      <c r="AH20" s="297">
        <f t="shared" si="9"/>
        <v>2.5672546140889856E-2</v>
      </c>
    </row>
    <row r="21" spans="3:34" x14ac:dyDescent="0.25">
      <c r="C21" s="23" t="s">
        <v>607</v>
      </c>
      <c r="D21" s="139"/>
      <c r="E21" s="307">
        <f>Revenue!E111</f>
        <v>126.49694374548794</v>
      </c>
      <c r="F21" s="307">
        <f>Revenue!F111</f>
        <v>126.24186671451648</v>
      </c>
      <c r="G21" s="307">
        <f>Revenue!G111</f>
        <v>99.184384559310431</v>
      </c>
      <c r="H21" s="307">
        <f>Revenue!H111</f>
        <v>93.614415516835408</v>
      </c>
      <c r="I21" s="307">
        <f>Revenue!I111</f>
        <v>73.484537385297614</v>
      </c>
      <c r="J21" s="307">
        <f>Revenue!J111</f>
        <v>76.704122790040472</v>
      </c>
      <c r="K21" s="307">
        <f>Revenue!K111</f>
        <v>145.72832049513997</v>
      </c>
      <c r="L21" s="307">
        <f>Revenue!L111</f>
        <v>133.00946954302947</v>
      </c>
      <c r="M21" s="307">
        <f>Revenue!M111</f>
        <v>116.0901999762811</v>
      </c>
      <c r="N21" s="307">
        <f>Revenue!N111</f>
        <v>122.17325759457495</v>
      </c>
      <c r="O21" s="307">
        <f>Revenue!O111</f>
        <v>104.10087461813215</v>
      </c>
      <c r="P21" s="308">
        <f>Revenue!P111</f>
        <v>105.89713077189775</v>
      </c>
      <c r="Q21" s="307">
        <f>Revenue!Q111</f>
        <v>131.16592604770841</v>
      </c>
      <c r="R21" s="307">
        <f>Revenue!R111</f>
        <v>132.78522489278171</v>
      </c>
      <c r="S21" s="307">
        <f>Revenue!S111</f>
        <v>106.24635764813253</v>
      </c>
      <c r="T21" s="307">
        <f>Revenue!T111</f>
        <v>99.381190637998728</v>
      </c>
      <c r="U21" s="307">
        <f>Revenue!U111</f>
        <v>77.237364789311584</v>
      </c>
      <c r="V21" s="307">
        <f>Revenue!V111</f>
        <v>79.969053049806718</v>
      </c>
      <c r="W21" s="307">
        <f>Revenue!W111</f>
        <v>155.50196821526066</v>
      </c>
      <c r="X21" s="307">
        <f>Revenue!X111</f>
        <v>138.92485509502552</v>
      </c>
      <c r="Y21" s="307">
        <f>Revenue!Y111</f>
        <v>120.2006070705694</v>
      </c>
      <c r="Z21" s="307">
        <f>Revenue!Z111</f>
        <v>127.68953533137095</v>
      </c>
      <c r="AA21" s="307">
        <f>Revenue!AA111</f>
        <v>107.74207002636595</v>
      </c>
      <c r="AB21" s="307">
        <f>Revenue!AB111</f>
        <v>110.53740355793188</v>
      </c>
      <c r="AC21" s="307">
        <f>Revenue!AC111</f>
        <v>137.21593173115176</v>
      </c>
      <c r="AD21" s="307">
        <f>Revenue!AD111</f>
        <v>138.94050378997429</v>
      </c>
      <c r="AE21" s="307">
        <f>Revenue!AE111</f>
        <v>111.17781239204669</v>
      </c>
      <c r="AF21" s="307">
        <f>Revenue!AF111</f>
        <v>104.01018187115719</v>
      </c>
      <c r="AG21" s="307">
        <f>Revenue!AG111</f>
        <v>80.839305631563306</v>
      </c>
      <c r="AH21" s="307">
        <f>Revenue!AH111</f>
        <v>83.686225193324276</v>
      </c>
    </row>
    <row r="22" spans="3:34" x14ac:dyDescent="0.25">
      <c r="C22" s="1"/>
      <c r="D22" s="11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3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</row>
    <row r="23" spans="3:34" x14ac:dyDescent="0.25">
      <c r="C23" s="1" t="s">
        <v>569</v>
      </c>
      <c r="D23" s="11"/>
      <c r="E23" s="252">
        <f>E$21*1000/E15</f>
        <v>25.936105865443242</v>
      </c>
      <c r="F23" s="252">
        <f t="shared" ref="F23:AH23" si="10">F$21*1000/F15</f>
        <v>27.541054435082984</v>
      </c>
      <c r="G23" s="252">
        <f t="shared" si="10"/>
        <v>26.524451033274055</v>
      </c>
      <c r="H23" s="252">
        <f t="shared" si="10"/>
        <v>20.978522782189323</v>
      </c>
      <c r="I23" s="252">
        <f t="shared" si="10"/>
        <v>20.423514966038972</v>
      </c>
      <c r="J23" s="252">
        <f t="shared" si="10"/>
        <v>21.669319843800722</v>
      </c>
      <c r="K23" s="252">
        <f t="shared" si="10"/>
        <v>28.29558147064763</v>
      </c>
      <c r="L23" s="252">
        <f t="shared" si="10"/>
        <v>28.028060609470053</v>
      </c>
      <c r="M23" s="252">
        <f t="shared" si="10"/>
        <v>28.578320397417652</v>
      </c>
      <c r="N23" s="252">
        <f t="shared" si="10"/>
        <v>28.288627405126935</v>
      </c>
      <c r="O23" s="252">
        <f t="shared" si="10"/>
        <v>26.999685933854156</v>
      </c>
      <c r="P23" s="253">
        <f t="shared" si="10"/>
        <v>25.686631164545123</v>
      </c>
      <c r="Q23" s="252">
        <f t="shared" si="10"/>
        <v>25.711620137093053</v>
      </c>
      <c r="R23" s="252">
        <f t="shared" si="10"/>
        <v>27.689549317613501</v>
      </c>
      <c r="S23" s="252">
        <f t="shared" si="10"/>
        <v>27.157041389744123</v>
      </c>
      <c r="T23" s="252">
        <f t="shared" si="10"/>
        <v>21.282984615086306</v>
      </c>
      <c r="U23" s="252">
        <f t="shared" si="10"/>
        <v>20.513268089802924</v>
      </c>
      <c r="V23" s="252">
        <f t="shared" si="10"/>
        <v>21.59160580643206</v>
      </c>
      <c r="W23" s="252">
        <f t="shared" si="10"/>
        <v>28.858353404608835</v>
      </c>
      <c r="X23" s="252">
        <f t="shared" si="10"/>
        <v>27.981688852646709</v>
      </c>
      <c r="Y23" s="252">
        <f t="shared" si="10"/>
        <v>28.284354436995731</v>
      </c>
      <c r="Z23" s="252">
        <f t="shared" si="10"/>
        <v>28.257746582953708</v>
      </c>
      <c r="AA23" s="252">
        <f t="shared" si="10"/>
        <v>26.712525429260406</v>
      </c>
      <c r="AB23" s="252">
        <f t="shared" si="10"/>
        <v>25.627533432476113</v>
      </c>
      <c r="AC23" s="252">
        <f t="shared" si="10"/>
        <v>25.71162013709305</v>
      </c>
      <c r="AD23" s="252">
        <f t="shared" si="10"/>
        <v>27.689549317613498</v>
      </c>
      <c r="AE23" s="252">
        <f t="shared" si="10"/>
        <v>27.157041389744123</v>
      </c>
      <c r="AF23" s="252">
        <f t="shared" si="10"/>
        <v>21.282984615086303</v>
      </c>
      <c r="AG23" s="252">
        <f t="shared" si="10"/>
        <v>20.513268089802917</v>
      </c>
      <c r="AH23" s="252">
        <f t="shared" si="10"/>
        <v>21.59160580643206</v>
      </c>
    </row>
    <row r="24" spans="3:34" x14ac:dyDescent="0.25">
      <c r="C24" s="1" t="s">
        <v>568</v>
      </c>
      <c r="D24" s="11"/>
      <c r="E24" s="252">
        <f>E$21*1000/E17</f>
        <v>15.835074427155512</v>
      </c>
      <c r="F24" s="252">
        <f t="shared" ref="F24:AH24" si="11">F$21*1000/F17</f>
        <v>16.765073981679308</v>
      </c>
      <c r="G24" s="252">
        <f t="shared" si="11"/>
        <v>16.11444513409327</v>
      </c>
      <c r="H24" s="252">
        <f t="shared" si="11"/>
        <v>12.765111549838505</v>
      </c>
      <c r="I24" s="252">
        <f t="shared" si="11"/>
        <v>12.469624103423785</v>
      </c>
      <c r="J24" s="252">
        <f t="shared" si="11"/>
        <v>13.162203702398395</v>
      </c>
      <c r="K24" s="252">
        <f t="shared" si="11"/>
        <v>17.252584226109096</v>
      </c>
      <c r="L24" s="252">
        <f t="shared" si="11"/>
        <v>17.070078052078738</v>
      </c>
      <c r="M24" s="252">
        <f t="shared" si="11"/>
        <v>17.381821848717134</v>
      </c>
      <c r="N24" s="252">
        <f t="shared" si="11"/>
        <v>17.276362392032507</v>
      </c>
      <c r="O24" s="252">
        <f t="shared" si="11"/>
        <v>16.390135761508606</v>
      </c>
      <c r="P24" s="253">
        <f t="shared" si="11"/>
        <v>15.701707232726921</v>
      </c>
      <c r="Q24" s="252">
        <f t="shared" si="11"/>
        <v>15.698016526686509</v>
      </c>
      <c r="R24" s="252">
        <f t="shared" si="11"/>
        <v>16.855467314200144</v>
      </c>
      <c r="S24" s="252">
        <f t="shared" si="11"/>
        <v>16.498763836067745</v>
      </c>
      <c r="T24" s="252">
        <f t="shared" si="11"/>
        <v>12.950371937328605</v>
      </c>
      <c r="U24" s="252">
        <f t="shared" si="11"/>
        <v>12.524423079863718</v>
      </c>
      <c r="V24" s="252">
        <f t="shared" si="11"/>
        <v>13.114999267845056</v>
      </c>
      <c r="W24" s="252">
        <f t="shared" si="11"/>
        <v>17.595721553074011</v>
      </c>
      <c r="X24" s="252">
        <f t="shared" si="11"/>
        <v>17.041836015663311</v>
      </c>
      <c r="Y24" s="252">
        <f t="shared" si="11"/>
        <v>17.203026738207331</v>
      </c>
      <c r="Z24" s="252">
        <f t="shared" si="11"/>
        <v>17.257502930695335</v>
      </c>
      <c r="AA24" s="252">
        <f t="shared" si="11"/>
        <v>16.215815228034053</v>
      </c>
      <c r="AB24" s="252">
        <f t="shared" si="11"/>
        <v>15.6655820094105</v>
      </c>
      <c r="AC24" s="252">
        <f t="shared" si="11"/>
        <v>15.698016526686509</v>
      </c>
      <c r="AD24" s="252">
        <f t="shared" si="11"/>
        <v>16.855467314200141</v>
      </c>
      <c r="AE24" s="252">
        <f t="shared" si="11"/>
        <v>16.498763836067745</v>
      </c>
      <c r="AF24" s="252">
        <f t="shared" si="11"/>
        <v>12.950371937328603</v>
      </c>
      <c r="AG24" s="252">
        <f t="shared" si="11"/>
        <v>12.524423079863714</v>
      </c>
      <c r="AH24" s="252">
        <f t="shared" si="11"/>
        <v>13.114999267845054</v>
      </c>
    </row>
    <row r="25" spans="3:34" x14ac:dyDescent="0.25">
      <c r="C25" s="1"/>
      <c r="D25" s="11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3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</row>
    <row r="26" spans="3:34" ht="18.75" x14ac:dyDescent="0.3">
      <c r="C26" s="182" t="s">
        <v>20</v>
      </c>
      <c r="D26" s="179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</row>
    <row r="27" spans="3:34" x14ac:dyDescent="0.25">
      <c r="C27" s="30"/>
      <c r="D27" s="30"/>
      <c r="E27" s="45" t="str">
        <f t="shared" ref="E27:AH27" si="12">E$9</f>
        <v>Jul-20A</v>
      </c>
      <c r="F27" s="45" t="str">
        <f t="shared" si="12"/>
        <v>Aug-20A</v>
      </c>
      <c r="G27" s="45" t="str">
        <f t="shared" si="12"/>
        <v>Sep-20A</v>
      </c>
      <c r="H27" s="45" t="str">
        <f t="shared" si="12"/>
        <v>Oct-20A</v>
      </c>
      <c r="I27" s="45" t="str">
        <f t="shared" si="12"/>
        <v>Nov-20A</v>
      </c>
      <c r="J27" s="45" t="str">
        <f t="shared" si="12"/>
        <v>Dec-20A</v>
      </c>
      <c r="K27" s="45" t="str">
        <f t="shared" si="12"/>
        <v>Jan-21A</v>
      </c>
      <c r="L27" s="45" t="str">
        <f t="shared" si="12"/>
        <v>Feb-21A</v>
      </c>
      <c r="M27" s="45" t="str">
        <f t="shared" si="12"/>
        <v>Mar-21A</v>
      </c>
      <c r="N27" s="45" t="str">
        <f t="shared" si="12"/>
        <v>Apr-21A</v>
      </c>
      <c r="O27" s="45" t="str">
        <f t="shared" si="12"/>
        <v>May-21A</v>
      </c>
      <c r="P27" s="46" t="str">
        <f t="shared" si="12"/>
        <v>Jun-21A</v>
      </c>
      <c r="Q27" s="45" t="str">
        <f t="shared" si="12"/>
        <v>Jul-21F</v>
      </c>
      <c r="R27" s="45" t="str">
        <f t="shared" si="12"/>
        <v>Aug-21F</v>
      </c>
      <c r="S27" s="45" t="str">
        <f t="shared" si="12"/>
        <v>Sep-21F</v>
      </c>
      <c r="T27" s="45" t="str">
        <f t="shared" si="12"/>
        <v>Oct-21F</v>
      </c>
      <c r="U27" s="45" t="str">
        <f t="shared" si="12"/>
        <v>Nov-21F</v>
      </c>
      <c r="V27" s="45" t="str">
        <f t="shared" si="12"/>
        <v>Dec-21F</v>
      </c>
      <c r="W27" s="45" t="str">
        <f t="shared" si="12"/>
        <v>Jan-22F</v>
      </c>
      <c r="X27" s="45" t="str">
        <f t="shared" si="12"/>
        <v>Feb-22F</v>
      </c>
      <c r="Y27" s="45" t="str">
        <f t="shared" si="12"/>
        <v>Mar-22F</v>
      </c>
      <c r="Z27" s="45" t="str">
        <f t="shared" si="12"/>
        <v>Apr-22F</v>
      </c>
      <c r="AA27" s="45" t="str">
        <f t="shared" si="12"/>
        <v>May-22F</v>
      </c>
      <c r="AB27" s="45" t="str">
        <f t="shared" si="12"/>
        <v>Jun-22F</v>
      </c>
      <c r="AC27" s="45" t="str">
        <f t="shared" si="12"/>
        <v>Jul-22F</v>
      </c>
      <c r="AD27" s="45" t="str">
        <f t="shared" si="12"/>
        <v>Aug-22F</v>
      </c>
      <c r="AE27" s="45" t="str">
        <f t="shared" si="12"/>
        <v>Sep-22F</v>
      </c>
      <c r="AF27" s="45" t="str">
        <f t="shared" si="12"/>
        <v>Oct-22F</v>
      </c>
      <c r="AG27" s="45" t="str">
        <f t="shared" si="12"/>
        <v>Nov-22F</v>
      </c>
      <c r="AH27" s="45" t="str">
        <f t="shared" si="12"/>
        <v>Dec-22F</v>
      </c>
    </row>
    <row r="28" spans="3:34" x14ac:dyDescent="0.25">
      <c r="C28" s="11" t="s">
        <v>28</v>
      </c>
      <c r="E28" s="302"/>
      <c r="F28" s="302"/>
      <c r="G28" s="302"/>
      <c r="H28" s="302"/>
      <c r="I28" s="302"/>
      <c r="J28" s="302"/>
      <c r="K28" s="302"/>
      <c r="L28" s="302"/>
      <c r="M28" s="302"/>
      <c r="N28" s="302"/>
      <c r="O28" s="302"/>
      <c r="P28" s="303"/>
      <c r="Q28" s="302"/>
      <c r="R28" s="302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02"/>
      <c r="AD28" s="302"/>
      <c r="AE28" s="302"/>
      <c r="AF28" s="302"/>
      <c r="AG28" s="302"/>
      <c r="AH28" s="302"/>
    </row>
    <row r="29" spans="3:34" x14ac:dyDescent="0.25">
      <c r="C29" s="23" t="s">
        <v>563</v>
      </c>
      <c r="D29" s="27"/>
      <c r="E29" s="309">
        <f>Expense!E73</f>
        <v>9.4999999999999998E-3</v>
      </c>
      <c r="F29" s="309">
        <f>Expense!F73</f>
        <v>9.4999999999999998E-3</v>
      </c>
      <c r="G29" s="309">
        <f>Expense!G73</f>
        <v>9.4999999999999998E-3</v>
      </c>
      <c r="H29" s="309">
        <f>Expense!H73</f>
        <v>9.4999999999999998E-3</v>
      </c>
      <c r="I29" s="309">
        <f>Expense!I73</f>
        <v>0.01</v>
      </c>
      <c r="J29" s="309">
        <f>Expense!J73</f>
        <v>1.0500000000000001E-2</v>
      </c>
      <c r="K29" s="309">
        <f>Expense!K73</f>
        <v>9.4999999999999998E-3</v>
      </c>
      <c r="L29" s="309">
        <f>Expense!L73</f>
        <v>9.4999999999999998E-3</v>
      </c>
      <c r="M29" s="309">
        <f>Expense!M73</f>
        <v>9.4999999999999998E-3</v>
      </c>
      <c r="N29" s="309">
        <f>Expense!N73</f>
        <v>1.0500000000000001E-2</v>
      </c>
      <c r="O29" s="309">
        <f>Expense!O73</f>
        <v>1.0500000000000001E-2</v>
      </c>
      <c r="P29" s="310">
        <f>Expense!P73</f>
        <v>1.0500000000000001E-2</v>
      </c>
      <c r="Q29" s="309">
        <f>Expense!Q73</f>
        <v>9.4999999999999998E-3</v>
      </c>
      <c r="R29" s="309">
        <f>Expense!R73</f>
        <v>9.4999999999999998E-3</v>
      </c>
      <c r="S29" s="309">
        <f>Expense!S73</f>
        <v>9.4999999999999998E-3</v>
      </c>
      <c r="T29" s="309">
        <f>Expense!T73</f>
        <v>9.4999999999999998E-3</v>
      </c>
      <c r="U29" s="309">
        <f>Expense!U73</f>
        <v>0.01</v>
      </c>
      <c r="V29" s="309">
        <f>Expense!V73</f>
        <v>1.0500000000000001E-2</v>
      </c>
      <c r="W29" s="309">
        <f>Expense!W73</f>
        <v>9.4999999999999998E-3</v>
      </c>
      <c r="X29" s="309">
        <f>Expense!X73</f>
        <v>9.4999999999999998E-3</v>
      </c>
      <c r="Y29" s="309">
        <f>Expense!Y73</f>
        <v>9.4999999999999998E-3</v>
      </c>
      <c r="Z29" s="309">
        <f>Expense!Z73</f>
        <v>1.0500000000000001E-2</v>
      </c>
      <c r="AA29" s="309">
        <f>Expense!AA73</f>
        <v>1.0500000000000001E-2</v>
      </c>
      <c r="AB29" s="309">
        <f>Expense!AB73</f>
        <v>1.0500000000000001E-2</v>
      </c>
      <c r="AC29" s="309">
        <f>Expense!AC73</f>
        <v>9.4999999999999998E-3</v>
      </c>
      <c r="AD29" s="309">
        <f>Expense!AD73</f>
        <v>9.4999999999999998E-3</v>
      </c>
      <c r="AE29" s="309">
        <f>Expense!AE73</f>
        <v>9.4999999999999998E-3</v>
      </c>
      <c r="AF29" s="309">
        <f>Expense!AF73</f>
        <v>9.4999999999999998E-3</v>
      </c>
      <c r="AG29" s="309">
        <f>Expense!AG73</f>
        <v>0.01</v>
      </c>
      <c r="AH29" s="309">
        <f>Expense!AH73</f>
        <v>1.0500000000000001E-2</v>
      </c>
    </row>
    <row r="30" spans="3:34" x14ac:dyDescent="0.25">
      <c r="C30" s="1" t="s">
        <v>564</v>
      </c>
      <c r="E30" s="250">
        <f>E19*E29</f>
        <v>46.404422042736108</v>
      </c>
      <c r="F30" s="250">
        <f t="shared" ref="F30:AH30" si="13">F19*F29</f>
        <v>46.967061944089735</v>
      </c>
      <c r="G30" s="250">
        <f t="shared" si="13"/>
        <v>37.578030538983633</v>
      </c>
      <c r="H30" s="250">
        <f t="shared" si="13"/>
        <v>35.144309883364933</v>
      </c>
      <c r="I30" s="250">
        <f t="shared" si="13"/>
        <v>28.749572375862563</v>
      </c>
      <c r="J30" s="250">
        <f t="shared" si="13"/>
        <v>31.259262425832016</v>
      </c>
      <c r="K30" s="250">
        <f t="shared" si="13"/>
        <v>54.998588836666222</v>
      </c>
      <c r="L30" s="250">
        <f t="shared" si="13"/>
        <v>49.138070463555763</v>
      </c>
      <c r="M30" s="250">
        <f t="shared" si="13"/>
        <v>42.516723765051118</v>
      </c>
      <c r="N30" s="250">
        <f t="shared" si="13"/>
        <v>49.913975376340183</v>
      </c>
      <c r="O30" s="250">
        <f t="shared" si="13"/>
        <v>42.124132535513482</v>
      </c>
      <c r="P30" s="251">
        <f t="shared" si="13"/>
        <v>43.211984169068344</v>
      </c>
      <c r="Q30" s="250">
        <f t="shared" si="13"/>
        <v>48.537308711602485</v>
      </c>
      <c r="R30" s="250">
        <f t="shared" si="13"/>
        <v>49.13652232071523</v>
      </c>
      <c r="S30" s="250">
        <f t="shared" si="13"/>
        <v>39.315944438001644</v>
      </c>
      <c r="T30" s="250">
        <f t="shared" si="13"/>
        <v>36.775522999537706</v>
      </c>
      <c r="U30" s="250">
        <f t="shared" si="13"/>
        <v>30.08558806961965</v>
      </c>
      <c r="V30" s="250">
        <f t="shared" si="13"/>
        <v>32.707120377342747</v>
      </c>
      <c r="W30" s="250">
        <f t="shared" si="13"/>
        <v>57.542741960138571</v>
      </c>
      <c r="X30" s="250">
        <f t="shared" si="13"/>
        <v>51.408462415835636</v>
      </c>
      <c r="Y30" s="250">
        <f t="shared" si="13"/>
        <v>44.479646113154431</v>
      </c>
      <c r="Z30" s="250">
        <f t="shared" si="13"/>
        <v>52.224664963945123</v>
      </c>
      <c r="AA30" s="250">
        <f t="shared" si="13"/>
        <v>44.066207109663409</v>
      </c>
      <c r="AB30" s="250">
        <f t="shared" si="13"/>
        <v>45.20949075283481</v>
      </c>
      <c r="AC30" s="250">
        <f t="shared" si="13"/>
        <v>50.776083692365631</v>
      </c>
      <c r="AD30" s="250">
        <f t="shared" si="13"/>
        <v>51.414253138781369</v>
      </c>
      <c r="AE30" s="250">
        <f t="shared" si="13"/>
        <v>41.140805120307178</v>
      </c>
      <c r="AF30" s="250">
        <f t="shared" si="13"/>
        <v>38.488458540627789</v>
      </c>
      <c r="AG30" s="250">
        <f t="shared" si="13"/>
        <v>31.488620251345775</v>
      </c>
      <c r="AH30" s="250">
        <f t="shared" si="13"/>
        <v>34.227433450021152</v>
      </c>
    </row>
    <row r="31" spans="3:34" x14ac:dyDescent="0.25">
      <c r="C31" s="1"/>
      <c r="E31" s="250"/>
      <c r="F31" s="250"/>
      <c r="G31" s="250"/>
      <c r="H31" s="250"/>
      <c r="I31" s="250"/>
      <c r="J31" s="250"/>
      <c r="K31" s="250"/>
      <c r="L31" s="250"/>
      <c r="M31" s="250"/>
      <c r="N31" s="250"/>
      <c r="O31" s="250"/>
      <c r="P31" s="251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</row>
    <row r="32" spans="3:34" x14ac:dyDescent="0.25">
      <c r="C32" s="11" t="s">
        <v>573</v>
      </c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</row>
    <row r="33" spans="3:34" x14ac:dyDescent="0.25">
      <c r="C33" s="1" t="s">
        <v>566</v>
      </c>
      <c r="E33" s="172">
        <f>Revenue!E149</f>
        <v>0.86236967495706784</v>
      </c>
      <c r="F33" s="172">
        <f>Revenue!F149</f>
        <v>0.85578292027886382</v>
      </c>
      <c r="G33" s="172">
        <f>Revenue!G149</f>
        <v>0.85483341582361816</v>
      </c>
      <c r="H33" s="172">
        <f>Revenue!H149</f>
        <v>0.86156120670650871</v>
      </c>
      <c r="I33" s="172">
        <f>Revenue!I149</f>
        <v>0.83799181111611576</v>
      </c>
      <c r="J33" s="311">
        <f>Revenue!J149</f>
        <v>0.84181219630947757</v>
      </c>
      <c r="K33" s="172">
        <f>Revenue!K149</f>
        <v>0.8587564964569806</v>
      </c>
      <c r="L33" s="172">
        <f>Revenue!L149</f>
        <v>0.84140735674191092</v>
      </c>
      <c r="M33" s="172">
        <f>Revenue!M149</f>
        <v>0.86202033678599943</v>
      </c>
      <c r="N33" s="172">
        <f>Revenue!N149</f>
        <v>0.8475683201280737</v>
      </c>
      <c r="O33" s="172">
        <f>Revenue!O149</f>
        <v>0.84277687372195109</v>
      </c>
      <c r="P33" s="173">
        <f>Revenue!P149</f>
        <v>0.84418783064296099</v>
      </c>
      <c r="Q33" s="172">
        <f>Revenue!Q149</f>
        <v>0.84945286907964623</v>
      </c>
      <c r="R33" s="172">
        <f>Revenue!R149</f>
        <v>0.84945286907964623</v>
      </c>
      <c r="S33" s="172">
        <f>Revenue!S149</f>
        <v>0.84945286907964623</v>
      </c>
      <c r="T33" s="172">
        <f>Revenue!T149</f>
        <v>0.84945286907964623</v>
      </c>
      <c r="U33" s="172">
        <f>Revenue!U149</f>
        <v>0.84945286907964623</v>
      </c>
      <c r="V33" s="172">
        <f>Revenue!V149</f>
        <v>0.84945286907964623</v>
      </c>
      <c r="W33" s="172">
        <f>Revenue!W149</f>
        <v>0.84945286907964623</v>
      </c>
      <c r="X33" s="172">
        <f>Revenue!X149</f>
        <v>0.84945286907964623</v>
      </c>
      <c r="Y33" s="172">
        <f>Revenue!Y149</f>
        <v>0.84945286907964623</v>
      </c>
      <c r="Z33" s="172">
        <f>Revenue!Z149</f>
        <v>0.84945286907964623</v>
      </c>
      <c r="AA33" s="172">
        <f>Revenue!AA149</f>
        <v>0.84945286907964623</v>
      </c>
      <c r="AB33" s="172">
        <f>Revenue!AB149</f>
        <v>0.84945286907964623</v>
      </c>
      <c r="AC33" s="172">
        <f>Revenue!AC149</f>
        <v>0.84945286907964623</v>
      </c>
      <c r="AD33" s="172">
        <f>Revenue!AD149</f>
        <v>0.84945286907964623</v>
      </c>
      <c r="AE33" s="172">
        <f>Revenue!AE149</f>
        <v>0.84945286907964623</v>
      </c>
      <c r="AF33" s="172">
        <f>Revenue!AF149</f>
        <v>0.84945286907964623</v>
      </c>
      <c r="AG33" s="172">
        <f>Revenue!AG149</f>
        <v>0.84945286907964623</v>
      </c>
      <c r="AH33" s="172">
        <f>Revenue!AH149</f>
        <v>0.84945286907964623</v>
      </c>
    </row>
    <row r="34" spans="3:34" x14ac:dyDescent="0.25">
      <c r="C34" s="1" t="s">
        <v>567</v>
      </c>
      <c r="E34" s="250">
        <f>E21*E33</f>
        <v>109.08712826085893</v>
      </c>
      <c r="F34" s="250">
        <f t="shared" ref="F34:AH34" si="14">F21*F33</f>
        <v>108.03563335840401</v>
      </c>
      <c r="G34" s="250">
        <f t="shared" si="14"/>
        <v>84.786126249198659</v>
      </c>
      <c r="H34" s="250">
        <f t="shared" si="14"/>
        <v>80.654548797809227</v>
      </c>
      <c r="I34" s="250">
        <f t="shared" si="14"/>
        <v>61.579440572535468</v>
      </c>
      <c r="J34" s="250">
        <f t="shared" si="14"/>
        <v>64.570466071875828</v>
      </c>
      <c r="K34" s="250">
        <f t="shared" si="14"/>
        <v>125.1451419429664</v>
      </c>
      <c r="L34" s="250">
        <f t="shared" si="14"/>
        <v>111.91514618984414</v>
      </c>
      <c r="M34" s="250">
        <f t="shared" si="14"/>
        <v>100.07211328110786</v>
      </c>
      <c r="N34" s="250">
        <f t="shared" si="14"/>
        <v>103.55018270400831</v>
      </c>
      <c r="O34" s="250">
        <f t="shared" si="14"/>
        <v>87.733809662390229</v>
      </c>
      <c r="P34" s="251">
        <f t="shared" si="14"/>
        <v>89.397069097642316</v>
      </c>
      <c r="Q34" s="250">
        <f t="shared" si="14"/>
        <v>111.41927220671461</v>
      </c>
      <c r="R34" s="250">
        <f t="shared" si="14"/>
        <v>112.79479025655948</v>
      </c>
      <c r="S34" s="250">
        <f t="shared" si="14"/>
        <v>90.25127333346839</v>
      </c>
      <c r="T34" s="250">
        <f t="shared" si="14"/>
        <v>84.419637519999299</v>
      </c>
      <c r="U34" s="250">
        <f t="shared" si="14"/>
        <v>65.609501120431972</v>
      </c>
      <c r="V34" s="250">
        <f t="shared" si="14"/>
        <v>67.92994155074075</v>
      </c>
      <c r="W34" s="250">
        <f t="shared" si="14"/>
        <v>132.09159304798513</v>
      </c>
      <c r="X34" s="250">
        <f t="shared" si="14"/>
        <v>118.01011674694354</v>
      </c>
      <c r="Y34" s="250">
        <f t="shared" si="14"/>
        <v>102.10475054121039</v>
      </c>
      <c r="Z34" s="250">
        <f t="shared" si="14"/>
        <v>108.4662421386799</v>
      </c>
      <c r="AA34" s="250">
        <f t="shared" si="14"/>
        <v>91.521810504476719</v>
      </c>
      <c r="AB34" s="250">
        <f t="shared" si="14"/>
        <v>93.896314592899927</v>
      </c>
      <c r="AC34" s="250">
        <f t="shared" si="14"/>
        <v>116.55846689246373</v>
      </c>
      <c r="AD34" s="250">
        <f t="shared" si="14"/>
        <v>118.02340957576511</v>
      </c>
      <c r="AE34" s="250">
        <f t="shared" si="14"/>
        <v>94.440311714422705</v>
      </c>
      <c r="AF34" s="250">
        <f t="shared" si="14"/>
        <v>88.351747403950284</v>
      </c>
      <c r="AG34" s="250">
        <f t="shared" si="14"/>
        <v>68.669180103137847</v>
      </c>
      <c r="AH34" s="250">
        <f t="shared" si="14"/>
        <v>71.087504092914685</v>
      </c>
    </row>
    <row r="35" spans="3:34" x14ac:dyDescent="0.25">
      <c r="C35" s="1"/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1"/>
      <c r="Q35" s="250"/>
      <c r="R35" s="250"/>
      <c r="S35" s="250"/>
      <c r="T35" s="250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</row>
    <row r="36" spans="3:34" x14ac:dyDescent="0.25">
      <c r="C36" s="23" t="s">
        <v>565</v>
      </c>
      <c r="D36" s="27"/>
      <c r="E36" s="309">
        <f>Expense!E78</f>
        <v>3.4269791201343568E-2</v>
      </c>
      <c r="F36" s="309">
        <f>Expense!F78</f>
        <v>3.8763141288462297E-2</v>
      </c>
      <c r="G36" s="309">
        <f>Expense!G78</f>
        <v>3.51233282874246E-2</v>
      </c>
      <c r="H36" s="309">
        <f>Expense!H78</f>
        <v>3.4057432168232947E-2</v>
      </c>
      <c r="I36" s="309">
        <f>Expense!I78</f>
        <v>3.8323420752202492E-2</v>
      </c>
      <c r="J36" s="309">
        <f>Expense!J78</f>
        <v>2.6985310487470469E-2</v>
      </c>
      <c r="K36" s="309">
        <f>Expense!K78</f>
        <v>4.9852299116256618E-2</v>
      </c>
      <c r="L36" s="309">
        <f>Expense!L78</f>
        <v>4.6903752327759334E-2</v>
      </c>
      <c r="M36" s="309">
        <f>Expense!M78</f>
        <v>4.3628467156515631E-2</v>
      </c>
      <c r="N36" s="309">
        <f>Expense!N78</f>
        <v>3.3933945604087065E-2</v>
      </c>
      <c r="O36" s="309">
        <f>Expense!O78</f>
        <v>4.896689616237751E-2</v>
      </c>
      <c r="P36" s="310">
        <f>Expense!P78</f>
        <v>4.4585142685862784E-2</v>
      </c>
      <c r="Q36" s="309">
        <f>Expense!Q78</f>
        <v>4.4645083842143163E-2</v>
      </c>
      <c r="R36" s="309">
        <f>Expense!R78</f>
        <v>4.4645083842143163E-2</v>
      </c>
      <c r="S36" s="309">
        <f>Expense!S78</f>
        <v>4.4645083842143163E-2</v>
      </c>
      <c r="T36" s="309">
        <f>Expense!T78</f>
        <v>4.4645083842143163E-2</v>
      </c>
      <c r="U36" s="309">
        <f>Expense!U78</f>
        <v>4.4645083842143163E-2</v>
      </c>
      <c r="V36" s="309">
        <f>Expense!V78</f>
        <v>4.4645083842143163E-2</v>
      </c>
      <c r="W36" s="309">
        <f>Expense!W78</f>
        <v>4.4645083842143163E-2</v>
      </c>
      <c r="X36" s="309">
        <f>Expense!X78</f>
        <v>4.4645083842143163E-2</v>
      </c>
      <c r="Y36" s="309">
        <f>Expense!Y78</f>
        <v>4.4645083842143163E-2</v>
      </c>
      <c r="Z36" s="309">
        <f>Expense!Z78</f>
        <v>4.4645083842143163E-2</v>
      </c>
      <c r="AA36" s="309">
        <f>Expense!AA78</f>
        <v>4.4645083842143163E-2</v>
      </c>
      <c r="AB36" s="309">
        <f>Expense!AB78</f>
        <v>4.4645083842143163E-2</v>
      </c>
      <c r="AC36" s="309">
        <f>Expense!AC78</f>
        <v>4.4645083842143163E-2</v>
      </c>
      <c r="AD36" s="309">
        <f>Expense!AD78</f>
        <v>4.4645083842143163E-2</v>
      </c>
      <c r="AE36" s="309">
        <f>Expense!AE78</f>
        <v>4.4645083842143163E-2</v>
      </c>
      <c r="AF36" s="309">
        <f>Expense!AF78</f>
        <v>4.4645083842143163E-2</v>
      </c>
      <c r="AG36" s="309">
        <f>Expense!AG78</f>
        <v>4.4645083842143163E-2</v>
      </c>
      <c r="AH36" s="309">
        <f>Expense!AH78</f>
        <v>4.4645083842143163E-2</v>
      </c>
    </row>
    <row r="37" spans="3:34" x14ac:dyDescent="0.25">
      <c r="C37" s="1" t="s">
        <v>574</v>
      </c>
      <c r="E37" s="250">
        <f>E34*E36</f>
        <v>3.7383931082538209</v>
      </c>
      <c r="F37" s="250">
        <f t="shared" ref="F37:AH37" si="15">F34*F36</f>
        <v>4.1878005200603248</v>
      </c>
      <c r="G37" s="250">
        <f t="shared" si="15"/>
        <v>2.9779709464696329</v>
      </c>
      <c r="H37" s="250">
        <f t="shared" si="15"/>
        <v>2.7468868247408218</v>
      </c>
      <c r="I37" s="250">
        <f t="shared" si="15"/>
        <v>2.3599348107465259</v>
      </c>
      <c r="J37" s="250">
        <f t="shared" si="15"/>
        <v>1.7424540752702469</v>
      </c>
      <c r="K37" s="250">
        <f t="shared" si="15"/>
        <v>6.2387730490871531</v>
      </c>
      <c r="L37" s="250">
        <f t="shared" si="15"/>
        <v>5.2492402986134277</v>
      </c>
      <c r="M37" s="250">
        <f t="shared" si="15"/>
        <v>4.365992907567926</v>
      </c>
      <c r="N37" s="250">
        <f t="shared" si="15"/>
        <v>3.5138662671710952</v>
      </c>
      <c r="O37" s="250">
        <f t="shared" si="15"/>
        <v>4.2960523476680548</v>
      </c>
      <c r="P37" s="251">
        <f t="shared" si="15"/>
        <v>3.985781081416317</v>
      </c>
      <c r="Q37" s="250">
        <f t="shared" si="15"/>
        <v>4.9743227492993451</v>
      </c>
      <c r="R37" s="250">
        <f t="shared" si="15"/>
        <v>5.0357328679610509</v>
      </c>
      <c r="S37" s="250">
        <f t="shared" si="15"/>
        <v>4.029275664832876</v>
      </c>
      <c r="T37" s="250">
        <f t="shared" si="15"/>
        <v>3.7689217950037035</v>
      </c>
      <c r="U37" s="250">
        <f t="shared" si="15"/>
        <v>2.9291416783628712</v>
      </c>
      <c r="V37" s="250">
        <f t="shared" si="15"/>
        <v>3.0327379359247053</v>
      </c>
      <c r="W37" s="250">
        <f t="shared" si="15"/>
        <v>5.8972402464695506</v>
      </c>
      <c r="X37" s="250">
        <f t="shared" si="15"/>
        <v>5.2685715563883972</v>
      </c>
      <c r="Y37" s="250">
        <f t="shared" si="15"/>
        <v>4.55847514859345</v>
      </c>
      <c r="Z37" s="250">
        <f t="shared" si="15"/>
        <v>4.842484474323566</v>
      </c>
      <c r="AA37" s="250">
        <f t="shared" si="15"/>
        <v>4.085998903357102</v>
      </c>
      <c r="AB37" s="250">
        <f t="shared" si="15"/>
        <v>4.1920088374682676</v>
      </c>
      <c r="AC37" s="250">
        <f t="shared" si="15"/>
        <v>5.2037625269257113</v>
      </c>
      <c r="AD37" s="250">
        <f t="shared" si="15"/>
        <v>5.269165015845636</v>
      </c>
      <c r="AE37" s="250">
        <f t="shared" si="15"/>
        <v>4.216295634568537</v>
      </c>
      <c r="AF37" s="250">
        <f t="shared" si="15"/>
        <v>3.9444711704492148</v>
      </c>
      <c r="AG37" s="250">
        <f t="shared" si="15"/>
        <v>3.0657413030758183</v>
      </c>
      <c r="AH37" s="250">
        <f t="shared" si="15"/>
        <v>3.1737075803568713</v>
      </c>
    </row>
    <row r="38" spans="3:34" x14ac:dyDescent="0.25">
      <c r="C38" s="1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1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</row>
    <row r="39" spans="3:34" x14ac:dyDescent="0.25">
      <c r="C39" s="11" t="s">
        <v>27</v>
      </c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</row>
    <row r="40" spans="3:34" x14ac:dyDescent="0.25">
      <c r="C40" s="1" t="s">
        <v>570</v>
      </c>
      <c r="E40" s="315">
        <f>Revenue!E59</f>
        <v>319699.78566216864</v>
      </c>
      <c r="F40" s="315">
        <f>Revenue!F59</f>
        <v>293058.13685698796</v>
      </c>
      <c r="G40" s="315">
        <f>Revenue!G59</f>
        <v>239774.83924662651</v>
      </c>
      <c r="H40" s="315">
        <f>Revenue!H59</f>
        <v>266416.48805180722</v>
      </c>
      <c r="I40" s="315">
        <f>Revenue!I59</f>
        <v>213133.19044144574</v>
      </c>
      <c r="J40" s="316">
        <f>Revenue!J59</f>
        <v>243790</v>
      </c>
      <c r="K40" s="315">
        <f>Revenue!K59</f>
        <v>306378.96125957824</v>
      </c>
      <c r="L40" s="315">
        <f>Revenue!L59</f>
        <v>293058.1368569879</v>
      </c>
      <c r="M40" s="315">
        <f>Revenue!M59</f>
        <v>253095.66364921682</v>
      </c>
      <c r="N40" s="315">
        <f>Revenue!N59</f>
        <v>266416.48805180716</v>
      </c>
      <c r="O40" s="315">
        <f>Revenue!O59</f>
        <v>253095.66364921685</v>
      </c>
      <c r="P40" s="317">
        <f>Revenue!P59</f>
        <v>266416.48805180722</v>
      </c>
      <c r="Q40" s="315">
        <f>Revenue!Q59</f>
        <v>334394.14841600909</v>
      </c>
      <c r="R40" s="315">
        <f>Revenue!R59</f>
        <v>306594.815321478</v>
      </c>
      <c r="S40" s="315">
        <f>Revenue!S59</f>
        <v>250863.97882591412</v>
      </c>
      <c r="T40" s="315">
        <f>Revenue!T59</f>
        <v>278782.13333313615</v>
      </c>
      <c r="U40" s="315">
        <f>Revenue!U59</f>
        <v>223037.66079556337</v>
      </c>
      <c r="V40" s="315">
        <f>Revenue!V59</f>
        <v>255081.79841771032</v>
      </c>
      <c r="W40" s="315">
        <f>Revenue!W59</f>
        <v>320551.59746247501</v>
      </c>
      <c r="X40" s="315">
        <f>Revenue!X59</f>
        <v>306598.69368377083</v>
      </c>
      <c r="Y40" s="315">
        <f>Revenue!Y59</f>
        <v>264780.64523741399</v>
      </c>
      <c r="Z40" s="315">
        <f>Revenue!Z59</f>
        <v>278749.82356087171</v>
      </c>
      <c r="AA40" s="315">
        <f>Revenue!AA59</f>
        <v>264764.2873956252</v>
      </c>
      <c r="AB40" s="315">
        <f>Revenue!AB59</f>
        <v>278731.79129789973</v>
      </c>
      <c r="AC40" s="315">
        <f>Revenue!AC59</f>
        <v>349818.02075379301</v>
      </c>
      <c r="AD40" s="315">
        <f>Revenue!AD59</f>
        <v>320807.06369670772</v>
      </c>
      <c r="AE40" s="315">
        <f>Revenue!AE59</f>
        <v>262507.90136446693</v>
      </c>
      <c r="AF40" s="315">
        <f>Revenue!AF59</f>
        <v>291767.28719249112</v>
      </c>
      <c r="AG40" s="315">
        <f>Revenue!AG59</f>
        <v>233438.95377042421</v>
      </c>
      <c r="AH40" s="315">
        <f>Revenue!AH59</f>
        <v>266938.67203613522</v>
      </c>
    </row>
    <row r="41" spans="3:34" x14ac:dyDescent="0.25">
      <c r="C41" s="1" t="s">
        <v>135</v>
      </c>
      <c r="E41" s="315">
        <f>Revenue!E63</f>
        <v>530549.40620602737</v>
      </c>
      <c r="F41" s="315">
        <f>Revenue!F63</f>
        <v>482822.79534646089</v>
      </c>
      <c r="G41" s="315">
        <f>Revenue!G63</f>
        <v>418997.01670890651</v>
      </c>
      <c r="H41" s="315">
        <f>Revenue!H63</f>
        <v>456181.14654128015</v>
      </c>
      <c r="I41" s="315">
        <f>Revenue!I63</f>
        <v>413440.32995811157</v>
      </c>
      <c r="J41" s="316">
        <f>Revenue!J63</f>
        <v>472016.36921483302</v>
      </c>
      <c r="K41" s="315">
        <f>Revenue!K63</f>
        <v>517228.58180343703</v>
      </c>
      <c r="L41" s="315">
        <f>Revenue!L63</f>
        <v>472280.31431926793</v>
      </c>
      <c r="M41" s="315">
        <f>Revenue!M63</f>
        <v>421775.36008430395</v>
      </c>
      <c r="N41" s="315">
        <f>Revenue!N63</f>
        <v>519436.03270443773</v>
      </c>
      <c r="O41" s="315">
        <f>Revenue!O63</f>
        <v>495572.72727465455</v>
      </c>
      <c r="P41" s="317">
        <f>Revenue!P63</f>
        <v>529978.51373163075</v>
      </c>
      <c r="Q41" s="315">
        <f>Revenue!Q63</f>
        <v>554935.05106180557</v>
      </c>
      <c r="R41" s="315">
        <f>Revenue!R63</f>
        <v>505124.91261925583</v>
      </c>
      <c r="S41" s="315">
        <f>Revenue!S63</f>
        <v>438374.84807849023</v>
      </c>
      <c r="T41" s="315">
        <f>Revenue!T63</f>
        <v>477354.66430442425</v>
      </c>
      <c r="U41" s="315">
        <f>Revenue!U63</f>
        <v>432653.23378967942</v>
      </c>
      <c r="V41" s="315">
        <f>Revenue!V63</f>
        <v>493879.09406422568</v>
      </c>
      <c r="W41" s="315">
        <f>Revenue!W63</f>
        <v>541154.80863540806</v>
      </c>
      <c r="X41" s="315">
        <f>Revenue!X63</f>
        <v>494101.71297687176</v>
      </c>
      <c r="Y41" s="315">
        <f>Revenue!Y63</f>
        <v>441247.9865445146</v>
      </c>
      <c r="Z41" s="315">
        <f>Revenue!Z63</f>
        <v>543482.51313696825</v>
      </c>
      <c r="AA41" s="315">
        <f>Revenue!AA63</f>
        <v>518420.41897420085</v>
      </c>
      <c r="AB41" s="315">
        <f>Revenue!AB63</f>
        <v>554477.17054617917</v>
      </c>
      <c r="AC41" s="315">
        <f>Revenue!AC63</f>
        <v>580531.33444141364</v>
      </c>
      <c r="AD41" s="315">
        <f>Revenue!AD63</f>
        <v>528540.05325408233</v>
      </c>
      <c r="AE41" s="315">
        <f>Revenue!AE63</f>
        <v>458722.14065419312</v>
      </c>
      <c r="AF41" s="315">
        <f>Revenue!AF63</f>
        <v>499588.95775559975</v>
      </c>
      <c r="AG41" s="315">
        <f>Revenue!AG63</f>
        <v>452829.88478716399</v>
      </c>
      <c r="AH41" s="315">
        <f>Revenue!AH63</f>
        <v>516835.8947353281</v>
      </c>
    </row>
    <row r="42" spans="3:34" x14ac:dyDescent="0.25">
      <c r="C42" s="1" t="s">
        <v>571</v>
      </c>
      <c r="E42" s="163">
        <f>E40/E41</f>
        <v>0.6025824964131995</v>
      </c>
      <c r="F42" s="163">
        <f t="shared" ref="F42:AH42" si="16">F40/F41</f>
        <v>0.60696831152451525</v>
      </c>
      <c r="G42" s="163">
        <f t="shared" si="16"/>
        <v>0.57225906076846222</v>
      </c>
      <c r="H42" s="163">
        <f t="shared" si="16"/>
        <v>0.58401468379776411</v>
      </c>
      <c r="I42" s="163">
        <f t="shared" si="16"/>
        <v>0.51551136886679561</v>
      </c>
      <c r="J42" s="163">
        <f t="shared" si="16"/>
        <v>0.51648632526352423</v>
      </c>
      <c r="K42" s="163">
        <f t="shared" si="16"/>
        <v>0.5923473142016189</v>
      </c>
      <c r="L42" s="163">
        <f t="shared" si="16"/>
        <v>0.62051736642759281</v>
      </c>
      <c r="M42" s="163">
        <f t="shared" si="16"/>
        <v>0.60007218913553495</v>
      </c>
      <c r="N42" s="163">
        <f t="shared" si="16"/>
        <v>0.51289566236811257</v>
      </c>
      <c r="O42" s="163">
        <f t="shared" si="16"/>
        <v>0.51071346286767527</v>
      </c>
      <c r="P42" s="300">
        <f t="shared" si="16"/>
        <v>0.50269299820466784</v>
      </c>
      <c r="Q42" s="163">
        <f t="shared" si="16"/>
        <v>0.60258249641319939</v>
      </c>
      <c r="R42" s="163">
        <f t="shared" si="16"/>
        <v>0.60696831152451525</v>
      </c>
      <c r="S42" s="163">
        <f t="shared" si="16"/>
        <v>0.57225906076846222</v>
      </c>
      <c r="T42" s="163">
        <f t="shared" si="16"/>
        <v>0.58401468379776411</v>
      </c>
      <c r="U42" s="163">
        <f t="shared" si="16"/>
        <v>0.51551136886679561</v>
      </c>
      <c r="V42" s="163">
        <f t="shared" si="16"/>
        <v>0.51648632526352423</v>
      </c>
      <c r="W42" s="163">
        <f t="shared" si="16"/>
        <v>0.5923473142016189</v>
      </c>
      <c r="X42" s="163">
        <f t="shared" si="16"/>
        <v>0.62051736642759281</v>
      </c>
      <c r="Y42" s="163">
        <f t="shared" si="16"/>
        <v>0.60007218913553506</v>
      </c>
      <c r="Z42" s="163">
        <f t="shared" si="16"/>
        <v>0.51289566236811246</v>
      </c>
      <c r="AA42" s="163">
        <f t="shared" si="16"/>
        <v>0.51071346286767527</v>
      </c>
      <c r="AB42" s="163">
        <f t="shared" si="16"/>
        <v>0.50269299820466784</v>
      </c>
      <c r="AC42" s="163">
        <f t="shared" si="16"/>
        <v>0.60258249641319939</v>
      </c>
      <c r="AD42" s="163">
        <f t="shared" si="16"/>
        <v>0.60696831152451525</v>
      </c>
      <c r="AE42" s="163">
        <f t="shared" si="16"/>
        <v>0.57225906076846211</v>
      </c>
      <c r="AF42" s="163">
        <f t="shared" si="16"/>
        <v>0.58401468379776411</v>
      </c>
      <c r="AG42" s="163">
        <f t="shared" si="16"/>
        <v>0.51551136886679549</v>
      </c>
      <c r="AH42" s="163">
        <f t="shared" si="16"/>
        <v>0.51648632526352423</v>
      </c>
    </row>
    <row r="43" spans="3:34" x14ac:dyDescent="0.25">
      <c r="C43" s="23" t="s">
        <v>572</v>
      </c>
      <c r="D43" s="27"/>
      <c r="E43" s="307">
        <f>Expense!E69</f>
        <v>36.864684319788694</v>
      </c>
      <c r="F43" s="307">
        <f>Expense!F69</f>
        <v>35.300584398778966</v>
      </c>
      <c r="G43" s="307">
        <f>Expense!G69</f>
        <v>33.374602027068249</v>
      </c>
      <c r="H43" s="307">
        <f>Expense!H69</f>
        <v>34.471956929929419</v>
      </c>
      <c r="I43" s="307">
        <f>Expense!I69</f>
        <v>33.089816135733372</v>
      </c>
      <c r="J43" s="307">
        <f>Expense!J69</f>
        <v>34.997733171572534</v>
      </c>
      <c r="K43" s="307">
        <f>Expense!K69</f>
        <v>36.582968329413802</v>
      </c>
      <c r="L43" s="307">
        <f>Expense!L69</f>
        <v>35.035343513956931</v>
      </c>
      <c r="M43" s="307">
        <f>Expense!M69</f>
        <v>33.407789855974222</v>
      </c>
      <c r="N43" s="307">
        <f>Expense!N69</f>
        <v>36.422941349570195</v>
      </c>
      <c r="O43" s="307">
        <f>Expense!O69</f>
        <v>35.844866026294582</v>
      </c>
      <c r="P43" s="308">
        <f>Expense!P69</f>
        <v>36.933391794384342</v>
      </c>
      <c r="Q43" s="307">
        <f>Expense!Q69</f>
        <v>37.639835884594092</v>
      </c>
      <c r="R43" s="307">
        <f>Expense!R69</f>
        <v>36.007335262434857</v>
      </c>
      <c r="S43" s="307">
        <f>Expense!S69</f>
        <v>33.993152451965138</v>
      </c>
      <c r="T43" s="307">
        <f>Expense!T69</f>
        <v>35.14366868182136</v>
      </c>
      <c r="U43" s="307">
        <f>Expense!U69</f>
        <v>33.698110393369603</v>
      </c>
      <c r="V43" s="307">
        <f>Expense!V69</f>
        <v>35.692394066998943</v>
      </c>
      <c r="W43" s="307">
        <f>Expense!W69</f>
        <v>37.350071841778728</v>
      </c>
      <c r="X43" s="307">
        <f>Expense!X69</f>
        <v>35.730041588012753</v>
      </c>
      <c r="Y43" s="307">
        <f>Expense!Y69</f>
        <v>34.026803928939991</v>
      </c>
      <c r="Z43" s="307">
        <f>Expense!Z69</f>
        <v>37.183215787504196</v>
      </c>
      <c r="AA43" s="307">
        <f>Expense!AA69</f>
        <v>36.575371548622805</v>
      </c>
      <c r="AB43" s="307">
        <f>Expense!AB69</f>
        <v>37.716150611069082</v>
      </c>
      <c r="AC43" s="307">
        <f>Expense!AC69</f>
        <v>38.453470267947473</v>
      </c>
      <c r="AD43" s="307">
        <f>Expense!AD69</f>
        <v>36.749357675099446</v>
      </c>
      <c r="AE43" s="307">
        <f>Expense!AE69</f>
        <v>34.642648581235697</v>
      </c>
      <c r="AF43" s="307">
        <f>Expense!AF69</f>
        <v>35.849032635663995</v>
      </c>
      <c r="AG43" s="307">
        <f>Expense!AG69</f>
        <v>34.336917574610709</v>
      </c>
      <c r="AH43" s="307">
        <f>Expense!AH69</f>
        <v>36.421817861158651</v>
      </c>
    </row>
    <row r="44" spans="3:34" x14ac:dyDescent="0.25">
      <c r="C44" s="1" t="s">
        <v>575</v>
      </c>
      <c r="E44" s="250">
        <f>E43*E42</f>
        <v>22.214013506902802</v>
      </c>
      <c r="F44" s="250">
        <f t="shared" ref="F44:AH44" si="17">F43*F42</f>
        <v>21.426336108355514</v>
      </c>
      <c r="G44" s="250">
        <f t="shared" si="17"/>
        <v>19.09891840953129</v>
      </c>
      <c r="H44" s="250">
        <f t="shared" si="17"/>
        <v>20.132129026322872</v>
      </c>
      <c r="I44" s="250">
        <f t="shared" si="17"/>
        <v>17.058176411682492</v>
      </c>
      <c r="J44" s="250">
        <f t="shared" si="17"/>
        <v>18.075850598338842</v>
      </c>
      <c r="K44" s="250">
        <f t="shared" si="17"/>
        <v>21.669823035451152</v>
      </c>
      <c r="L44" s="250">
        <f t="shared" si="17"/>
        <v>21.740039089166601</v>
      </c>
      <c r="M44" s="250">
        <f t="shared" si="17"/>
        <v>20.047085593054369</v>
      </c>
      <c r="N44" s="250">
        <f t="shared" si="17"/>
        <v>18.68116862888272</v>
      </c>
      <c r="O44" s="250">
        <f t="shared" si="17"/>
        <v>18.306455654316792</v>
      </c>
      <c r="P44" s="251">
        <f t="shared" si="17"/>
        <v>18.56615745498674</v>
      </c>
      <c r="Q44" s="250">
        <f t="shared" si="17"/>
        <v>22.681106271921834</v>
      </c>
      <c r="R44" s="250">
        <f t="shared" si="17"/>
        <v>21.855311486737225</v>
      </c>
      <c r="S44" s="250">
        <f t="shared" si="17"/>
        <v>19.452889494720718</v>
      </c>
      <c r="T44" s="250">
        <f t="shared" si="17"/>
        <v>20.524418552707289</v>
      </c>
      <c r="U44" s="250">
        <f t="shared" si="17"/>
        <v>17.371759017110357</v>
      </c>
      <c r="V44" s="250">
        <f t="shared" si="17"/>
        <v>18.434633451521897</v>
      </c>
      <c r="W44" s="250">
        <f t="shared" si="17"/>
        <v>22.124214740715143</v>
      </c>
      <c r="X44" s="250">
        <f t="shared" si="17"/>
        <v>22.171111308542038</v>
      </c>
      <c r="Y44" s="250">
        <f t="shared" si="17"/>
        <v>20.418538722924644</v>
      </c>
      <c r="Z44" s="250">
        <f t="shared" si="17"/>
        <v>19.071110090308419</v>
      </c>
      <c r="AA44" s="250">
        <f t="shared" si="17"/>
        <v>18.679534659268999</v>
      </c>
      <c r="AB44" s="250">
        <f t="shared" si="17"/>
        <v>18.959644831417133</v>
      </c>
      <c r="AC44" s="250">
        <f t="shared" si="17"/>
        <v>23.171388109810529</v>
      </c>
      <c r="AD44" s="250">
        <f t="shared" si="17"/>
        <v>22.305695577665595</v>
      </c>
      <c r="AE44" s="250">
        <f t="shared" si="17"/>
        <v>19.824569539629838</v>
      </c>
      <c r="AF44" s="250">
        <f t="shared" si="17"/>
        <v>20.936361459173035</v>
      </c>
      <c r="AG44" s="250">
        <f t="shared" si="17"/>
        <v>17.701071381553895</v>
      </c>
      <c r="AH44" s="250">
        <f t="shared" si="17"/>
        <v>18.811370866527223</v>
      </c>
    </row>
    <row r="45" spans="3:34" x14ac:dyDescent="0.25">
      <c r="C45" s="1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1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</row>
    <row r="46" spans="3:34" ht="15.75" thickBot="1" x14ac:dyDescent="0.3">
      <c r="C46" s="50" t="s">
        <v>79</v>
      </c>
      <c r="D46" s="53"/>
      <c r="E46" s="376">
        <f>E44+E37+E30</f>
        <v>72.356828657892734</v>
      </c>
      <c r="F46" s="376">
        <f t="shared" ref="F46:AH46" si="18">F44+F37+F30</f>
        <v>72.581198572505571</v>
      </c>
      <c r="G46" s="376">
        <f t="shared" si="18"/>
        <v>59.654919894984559</v>
      </c>
      <c r="H46" s="376">
        <f t="shared" si="18"/>
        <v>58.023325734428624</v>
      </c>
      <c r="I46" s="376">
        <f t="shared" si="18"/>
        <v>48.167683598291582</v>
      </c>
      <c r="J46" s="376">
        <f t="shared" si="18"/>
        <v>51.077567099441104</v>
      </c>
      <c r="K46" s="376">
        <f t="shared" si="18"/>
        <v>82.907184921204532</v>
      </c>
      <c r="L46" s="376">
        <f t="shared" si="18"/>
        <v>76.127349851335794</v>
      </c>
      <c r="M46" s="376">
        <f t="shared" si="18"/>
        <v>66.929802265673416</v>
      </c>
      <c r="N46" s="376">
        <f t="shared" si="18"/>
        <v>72.109010272394002</v>
      </c>
      <c r="O46" s="376">
        <f t="shared" si="18"/>
        <v>64.726640537498326</v>
      </c>
      <c r="P46" s="377">
        <f t="shared" si="18"/>
        <v>65.763922705471401</v>
      </c>
      <c r="Q46" s="376">
        <f t="shared" si="18"/>
        <v>76.192737732823673</v>
      </c>
      <c r="R46" s="376">
        <f t="shared" si="18"/>
        <v>76.02756667541351</v>
      </c>
      <c r="S46" s="376">
        <f t="shared" si="18"/>
        <v>62.798109597555239</v>
      </c>
      <c r="T46" s="376">
        <f t="shared" si="18"/>
        <v>61.068863347248694</v>
      </c>
      <c r="U46" s="376">
        <f t="shared" si="18"/>
        <v>50.386488765092878</v>
      </c>
      <c r="V46" s="376">
        <f t="shared" si="18"/>
        <v>54.174491764789352</v>
      </c>
      <c r="W46" s="376">
        <f t="shared" si="18"/>
        <v>85.564196947323268</v>
      </c>
      <c r="X46" s="376">
        <f t="shared" si="18"/>
        <v>78.848145280766076</v>
      </c>
      <c r="Y46" s="376">
        <f t="shared" si="18"/>
        <v>69.456659984672527</v>
      </c>
      <c r="Z46" s="376">
        <f t="shared" si="18"/>
        <v>76.138259528577109</v>
      </c>
      <c r="AA46" s="376">
        <f t="shared" si="18"/>
        <v>66.831740672289513</v>
      </c>
      <c r="AB46" s="376">
        <f t="shared" si="18"/>
        <v>68.361144421720212</v>
      </c>
      <c r="AC46" s="376">
        <f t="shared" si="18"/>
        <v>79.151234329101868</v>
      </c>
      <c r="AD46" s="376">
        <f t="shared" si="18"/>
        <v>78.989113732292594</v>
      </c>
      <c r="AE46" s="376">
        <f t="shared" si="18"/>
        <v>65.181670294505551</v>
      </c>
      <c r="AF46" s="376">
        <f t="shared" si="18"/>
        <v>63.369291170250037</v>
      </c>
      <c r="AG46" s="376">
        <f t="shared" si="18"/>
        <v>52.255432935975492</v>
      </c>
      <c r="AH46" s="376">
        <f t="shared" si="18"/>
        <v>56.212511896905248</v>
      </c>
    </row>
    <row r="47" spans="3:34" ht="15.75" thickTop="1" x14ac:dyDescent="0.25">
      <c r="C47" s="1" t="s">
        <v>576</v>
      </c>
      <c r="E47" s="250">
        <f>E46*1000/E15</f>
        <v>14.835570825605677</v>
      </c>
      <c r="F47" s="250">
        <f t="shared" ref="F47:AH47" si="19">F46*1000/F15</f>
        <v>15.834388328314253</v>
      </c>
      <c r="G47" s="250">
        <f t="shared" si="19"/>
        <v>15.953257245874319</v>
      </c>
      <c r="H47" s="250">
        <f t="shared" si="19"/>
        <v>13.002737389298732</v>
      </c>
      <c r="I47" s="250">
        <f t="shared" si="19"/>
        <v>13.387216438351858</v>
      </c>
      <c r="J47" s="250">
        <f t="shared" si="19"/>
        <v>14.429682500256618</v>
      </c>
      <c r="K47" s="250">
        <f t="shared" si="19"/>
        <v>16.097811307159251</v>
      </c>
      <c r="L47" s="250">
        <f t="shared" si="19"/>
        <v>16.041729833237952</v>
      </c>
      <c r="M47" s="250">
        <f t="shared" si="19"/>
        <v>16.476337655332017</v>
      </c>
      <c r="N47" s="250">
        <f t="shared" si="19"/>
        <v>16.696492868491738</v>
      </c>
      <c r="O47" s="250">
        <f t="shared" si="19"/>
        <v>16.787553154347211</v>
      </c>
      <c r="P47" s="251">
        <f t="shared" si="19"/>
        <v>15.951835655564153</v>
      </c>
      <c r="Q47" s="250">
        <f t="shared" si="19"/>
        <v>14.935576554226182</v>
      </c>
      <c r="R47" s="250">
        <f t="shared" si="19"/>
        <v>15.85394051677695</v>
      </c>
      <c r="S47" s="250">
        <f t="shared" si="19"/>
        <v>16.051476015643637</v>
      </c>
      <c r="T47" s="250">
        <f t="shared" si="19"/>
        <v>13.078205953625863</v>
      </c>
      <c r="U47" s="250">
        <f t="shared" si="19"/>
        <v>13.382014714790294</v>
      </c>
      <c r="V47" s="250">
        <f t="shared" si="19"/>
        <v>14.627086683402446</v>
      </c>
      <c r="W47" s="250">
        <f t="shared" si="19"/>
        <v>15.879167721332294</v>
      </c>
      <c r="X47" s="250">
        <f t="shared" si="19"/>
        <v>15.881278165419381</v>
      </c>
      <c r="Y47" s="250">
        <f t="shared" si="19"/>
        <v>16.343817530497187</v>
      </c>
      <c r="Z47" s="250">
        <f t="shared" si="19"/>
        <v>16.84942808697895</v>
      </c>
      <c r="AA47" s="250">
        <f t="shared" si="19"/>
        <v>16.569614559599579</v>
      </c>
      <c r="AB47" s="250">
        <f t="shared" si="19"/>
        <v>15.849182790256055</v>
      </c>
      <c r="AC47" s="250">
        <f t="shared" si="19"/>
        <v>14.831415308532147</v>
      </c>
      <c r="AD47" s="250">
        <f t="shared" si="19"/>
        <v>15.741795233095448</v>
      </c>
      <c r="AE47" s="250">
        <f t="shared" si="19"/>
        <v>15.921713873974126</v>
      </c>
      <c r="AF47" s="250">
        <f t="shared" si="19"/>
        <v>12.966880980133707</v>
      </c>
      <c r="AG47" s="250">
        <f t="shared" si="19"/>
        <v>13.260006337138217</v>
      </c>
      <c r="AH47" s="250">
        <f t="shared" si="19"/>
        <v>14.503204027467234</v>
      </c>
    </row>
    <row r="48" spans="3:34" x14ac:dyDescent="0.25">
      <c r="C48" s="1" t="s">
        <v>577</v>
      </c>
      <c r="E48" s="250">
        <f>E46*1000/E17</f>
        <v>9.0577347814503177</v>
      </c>
      <c r="F48" s="250">
        <f t="shared" ref="F48:AH48" si="20">F46*1000/F17</f>
        <v>9.6388717579624466</v>
      </c>
      <c r="G48" s="250">
        <f t="shared" si="20"/>
        <v>9.6921096793378254</v>
      </c>
      <c r="H48" s="250">
        <f t="shared" si="20"/>
        <v>7.9119676323716979</v>
      </c>
      <c r="I48" s="250">
        <f t="shared" si="20"/>
        <v>8.1735958308355432</v>
      </c>
      <c r="J48" s="250">
        <f t="shared" si="20"/>
        <v>8.7647615060537394</v>
      </c>
      <c r="K48" s="250">
        <f t="shared" si="20"/>
        <v>9.8152725972738128</v>
      </c>
      <c r="L48" s="250">
        <f t="shared" si="20"/>
        <v>9.7699795986315827</v>
      </c>
      <c r="M48" s="250">
        <f t="shared" si="20"/>
        <v>10.021189554238783</v>
      </c>
      <c r="N48" s="250">
        <f t="shared" si="20"/>
        <v>10.196841908977564</v>
      </c>
      <c r="O48" s="250">
        <f t="shared" si="20"/>
        <v>10.190869478162691</v>
      </c>
      <c r="P48" s="251">
        <f t="shared" si="20"/>
        <v>9.7510277499512785</v>
      </c>
      <c r="Q48" s="250">
        <f t="shared" si="20"/>
        <v>9.1187924500171924</v>
      </c>
      <c r="R48" s="250">
        <f t="shared" si="20"/>
        <v>9.650773767264722</v>
      </c>
      <c r="S48" s="250">
        <f t="shared" si="20"/>
        <v>9.7517806966418341</v>
      </c>
      <c r="T48" s="250">
        <f t="shared" si="20"/>
        <v>7.9578891041618807</v>
      </c>
      <c r="U48" s="250">
        <f t="shared" si="20"/>
        <v>8.170419906534045</v>
      </c>
      <c r="V48" s="250">
        <f t="shared" si="20"/>
        <v>8.8846671647915372</v>
      </c>
      <c r="W48" s="250">
        <f t="shared" si="20"/>
        <v>9.6819596669885275</v>
      </c>
      <c r="X48" s="250">
        <f t="shared" si="20"/>
        <v>9.6722588704152397</v>
      </c>
      <c r="Y48" s="250">
        <f t="shared" si="20"/>
        <v>9.9405885542773955</v>
      </c>
      <c r="Z48" s="250">
        <f t="shared" si="20"/>
        <v>10.290242137247773</v>
      </c>
      <c r="AA48" s="250">
        <f t="shared" si="20"/>
        <v>10.058570044593827</v>
      </c>
      <c r="AB48" s="250">
        <f t="shared" si="20"/>
        <v>9.6882781730471237</v>
      </c>
      <c r="AC48" s="250">
        <f t="shared" si="20"/>
        <v>9.0551976649500983</v>
      </c>
      <c r="AD48" s="250">
        <f t="shared" si="20"/>
        <v>9.5825075364982713</v>
      </c>
      <c r="AE48" s="250">
        <f t="shared" si="20"/>
        <v>9.672946080619333</v>
      </c>
      <c r="AF48" s="250">
        <f t="shared" si="20"/>
        <v>7.8901495535908239</v>
      </c>
      <c r="AG48" s="250">
        <f t="shared" si="20"/>
        <v>8.0959274105400993</v>
      </c>
      <c r="AH48" s="250">
        <f t="shared" si="20"/>
        <v>8.809419359859632</v>
      </c>
    </row>
    <row r="49" spans="3:34" x14ac:dyDescent="0.25">
      <c r="C49" s="1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1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</row>
    <row r="50" spans="3:34" ht="18.75" x14ac:dyDescent="0.3">
      <c r="C50" s="182" t="s">
        <v>581</v>
      </c>
      <c r="D50" s="179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</row>
    <row r="51" spans="3:34" x14ac:dyDescent="0.25">
      <c r="C51" s="30"/>
      <c r="D51" s="30"/>
      <c r="E51" s="45" t="str">
        <f t="shared" ref="E51:AH51" si="21">E$9</f>
        <v>Jul-20A</v>
      </c>
      <c r="F51" s="45" t="str">
        <f t="shared" si="21"/>
        <v>Aug-20A</v>
      </c>
      <c r="G51" s="45" t="str">
        <f t="shared" si="21"/>
        <v>Sep-20A</v>
      </c>
      <c r="H51" s="45" t="str">
        <f t="shared" si="21"/>
        <v>Oct-20A</v>
      </c>
      <c r="I51" s="45" t="str">
        <f t="shared" si="21"/>
        <v>Nov-20A</v>
      </c>
      <c r="J51" s="45" t="str">
        <f t="shared" si="21"/>
        <v>Dec-20A</v>
      </c>
      <c r="K51" s="45" t="str">
        <f t="shared" si="21"/>
        <v>Jan-21A</v>
      </c>
      <c r="L51" s="45" t="str">
        <f t="shared" si="21"/>
        <v>Feb-21A</v>
      </c>
      <c r="M51" s="45" t="str">
        <f t="shared" si="21"/>
        <v>Mar-21A</v>
      </c>
      <c r="N51" s="45" t="str">
        <f t="shared" si="21"/>
        <v>Apr-21A</v>
      </c>
      <c r="O51" s="45" t="str">
        <f t="shared" si="21"/>
        <v>May-21A</v>
      </c>
      <c r="P51" s="46" t="str">
        <f t="shared" si="21"/>
        <v>Jun-21A</v>
      </c>
      <c r="Q51" s="45" t="str">
        <f t="shared" si="21"/>
        <v>Jul-21F</v>
      </c>
      <c r="R51" s="45" t="str">
        <f t="shared" si="21"/>
        <v>Aug-21F</v>
      </c>
      <c r="S51" s="45" t="str">
        <f t="shared" si="21"/>
        <v>Sep-21F</v>
      </c>
      <c r="T51" s="45" t="str">
        <f t="shared" si="21"/>
        <v>Oct-21F</v>
      </c>
      <c r="U51" s="45" t="str">
        <f t="shared" si="21"/>
        <v>Nov-21F</v>
      </c>
      <c r="V51" s="45" t="str">
        <f t="shared" si="21"/>
        <v>Dec-21F</v>
      </c>
      <c r="W51" s="45" t="str">
        <f t="shared" si="21"/>
        <v>Jan-22F</v>
      </c>
      <c r="X51" s="45" t="str">
        <f t="shared" si="21"/>
        <v>Feb-22F</v>
      </c>
      <c r="Y51" s="45" t="str">
        <f t="shared" si="21"/>
        <v>Mar-22F</v>
      </c>
      <c r="Z51" s="45" t="str">
        <f t="shared" si="21"/>
        <v>Apr-22F</v>
      </c>
      <c r="AA51" s="45" t="str">
        <f t="shared" si="21"/>
        <v>May-22F</v>
      </c>
      <c r="AB51" s="45" t="str">
        <f t="shared" si="21"/>
        <v>Jun-22F</v>
      </c>
      <c r="AC51" s="45" t="str">
        <f t="shared" si="21"/>
        <v>Jul-22F</v>
      </c>
      <c r="AD51" s="45" t="str">
        <f t="shared" si="21"/>
        <v>Aug-22F</v>
      </c>
      <c r="AE51" s="45" t="str">
        <f t="shared" si="21"/>
        <v>Sep-22F</v>
      </c>
      <c r="AF51" s="45" t="str">
        <f t="shared" si="21"/>
        <v>Oct-22F</v>
      </c>
      <c r="AG51" s="45" t="str">
        <f t="shared" si="21"/>
        <v>Nov-22F</v>
      </c>
      <c r="AH51" s="45" t="str">
        <f t="shared" si="21"/>
        <v>Dec-22F</v>
      </c>
    </row>
    <row r="52" spans="3:34" x14ac:dyDescent="0.25">
      <c r="C52" s="1" t="s">
        <v>579</v>
      </c>
      <c r="E52" s="250">
        <f>(E23-E47)</f>
        <v>11.100535039837565</v>
      </c>
      <c r="F52" s="250">
        <f t="shared" ref="F52:AH52" si="22">(F23-F47)</f>
        <v>11.706666106768731</v>
      </c>
      <c r="G52" s="250">
        <f t="shared" si="22"/>
        <v>10.571193787399736</v>
      </c>
      <c r="H52" s="250">
        <f t="shared" si="22"/>
        <v>7.9757853928905913</v>
      </c>
      <c r="I52" s="250">
        <f t="shared" si="22"/>
        <v>7.0362985276871139</v>
      </c>
      <c r="J52" s="250">
        <f t="shared" si="22"/>
        <v>7.2396373435441035</v>
      </c>
      <c r="K52" s="250">
        <f t="shared" si="22"/>
        <v>12.197770163488379</v>
      </c>
      <c r="L52" s="250">
        <f t="shared" si="22"/>
        <v>11.986330776232101</v>
      </c>
      <c r="M52" s="250">
        <f t="shared" si="22"/>
        <v>12.101982742085635</v>
      </c>
      <c r="N52" s="250">
        <f t="shared" si="22"/>
        <v>11.592134536635196</v>
      </c>
      <c r="O52" s="250">
        <f t="shared" si="22"/>
        <v>10.212132779506945</v>
      </c>
      <c r="P52" s="251">
        <f t="shared" si="22"/>
        <v>9.7347955089809695</v>
      </c>
      <c r="Q52" s="250">
        <f t="shared" si="22"/>
        <v>10.776043582866871</v>
      </c>
      <c r="R52" s="250">
        <f t="shared" si="22"/>
        <v>11.835608800836551</v>
      </c>
      <c r="S52" s="250">
        <f t="shared" si="22"/>
        <v>11.105565374100486</v>
      </c>
      <c r="T52" s="250">
        <f t="shared" si="22"/>
        <v>8.204778661460443</v>
      </c>
      <c r="U52" s="250">
        <f t="shared" si="22"/>
        <v>7.1312533750126299</v>
      </c>
      <c r="V52" s="250">
        <f t="shared" si="22"/>
        <v>6.9645191230296142</v>
      </c>
      <c r="W52" s="250">
        <f t="shared" si="22"/>
        <v>12.97918568327654</v>
      </c>
      <c r="X52" s="250">
        <f t="shared" si="22"/>
        <v>12.100410687227328</v>
      </c>
      <c r="Y52" s="250">
        <f t="shared" si="22"/>
        <v>11.940536906498544</v>
      </c>
      <c r="Z52" s="250">
        <f t="shared" si="22"/>
        <v>11.408318495974758</v>
      </c>
      <c r="AA52" s="250">
        <f t="shared" si="22"/>
        <v>10.142910869660827</v>
      </c>
      <c r="AB52" s="250">
        <f t="shared" si="22"/>
        <v>9.7783506422200581</v>
      </c>
      <c r="AC52" s="250">
        <f t="shared" si="22"/>
        <v>10.880204828560903</v>
      </c>
      <c r="AD52" s="250">
        <f t="shared" si="22"/>
        <v>11.947754084518049</v>
      </c>
      <c r="AE52" s="250">
        <f t="shared" si="22"/>
        <v>11.235327515769997</v>
      </c>
      <c r="AF52" s="250">
        <f t="shared" si="22"/>
        <v>8.3161036349525954</v>
      </c>
      <c r="AG52" s="250">
        <f t="shared" si="22"/>
        <v>7.2532617526647005</v>
      </c>
      <c r="AH52" s="250">
        <f t="shared" si="22"/>
        <v>7.0884017789648261</v>
      </c>
    </row>
    <row r="53" spans="3:34" x14ac:dyDescent="0.25">
      <c r="C53" s="1" t="s">
        <v>580</v>
      </c>
      <c r="E53" s="250">
        <f>E24-E48</f>
        <v>6.7773396457051938</v>
      </c>
      <c r="F53" s="250">
        <f t="shared" ref="F53:AH53" si="23">F24-F48</f>
        <v>7.1262022237168612</v>
      </c>
      <c r="G53" s="250">
        <f t="shared" si="23"/>
        <v>6.4223354547554443</v>
      </c>
      <c r="H53" s="250">
        <f t="shared" si="23"/>
        <v>4.8531439174668067</v>
      </c>
      <c r="I53" s="250">
        <f t="shared" si="23"/>
        <v>4.2960282725882415</v>
      </c>
      <c r="J53" s="250">
        <f t="shared" si="23"/>
        <v>4.3974421963446559</v>
      </c>
      <c r="K53" s="250">
        <f t="shared" si="23"/>
        <v>7.4373116288352836</v>
      </c>
      <c r="L53" s="250">
        <f t="shared" si="23"/>
        <v>7.3000984534471556</v>
      </c>
      <c r="M53" s="250">
        <f t="shared" si="23"/>
        <v>7.3606322944783518</v>
      </c>
      <c r="N53" s="250">
        <f t="shared" si="23"/>
        <v>7.0795204830549423</v>
      </c>
      <c r="O53" s="250">
        <f t="shared" si="23"/>
        <v>6.1992662833459153</v>
      </c>
      <c r="P53" s="251">
        <f t="shared" si="23"/>
        <v>5.9506794827756426</v>
      </c>
      <c r="Q53" s="250">
        <f t="shared" si="23"/>
        <v>6.5792240766693162</v>
      </c>
      <c r="R53" s="250">
        <f t="shared" si="23"/>
        <v>7.2046935469354221</v>
      </c>
      <c r="S53" s="250">
        <f t="shared" si="23"/>
        <v>6.746983139425911</v>
      </c>
      <c r="T53" s="250">
        <f t="shared" si="23"/>
        <v>4.9924828331667239</v>
      </c>
      <c r="U53" s="250">
        <f t="shared" si="23"/>
        <v>4.3540031733296729</v>
      </c>
      <c r="V53" s="250">
        <f t="shared" si="23"/>
        <v>4.2303321030535184</v>
      </c>
      <c r="W53" s="250">
        <f t="shared" si="23"/>
        <v>7.9137618860854833</v>
      </c>
      <c r="X53" s="250">
        <f t="shared" si="23"/>
        <v>7.3695771452480709</v>
      </c>
      <c r="Y53" s="250">
        <f t="shared" si="23"/>
        <v>7.2624381839299357</v>
      </c>
      <c r="Z53" s="250">
        <f t="shared" si="23"/>
        <v>6.9672607934475614</v>
      </c>
      <c r="AA53" s="250">
        <f t="shared" si="23"/>
        <v>6.1572451834402262</v>
      </c>
      <c r="AB53" s="250">
        <f t="shared" si="23"/>
        <v>5.9773038363633759</v>
      </c>
      <c r="AC53" s="250">
        <f t="shared" si="23"/>
        <v>6.6428188617364103</v>
      </c>
      <c r="AD53" s="250">
        <f t="shared" si="23"/>
        <v>7.2729597777018693</v>
      </c>
      <c r="AE53" s="250">
        <f t="shared" si="23"/>
        <v>6.8258177554484121</v>
      </c>
      <c r="AF53" s="250">
        <f t="shared" si="23"/>
        <v>5.0602223837377789</v>
      </c>
      <c r="AG53" s="250">
        <f t="shared" si="23"/>
        <v>4.428495669323615</v>
      </c>
      <c r="AH53" s="250">
        <f t="shared" si="23"/>
        <v>4.3055799079854218</v>
      </c>
    </row>
    <row r="54" spans="3:34" x14ac:dyDescent="0.25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4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</row>
    <row r="55" spans="3:34" ht="18.75" x14ac:dyDescent="0.3">
      <c r="C55" s="182" t="s">
        <v>582</v>
      </c>
      <c r="D55" s="179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</row>
    <row r="56" spans="3:34" x14ac:dyDescent="0.25">
      <c r="C56" s="30"/>
      <c r="D56" s="30"/>
      <c r="E56" s="45" t="str">
        <f t="shared" ref="E56:AH56" si="24">E$9</f>
        <v>Jul-20A</v>
      </c>
      <c r="F56" s="45" t="str">
        <f t="shared" si="24"/>
        <v>Aug-20A</v>
      </c>
      <c r="G56" s="45" t="str">
        <f t="shared" si="24"/>
        <v>Sep-20A</v>
      </c>
      <c r="H56" s="45" t="str">
        <f t="shared" si="24"/>
        <v>Oct-20A</v>
      </c>
      <c r="I56" s="45" t="str">
        <f t="shared" si="24"/>
        <v>Nov-20A</v>
      </c>
      <c r="J56" s="45" t="str">
        <f t="shared" si="24"/>
        <v>Dec-20A</v>
      </c>
      <c r="K56" s="45" t="str">
        <f t="shared" si="24"/>
        <v>Jan-21A</v>
      </c>
      <c r="L56" s="45" t="str">
        <f t="shared" si="24"/>
        <v>Feb-21A</v>
      </c>
      <c r="M56" s="45" t="str">
        <f t="shared" si="24"/>
        <v>Mar-21A</v>
      </c>
      <c r="N56" s="45" t="str">
        <f t="shared" si="24"/>
        <v>Apr-21A</v>
      </c>
      <c r="O56" s="45" t="str">
        <f t="shared" si="24"/>
        <v>May-21A</v>
      </c>
      <c r="P56" s="46" t="str">
        <f t="shared" si="24"/>
        <v>Jun-21A</v>
      </c>
      <c r="Q56" s="45" t="str">
        <f t="shared" si="24"/>
        <v>Jul-21F</v>
      </c>
      <c r="R56" s="45" t="str">
        <f t="shared" si="24"/>
        <v>Aug-21F</v>
      </c>
      <c r="S56" s="45" t="str">
        <f t="shared" si="24"/>
        <v>Sep-21F</v>
      </c>
      <c r="T56" s="45" t="str">
        <f t="shared" si="24"/>
        <v>Oct-21F</v>
      </c>
      <c r="U56" s="45" t="str">
        <f t="shared" si="24"/>
        <v>Nov-21F</v>
      </c>
      <c r="V56" s="45" t="str">
        <f t="shared" si="24"/>
        <v>Dec-21F</v>
      </c>
      <c r="W56" s="45" t="str">
        <f t="shared" si="24"/>
        <v>Jan-22F</v>
      </c>
      <c r="X56" s="45" t="str">
        <f t="shared" si="24"/>
        <v>Feb-22F</v>
      </c>
      <c r="Y56" s="45" t="str">
        <f t="shared" si="24"/>
        <v>Mar-22F</v>
      </c>
      <c r="Z56" s="45" t="str">
        <f t="shared" si="24"/>
        <v>Apr-22F</v>
      </c>
      <c r="AA56" s="45" t="str">
        <f t="shared" si="24"/>
        <v>May-22F</v>
      </c>
      <c r="AB56" s="45" t="str">
        <f t="shared" si="24"/>
        <v>Jun-22F</v>
      </c>
      <c r="AC56" s="45" t="str">
        <f t="shared" si="24"/>
        <v>Jul-22F</v>
      </c>
      <c r="AD56" s="45" t="str">
        <f t="shared" si="24"/>
        <v>Aug-22F</v>
      </c>
      <c r="AE56" s="45" t="str">
        <f t="shared" si="24"/>
        <v>Sep-22F</v>
      </c>
      <c r="AF56" s="45" t="str">
        <f t="shared" si="24"/>
        <v>Oct-22F</v>
      </c>
      <c r="AG56" s="45" t="str">
        <f t="shared" si="24"/>
        <v>Nov-22F</v>
      </c>
      <c r="AH56" s="45" t="str">
        <f t="shared" si="24"/>
        <v>Dec-22F</v>
      </c>
    </row>
    <row r="57" spans="3:34" x14ac:dyDescent="0.25">
      <c r="C57" s="312" t="s">
        <v>578</v>
      </c>
      <c r="D57" s="225"/>
      <c r="E57" s="313">
        <v>30</v>
      </c>
      <c r="F57" s="313">
        <v>30</v>
      </c>
      <c r="G57" s="313">
        <v>30</v>
      </c>
      <c r="H57" s="313">
        <v>30</v>
      </c>
      <c r="I57" s="313">
        <v>30</v>
      </c>
      <c r="J57" s="313">
        <v>30</v>
      </c>
      <c r="K57" s="313">
        <v>30</v>
      </c>
      <c r="L57" s="313">
        <v>30</v>
      </c>
      <c r="M57" s="313">
        <v>30</v>
      </c>
      <c r="N57" s="313">
        <v>30</v>
      </c>
      <c r="O57" s="313">
        <v>30</v>
      </c>
      <c r="P57" s="314">
        <v>30</v>
      </c>
      <c r="Q57" s="313">
        <v>30</v>
      </c>
      <c r="R57" s="313">
        <v>30</v>
      </c>
      <c r="S57" s="313">
        <v>30</v>
      </c>
      <c r="T57" s="313">
        <v>30</v>
      </c>
      <c r="U57" s="313">
        <v>30</v>
      </c>
      <c r="V57" s="313">
        <v>30</v>
      </c>
      <c r="W57" s="313">
        <v>30</v>
      </c>
      <c r="X57" s="313">
        <v>30</v>
      </c>
      <c r="Y57" s="313">
        <v>30</v>
      </c>
      <c r="Z57" s="313">
        <v>30</v>
      </c>
      <c r="AA57" s="313">
        <v>30</v>
      </c>
      <c r="AB57" s="313">
        <v>30</v>
      </c>
      <c r="AC57" s="313">
        <v>30</v>
      </c>
      <c r="AD57" s="313">
        <v>30</v>
      </c>
      <c r="AE57" s="313">
        <v>30</v>
      </c>
      <c r="AF57" s="313">
        <v>30</v>
      </c>
      <c r="AG57" s="313">
        <v>30</v>
      </c>
      <c r="AH57" s="313">
        <v>30</v>
      </c>
    </row>
    <row r="58" spans="3:34" x14ac:dyDescent="0.25">
      <c r="C58" t="s">
        <v>608</v>
      </c>
      <c r="E58" s="250">
        <f>E57*1000/E52</f>
        <v>2702.5724338814384</v>
      </c>
      <c r="F58" s="231">
        <f t="shared" ref="F58:AH58" si="25">F57*1000/F52</f>
        <v>2562.6424915847015</v>
      </c>
      <c r="G58" s="231">
        <f t="shared" si="25"/>
        <v>2837.9008656296037</v>
      </c>
      <c r="H58" s="231">
        <f t="shared" si="25"/>
        <v>3761.3850576698346</v>
      </c>
      <c r="I58" s="231">
        <f t="shared" si="25"/>
        <v>4263.6053433425359</v>
      </c>
      <c r="J58" s="231">
        <f t="shared" si="25"/>
        <v>4143.8539772647991</v>
      </c>
      <c r="K58" s="231">
        <f t="shared" si="25"/>
        <v>2459.4659185987198</v>
      </c>
      <c r="L58" s="231">
        <f t="shared" si="25"/>
        <v>2502.8510025342794</v>
      </c>
      <c r="M58" s="231">
        <f t="shared" si="25"/>
        <v>2478.9326376803156</v>
      </c>
      <c r="N58" s="231">
        <f t="shared" si="25"/>
        <v>2587.9616825692901</v>
      </c>
      <c r="O58" s="231">
        <f t="shared" si="25"/>
        <v>2937.682132394722</v>
      </c>
      <c r="P58" s="301">
        <f t="shared" si="25"/>
        <v>3081.7288326522203</v>
      </c>
      <c r="Q58" s="231">
        <f t="shared" si="25"/>
        <v>2783.9531057296231</v>
      </c>
      <c r="R58" s="231">
        <f t="shared" si="25"/>
        <v>2534.7238578787405</v>
      </c>
      <c r="S58" s="231">
        <f t="shared" si="25"/>
        <v>2701.3482870456651</v>
      </c>
      <c r="T58" s="231">
        <f t="shared" si="25"/>
        <v>3656.4057652056185</v>
      </c>
      <c r="U58" s="231">
        <f t="shared" si="25"/>
        <v>4206.8341177047114</v>
      </c>
      <c r="V58" s="231">
        <f t="shared" si="25"/>
        <v>4307.5479397850786</v>
      </c>
      <c r="W58" s="231">
        <f t="shared" si="25"/>
        <v>2311.3930821295276</v>
      </c>
      <c r="X58" s="231">
        <f t="shared" si="25"/>
        <v>2479.2546943606394</v>
      </c>
      <c r="Y58" s="231">
        <f t="shared" si="25"/>
        <v>2512.4498366294347</v>
      </c>
      <c r="Z58" s="231">
        <f t="shared" si="25"/>
        <v>2629.6601037729633</v>
      </c>
      <c r="AA58" s="231">
        <f t="shared" si="25"/>
        <v>2957.7308117470602</v>
      </c>
      <c r="AB58" s="231">
        <f t="shared" si="25"/>
        <v>3068.0020688221971</v>
      </c>
      <c r="AC58" s="231">
        <f t="shared" si="25"/>
        <v>2757.3010318012575</v>
      </c>
      <c r="AD58" s="231">
        <f t="shared" si="25"/>
        <v>2510.9321624617405</v>
      </c>
      <c r="AE58" s="231">
        <f t="shared" si="25"/>
        <v>2670.1491307566916</v>
      </c>
      <c r="AF58" s="231">
        <f t="shared" si="25"/>
        <v>3607.4586509371957</v>
      </c>
      <c r="AG58" s="231">
        <f t="shared" si="25"/>
        <v>4136.0702292287478</v>
      </c>
      <c r="AH58" s="231">
        <f t="shared" si="25"/>
        <v>4232.2657399339923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41A2-FC0E-42B4-BEB4-C477DF66B275}">
  <sheetPr>
    <tabColor theme="9"/>
  </sheetPr>
  <dimension ref="A1:Q15"/>
  <sheetViews>
    <sheetView showGridLines="0" workbookViewId="0">
      <selection activeCell="L1" sqref="L1"/>
    </sheetView>
  </sheetViews>
  <sheetFormatPr defaultRowHeight="15" x14ac:dyDescent="0.25"/>
  <cols>
    <col min="2" max="2" width="12.5703125" bestFit="1" customWidth="1"/>
    <col min="4" max="4" width="2.5703125" customWidth="1"/>
    <col min="5" max="5" width="19.140625" bestFit="1" customWidth="1"/>
    <col min="6" max="6" width="8.42578125" bestFit="1" customWidth="1"/>
    <col min="7" max="7" width="2.5703125" customWidth="1"/>
    <col min="8" max="8" width="11.28515625" bestFit="1" customWidth="1"/>
    <col min="11" max="11" width="2.5703125" customWidth="1"/>
    <col min="14" max="14" width="4.85546875" bestFit="1" customWidth="1"/>
    <col min="16" max="16" width="2.5703125" customWidth="1"/>
  </cols>
  <sheetData>
    <row r="1" spans="1:17" x14ac:dyDescent="0.25">
      <c r="A1" s="41" t="s">
        <v>46</v>
      </c>
      <c r="B1" s="41"/>
      <c r="C1" s="41"/>
      <c r="H1" s="41" t="s">
        <v>53</v>
      </c>
      <c r="I1" s="40"/>
      <c r="J1" s="40"/>
    </row>
    <row r="2" spans="1:17" x14ac:dyDescent="0.25">
      <c r="A2" s="11" t="s">
        <v>43</v>
      </c>
      <c r="B2" s="11" t="s">
        <v>47</v>
      </c>
      <c r="C2" s="11" t="s">
        <v>48</v>
      </c>
      <c r="E2" s="11" t="s">
        <v>47</v>
      </c>
      <c r="F2" s="11" t="s">
        <v>48</v>
      </c>
      <c r="H2" s="11" t="s">
        <v>12</v>
      </c>
      <c r="I2" s="11" t="s">
        <v>44</v>
      </c>
      <c r="J2" s="11" t="s">
        <v>10</v>
      </c>
      <c r="K2" s="11"/>
      <c r="L2" s="11" t="s">
        <v>13</v>
      </c>
      <c r="M2" s="11" t="s">
        <v>45</v>
      </c>
      <c r="N2" s="11" t="s">
        <v>11</v>
      </c>
      <c r="O2" s="11" t="s">
        <v>77</v>
      </c>
      <c r="P2" s="11"/>
      <c r="Q2" s="11"/>
    </row>
    <row r="3" spans="1:17" x14ac:dyDescent="0.25">
      <c r="E3" t="s">
        <v>54</v>
      </c>
      <c r="F3" t="s">
        <v>66</v>
      </c>
      <c r="H3">
        <v>1</v>
      </c>
      <c r="I3" t="str">
        <f>TEXT(H3*29,"mmm")</f>
        <v>Jan</v>
      </c>
      <c r="J3">
        <f>ROUNDUP(H3/3,0)</f>
        <v>1</v>
      </c>
      <c r="L3" t="s">
        <v>14</v>
      </c>
      <c r="M3" t="s">
        <v>14</v>
      </c>
      <c r="N3">
        <v>2019</v>
      </c>
      <c r="O3" t="s">
        <v>71</v>
      </c>
    </row>
    <row r="4" spans="1:17" x14ac:dyDescent="0.25">
      <c r="E4" t="s">
        <v>55</v>
      </c>
      <c r="F4" t="s">
        <v>67</v>
      </c>
      <c r="H4">
        <f>H3+1</f>
        <v>2</v>
      </c>
      <c r="I4" t="str">
        <f t="shared" ref="I4:I14" si="0">TEXT(H4*29,"mmm")</f>
        <v>Feb</v>
      </c>
      <c r="J4">
        <f t="shared" ref="J4:J14" si="1">ROUNDUP(H4/3,0)</f>
        <v>1</v>
      </c>
      <c r="L4" t="s">
        <v>15</v>
      </c>
      <c r="M4" t="s">
        <v>50</v>
      </c>
      <c r="N4">
        <f>N3+1</f>
        <v>2020</v>
      </c>
      <c r="O4" t="s">
        <v>70</v>
      </c>
    </row>
    <row r="5" spans="1:17" x14ac:dyDescent="0.25">
      <c r="E5" t="s">
        <v>19</v>
      </c>
      <c r="F5" t="s">
        <v>68</v>
      </c>
      <c r="H5">
        <f t="shared" ref="H5:H14" si="2">H4+1</f>
        <v>3</v>
      </c>
      <c r="I5" t="str">
        <f t="shared" si="0"/>
        <v>Mar</v>
      </c>
      <c r="J5">
        <f t="shared" si="1"/>
        <v>1</v>
      </c>
      <c r="L5" t="s">
        <v>49</v>
      </c>
      <c r="M5" t="s">
        <v>16</v>
      </c>
      <c r="N5">
        <f t="shared" ref="N5:N10" si="3">N4+1</f>
        <v>2021</v>
      </c>
      <c r="O5" t="s">
        <v>69</v>
      </c>
    </row>
    <row r="6" spans="1:17" x14ac:dyDescent="0.25">
      <c r="E6" t="s">
        <v>56</v>
      </c>
      <c r="H6">
        <f t="shared" si="2"/>
        <v>4</v>
      </c>
      <c r="I6" t="str">
        <f t="shared" si="0"/>
        <v>Apr</v>
      </c>
      <c r="J6">
        <f t="shared" si="1"/>
        <v>2</v>
      </c>
      <c r="M6" t="s">
        <v>51</v>
      </c>
      <c r="N6">
        <f t="shared" si="3"/>
        <v>2022</v>
      </c>
      <c r="O6" t="s">
        <v>72</v>
      </c>
    </row>
    <row r="7" spans="1:17" x14ac:dyDescent="0.25">
      <c r="E7" t="s">
        <v>58</v>
      </c>
      <c r="H7">
        <f t="shared" si="2"/>
        <v>5</v>
      </c>
      <c r="I7" t="str">
        <f t="shared" si="0"/>
        <v>May</v>
      </c>
      <c r="J7">
        <f t="shared" si="1"/>
        <v>2</v>
      </c>
      <c r="M7" t="s">
        <v>52</v>
      </c>
      <c r="N7">
        <f t="shared" si="3"/>
        <v>2023</v>
      </c>
      <c r="O7" t="s">
        <v>73</v>
      </c>
    </row>
    <row r="8" spans="1:17" x14ac:dyDescent="0.25">
      <c r="E8" t="s">
        <v>57</v>
      </c>
      <c r="H8">
        <f t="shared" si="2"/>
        <v>6</v>
      </c>
      <c r="I8" t="str">
        <f t="shared" si="0"/>
        <v>Jun</v>
      </c>
      <c r="J8">
        <f t="shared" si="1"/>
        <v>2</v>
      </c>
      <c r="N8">
        <f t="shared" si="3"/>
        <v>2024</v>
      </c>
      <c r="O8" t="s">
        <v>74</v>
      </c>
    </row>
    <row r="9" spans="1:17" x14ac:dyDescent="0.25">
      <c r="E9" t="s">
        <v>59</v>
      </c>
      <c r="H9">
        <f t="shared" si="2"/>
        <v>7</v>
      </c>
      <c r="I9" t="str">
        <f t="shared" si="0"/>
        <v>Jul</v>
      </c>
      <c r="J9">
        <f t="shared" si="1"/>
        <v>3</v>
      </c>
      <c r="N9">
        <f t="shared" si="3"/>
        <v>2025</v>
      </c>
      <c r="O9" t="s">
        <v>75</v>
      </c>
    </row>
    <row r="10" spans="1:17" x14ac:dyDescent="0.25">
      <c r="E10" t="s">
        <v>60</v>
      </c>
      <c r="H10">
        <f t="shared" si="2"/>
        <v>8</v>
      </c>
      <c r="I10" t="str">
        <f t="shared" si="0"/>
        <v>Aug</v>
      </c>
      <c r="J10">
        <f t="shared" si="1"/>
        <v>3</v>
      </c>
      <c r="N10">
        <f t="shared" si="3"/>
        <v>2026</v>
      </c>
      <c r="O10" t="s">
        <v>76</v>
      </c>
    </row>
    <row r="11" spans="1:17" x14ac:dyDescent="0.25">
      <c r="E11" t="s">
        <v>61</v>
      </c>
      <c r="H11">
        <f t="shared" si="2"/>
        <v>9</v>
      </c>
      <c r="I11" t="str">
        <f t="shared" si="0"/>
        <v>Sep</v>
      </c>
      <c r="J11">
        <f t="shared" si="1"/>
        <v>3</v>
      </c>
    </row>
    <row r="12" spans="1:17" x14ac:dyDescent="0.25">
      <c r="E12" t="s">
        <v>62</v>
      </c>
      <c r="H12">
        <f t="shared" si="2"/>
        <v>10</v>
      </c>
      <c r="I12" t="str">
        <f t="shared" si="0"/>
        <v>Oct</v>
      </c>
      <c r="J12">
        <f t="shared" si="1"/>
        <v>4</v>
      </c>
    </row>
    <row r="13" spans="1:17" x14ac:dyDescent="0.25">
      <c r="E13" t="s">
        <v>63</v>
      </c>
      <c r="H13">
        <f t="shared" si="2"/>
        <v>11</v>
      </c>
      <c r="I13" t="str">
        <f t="shared" si="0"/>
        <v>Nov</v>
      </c>
      <c r="J13">
        <f t="shared" si="1"/>
        <v>4</v>
      </c>
    </row>
    <row r="14" spans="1:17" x14ac:dyDescent="0.25">
      <c r="E14" t="s">
        <v>64</v>
      </c>
      <c r="H14">
        <f t="shared" si="2"/>
        <v>12</v>
      </c>
      <c r="I14" t="str">
        <f t="shared" si="0"/>
        <v>Dec</v>
      </c>
      <c r="J14">
        <f t="shared" si="1"/>
        <v>4</v>
      </c>
    </row>
    <row r="15" spans="1:17" x14ac:dyDescent="0.25">
      <c r="E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 Checks</vt:lpstr>
      <vt:lpstr>Summary_Income_Stmt</vt:lpstr>
      <vt:lpstr>Revenue</vt:lpstr>
      <vt:lpstr>Expense</vt:lpstr>
      <vt:lpstr>Headcount</vt:lpstr>
      <vt:lpstr>Balance_Sheet</vt:lpstr>
      <vt:lpstr>Cash_Flow_Stmt</vt:lpstr>
      <vt:lpstr>Ratios</vt:lpstr>
      <vt:lpstr>Unit_Economics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Eatinger</dc:creator>
  <cp:lastModifiedBy>Jasper Higa</cp:lastModifiedBy>
  <dcterms:created xsi:type="dcterms:W3CDTF">2021-01-30T15:53:44Z</dcterms:created>
  <dcterms:modified xsi:type="dcterms:W3CDTF">2023-07-22T01:57:18Z</dcterms:modified>
</cp:coreProperties>
</file>