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528c4d889f08a/Desktop/"/>
    </mc:Choice>
  </mc:AlternateContent>
  <xr:revisionPtr revIDLastSave="1" documentId="8_{8E755810-6158-4625-A646-E3F7F2A4F263}" xr6:coauthVersionLast="47" xr6:coauthVersionMax="47" xr10:uidLastSave="{1495E3FC-65E6-4CA8-81CD-86B951FC9A77}"/>
  <bookViews>
    <workbookView xWindow="-120" yWindow="-120" windowWidth="29040" windowHeight="15840" xr2:uid="{9E71FAC9-72AA-4A8C-A592-F0EF2CC4487C}"/>
  </bookViews>
  <sheets>
    <sheet name="Regression 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" i="1" l="1"/>
  <c r="S22" i="1" s="1"/>
  <c r="Q20" i="1"/>
  <c r="Q22" i="1" s="1"/>
  <c r="O20" i="1"/>
  <c r="O22" i="1" s="1"/>
  <c r="AI8" i="1"/>
  <c r="AG8" i="1"/>
  <c r="AE8" i="1"/>
  <c r="AC8" i="1"/>
  <c r="AA8" i="1"/>
  <c r="Y8" i="1"/>
  <c r="W8" i="1"/>
  <c r="U8" i="1"/>
  <c r="AI7" i="1"/>
  <c r="AG7" i="1"/>
  <c r="AE7" i="1"/>
  <c r="AC7" i="1"/>
  <c r="AA7" i="1"/>
  <c r="Y7" i="1"/>
  <c r="W7" i="1"/>
  <c r="U7" i="1"/>
  <c r="AI6" i="1"/>
  <c r="AI20" i="1" s="1"/>
  <c r="AI22" i="1" s="1"/>
  <c r="AG6" i="1"/>
  <c r="AG20" i="1" s="1"/>
  <c r="AG22" i="1" s="1"/>
  <c r="AE6" i="1"/>
  <c r="AE20" i="1" s="1"/>
  <c r="AE22" i="1" s="1"/>
  <c r="AC6" i="1"/>
  <c r="AC20" i="1" s="1"/>
  <c r="AC22" i="1" s="1"/>
  <c r="AA6" i="1"/>
  <c r="AA20" i="1" s="1"/>
  <c r="AA22" i="1" s="1"/>
  <c r="Y6" i="1"/>
  <c r="Y20" i="1" s="1"/>
  <c r="Y22" i="1" s="1"/>
  <c r="W6" i="1"/>
  <c r="W20" i="1" s="1"/>
  <c r="W22" i="1" s="1"/>
  <c r="U6" i="1"/>
  <c r="U20" i="1" l="1"/>
  <c r="U22" i="1" s="1"/>
</calcChain>
</file>

<file path=xl/sharedStrings.xml><?xml version="1.0" encoding="utf-8"?>
<sst xmlns="http://schemas.openxmlformats.org/spreadsheetml/2006/main" count="81" uniqueCount="64">
  <si>
    <t>SUMMARY OUTPUT</t>
  </si>
  <si>
    <t>Forecasting Vessel Productivity (GMPH)</t>
  </si>
  <si>
    <t>Forecasting Vessel Productivity for 2022</t>
  </si>
  <si>
    <t>Regression Statistics</t>
  </si>
  <si>
    <t>Variables</t>
  </si>
  <si>
    <t>Coefficients</t>
  </si>
  <si>
    <t>Vessel 1</t>
  </si>
  <si>
    <t>Vessel 2</t>
  </si>
  <si>
    <t>Vessel 3</t>
  </si>
  <si>
    <t>BKN152S</t>
  </si>
  <si>
    <t>SBN201S</t>
  </si>
  <si>
    <t>ITN202S</t>
  </si>
  <si>
    <t>EUS203S</t>
  </si>
  <si>
    <t>BKN204S</t>
  </si>
  <si>
    <t>SBN205S</t>
  </si>
  <si>
    <t>ITN206S</t>
  </si>
  <si>
    <t>LSA207S</t>
  </si>
  <si>
    <t>Multiple R</t>
  </si>
  <si>
    <t>Intercept</t>
  </si>
  <si>
    <t>R Square</t>
  </si>
  <si>
    <t>YU</t>
  </si>
  <si>
    <t>Yard Utilization</t>
  </si>
  <si>
    <t>Adjusted R Square</t>
  </si>
  <si>
    <t># HC</t>
  </si>
  <si>
    <t># of Hatch Covers Moved (Lids On&amp;Off)</t>
  </si>
  <si>
    <t>Standard Error</t>
  </si>
  <si>
    <t>L:D</t>
  </si>
  <si>
    <t>Ratio of Loading to Discharging</t>
  </si>
  <si>
    <t>Observations</t>
  </si>
  <si>
    <t>% delay</t>
  </si>
  <si>
    <t>% Duration of Equipment Failure out of Gross Crane Hours</t>
  </si>
  <si>
    <t>Wharf</t>
  </si>
  <si>
    <t>5W?</t>
  </si>
  <si>
    <t>ANOVA</t>
  </si>
  <si>
    <t>Cranes</t>
  </si>
  <si>
    <t>Three Cranes?</t>
  </si>
  <si>
    <t>df</t>
  </si>
  <si>
    <t>SS</t>
  </si>
  <si>
    <t>MS</t>
  </si>
  <si>
    <t>F</t>
  </si>
  <si>
    <t>Significance F</t>
  </si>
  <si>
    <t>Four Cranes?</t>
  </si>
  <si>
    <t>Regression</t>
  </si>
  <si>
    <t>Vessel</t>
  </si>
  <si>
    <t>HANSA AMERICA</t>
  </si>
  <si>
    <t>Residual</t>
  </si>
  <si>
    <t>LISA</t>
  </si>
  <si>
    <t>Total</t>
  </si>
  <si>
    <t>MAERSK BENTONVILLE</t>
  </si>
  <si>
    <t>MAERSK BROOKLYN</t>
  </si>
  <si>
    <t>t Stat</t>
  </si>
  <si>
    <t>P-value</t>
  </si>
  <si>
    <t>Lower 95%</t>
  </si>
  <si>
    <t>Upper 95%</t>
  </si>
  <si>
    <t>Lower 95.0%</t>
  </si>
  <si>
    <t>Upper 95.0%</t>
  </si>
  <si>
    <t>SEAGO BREMERHAVEN</t>
  </si>
  <si>
    <t>SEAGO ISTANBUL</t>
  </si>
  <si>
    <t>SEAGO PIRAEUS</t>
  </si>
  <si>
    <t>SPHENE</t>
  </si>
  <si>
    <t>Forecasted Productivity (by model)</t>
  </si>
  <si>
    <t>% Duration of Equpment Failure out of Gross Crane Hours</t>
  </si>
  <si>
    <t>Actual Productivity</t>
  </si>
  <si>
    <t>% Forecast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</si>
</sst>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2" borderId="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8" xfId="0" applyFill="1" applyBorder="1"/>
    <xf numFmtId="0" fontId="2" fillId="0" borderId="4" xfId="0" applyFont="1" applyBorder="1" applyAlignment="1">
      <alignment horizontal="center"/>
    </xf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0" xfId="0" applyFont="1" applyAlignment="1">
      <alignment horizontal="center"/>
    </xf>
    <xf numFmtId="0" fontId="0" fillId="4" borderId="15" xfId="0" applyFill="1" applyBorder="1"/>
    <xf numFmtId="0" fontId="0" fillId="4" borderId="0" xfId="0" applyFill="1"/>
    <xf numFmtId="0" fontId="0" fillId="0" borderId="11" xfId="0" applyBorder="1"/>
    <xf numFmtId="49" fontId="4" fillId="5" borderId="18" xfId="1" applyNumberFormat="1" applyFont="1" applyFill="1" applyBorder="1" applyAlignment="1">
      <alignment horizontal="left"/>
    </xf>
    <xf numFmtId="0" fontId="0" fillId="4" borderId="6" xfId="0" applyFill="1" applyBorder="1"/>
  </cellXfs>
  <cellStyles count="2">
    <cellStyle name="Normal" xfId="0" builtinId="0"/>
    <cellStyle name="Normal 2" xfId="1" xr:uid="{C2D38BEA-79B7-47EB-939F-C9AD3C69E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78E2-7D94-450D-98DF-1206D024E253}">
  <dimension ref="A1:AI32"/>
  <sheetViews>
    <sheetView tabSelected="1" zoomScale="80" zoomScaleNormal="80" workbookViewId="0">
      <selection activeCell="AR33" sqref="AR33"/>
    </sheetView>
  </sheetViews>
  <sheetFormatPr defaultRowHeight="15" x14ac:dyDescent="0.25"/>
  <cols>
    <col min="1" max="1" width="38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9" width="14" bestFit="1" customWidth="1"/>
    <col min="10" max="10" width="14" customWidth="1"/>
    <col min="12" max="12" width="57.5703125" customWidth="1"/>
    <col min="13" max="13" width="13.85546875" customWidth="1"/>
    <col min="14" max="19" width="9.140625" customWidth="1"/>
  </cols>
  <sheetData>
    <row r="1" spans="1:35" x14ac:dyDescent="0.25">
      <c r="A1" t="s">
        <v>0</v>
      </c>
      <c r="L1" s="1" t="s">
        <v>1</v>
      </c>
      <c r="U1">
        <v>2022</v>
      </c>
    </row>
    <row r="2" spans="1:35" ht="15.75" thickBot="1" x14ac:dyDescent="0.3">
      <c r="U2" s="2" t="s">
        <v>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4"/>
    </row>
    <row r="3" spans="1:35" x14ac:dyDescent="0.25">
      <c r="A3" s="5" t="s">
        <v>3</v>
      </c>
      <c r="B3" s="5"/>
      <c r="K3" s="6" t="s">
        <v>4</v>
      </c>
      <c r="L3" s="6"/>
      <c r="M3" s="1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</row>
    <row r="4" spans="1:35" x14ac:dyDescent="0.25">
      <c r="A4" t="s">
        <v>17</v>
      </c>
      <c r="B4">
        <v>0.58110234740290845</v>
      </c>
      <c r="L4" t="s">
        <v>18</v>
      </c>
      <c r="M4">
        <v>24.246652539461202</v>
      </c>
    </row>
    <row r="5" spans="1:35" x14ac:dyDescent="0.25">
      <c r="A5" t="s">
        <v>19</v>
      </c>
      <c r="B5">
        <v>0.33767993815717046</v>
      </c>
      <c r="K5" s="7" t="s">
        <v>20</v>
      </c>
      <c r="L5" s="8" t="s">
        <v>21</v>
      </c>
      <c r="M5" s="9">
        <v>-6.0421308318193434</v>
      </c>
      <c r="N5" s="10"/>
      <c r="O5" s="10">
        <v>0.8</v>
      </c>
      <c r="P5" s="10"/>
      <c r="Q5" s="10">
        <v>0.93</v>
      </c>
      <c r="R5" s="10"/>
      <c r="S5" s="11">
        <v>0.9</v>
      </c>
      <c r="T5" s="9"/>
      <c r="U5" s="12">
        <v>0.89</v>
      </c>
      <c r="V5" s="10"/>
      <c r="W5" s="12">
        <v>0.89</v>
      </c>
      <c r="X5" s="10"/>
      <c r="Y5" s="12">
        <v>0.89</v>
      </c>
      <c r="Z5" s="10"/>
      <c r="AA5" s="12">
        <v>0.89</v>
      </c>
      <c r="AB5" s="10"/>
      <c r="AC5" s="12">
        <v>0.89</v>
      </c>
      <c r="AD5" s="10"/>
      <c r="AE5" s="12">
        <v>0.89</v>
      </c>
      <c r="AF5" s="10"/>
      <c r="AG5" s="12">
        <v>0.89</v>
      </c>
      <c r="AH5" s="10"/>
      <c r="AI5" s="13">
        <v>0.89</v>
      </c>
    </row>
    <row r="6" spans="1:35" x14ac:dyDescent="0.25">
      <c r="A6" t="s">
        <v>22</v>
      </c>
      <c r="B6">
        <v>0.21349492656163988</v>
      </c>
      <c r="K6" s="7" t="s">
        <v>23</v>
      </c>
      <c r="L6" s="14" t="s">
        <v>24</v>
      </c>
      <c r="M6" s="9">
        <v>-5.8101626666452674E-2</v>
      </c>
      <c r="N6" s="10"/>
      <c r="O6" s="10">
        <v>44</v>
      </c>
      <c r="P6" s="10"/>
      <c r="Q6" s="10">
        <v>62</v>
      </c>
      <c r="R6" s="10"/>
      <c r="S6" s="11">
        <v>40</v>
      </c>
      <c r="T6" s="9"/>
      <c r="U6" s="10">
        <f>19*2</f>
        <v>38</v>
      </c>
      <c r="V6" s="10"/>
      <c r="W6" s="10">
        <f>18*2</f>
        <v>36</v>
      </c>
      <c r="X6" s="10"/>
      <c r="Y6" s="10">
        <f>12*2</f>
        <v>24</v>
      </c>
      <c r="Z6" s="10"/>
      <c r="AA6" s="10">
        <f>16*2</f>
        <v>32</v>
      </c>
      <c r="AB6" s="10"/>
      <c r="AC6" s="10">
        <f>19*2</f>
        <v>38</v>
      </c>
      <c r="AD6" s="10"/>
      <c r="AE6" s="10">
        <f>17*2</f>
        <v>34</v>
      </c>
      <c r="AF6" s="10"/>
      <c r="AG6" s="10">
        <f>16*2</f>
        <v>32</v>
      </c>
      <c r="AH6" s="10"/>
      <c r="AI6" s="11">
        <f>25*2</f>
        <v>50</v>
      </c>
    </row>
    <row r="7" spans="1:35" x14ac:dyDescent="0.25">
      <c r="A7" t="s">
        <v>25</v>
      </c>
      <c r="B7">
        <v>1.9753314582172832</v>
      </c>
      <c r="K7" s="7" t="s">
        <v>26</v>
      </c>
      <c r="L7" s="14" t="s">
        <v>27</v>
      </c>
      <c r="M7" s="9">
        <v>-0.24638933906107457</v>
      </c>
      <c r="N7" s="10"/>
      <c r="O7" s="10">
        <v>1.6538461538461537</v>
      </c>
      <c r="P7" s="10"/>
      <c r="Q7" s="10">
        <v>6.3716216216216219</v>
      </c>
      <c r="R7" s="10"/>
      <c r="S7" s="11">
        <v>1.2373247033441208</v>
      </c>
      <c r="T7" s="9"/>
      <c r="U7" s="10">
        <f>930/629</f>
        <v>1.4785373608903021</v>
      </c>
      <c r="V7" s="10"/>
      <c r="W7" s="10">
        <f>569/270</f>
        <v>2.1074074074074076</v>
      </c>
      <c r="X7" s="10"/>
      <c r="Y7" s="10">
        <f>(150+661)/(231+39)</f>
        <v>3.0037037037037035</v>
      </c>
      <c r="Z7" s="10"/>
      <c r="AA7" s="10">
        <f>591/208</f>
        <v>2.8413461538461537</v>
      </c>
      <c r="AB7" s="10"/>
      <c r="AC7" s="10">
        <f>761/326</f>
        <v>2.334355828220859</v>
      </c>
      <c r="AD7" s="10"/>
      <c r="AE7" s="10">
        <f>(591+27)/244</f>
        <v>2.5327868852459017</v>
      </c>
      <c r="AF7" s="10"/>
      <c r="AG7" s="10">
        <f>812/415</f>
        <v>1.9566265060240964</v>
      </c>
      <c r="AH7" s="10"/>
      <c r="AI7" s="11">
        <f>874/394</f>
        <v>2.218274111675127</v>
      </c>
    </row>
    <row r="8" spans="1:35" ht="15.75" thickBot="1" x14ac:dyDescent="0.3">
      <c r="A8" s="15" t="s">
        <v>28</v>
      </c>
      <c r="B8" s="15">
        <v>96</v>
      </c>
      <c r="K8" s="7" t="s">
        <v>29</v>
      </c>
      <c r="L8" s="8" t="s">
        <v>30</v>
      </c>
      <c r="M8" s="9">
        <v>-0.12307269842402345</v>
      </c>
      <c r="N8" s="10"/>
      <c r="O8" s="10">
        <v>8.6805555555555554</v>
      </c>
      <c r="P8" s="10"/>
      <c r="Q8" s="10">
        <v>10.65891472868217</v>
      </c>
      <c r="R8" s="10"/>
      <c r="S8" s="11">
        <v>10.65891472868217</v>
      </c>
      <c r="T8" s="9"/>
      <c r="U8" s="10">
        <f>(13+40/60)/90*100</f>
        <v>15.185185185185185</v>
      </c>
      <c r="V8" s="10"/>
      <c r="W8" s="10">
        <f>(8+10/60)/63*100</f>
        <v>12.962962962962962</v>
      </c>
      <c r="X8" s="10"/>
      <c r="Y8" s="10">
        <f>(9+25/60)/65*100</f>
        <v>14.487179487179485</v>
      </c>
      <c r="Z8" s="10"/>
      <c r="AA8" s="10">
        <f>(9+20/60)/56*100</f>
        <v>16.666666666666668</v>
      </c>
      <c r="AB8" s="10"/>
      <c r="AC8" s="10">
        <f>(5+25/60)/76*100</f>
        <v>7.1271929824561404</v>
      </c>
      <c r="AD8" s="10"/>
      <c r="AE8" s="10">
        <f>(4+35/60)/62*100</f>
        <v>7.3924731182795691</v>
      </c>
      <c r="AF8" s="10"/>
      <c r="AG8" s="10">
        <f>(7+45/60)/84*100</f>
        <v>9.2261904761904763</v>
      </c>
      <c r="AH8" s="10"/>
      <c r="AI8" s="11">
        <f>(16+15/60)/86*100</f>
        <v>18.895348837209301</v>
      </c>
    </row>
    <row r="9" spans="1:35" x14ac:dyDescent="0.25">
      <c r="K9" s="7" t="s">
        <v>31</v>
      </c>
      <c r="L9" s="8" t="s">
        <v>32</v>
      </c>
      <c r="M9" s="10">
        <v>-0.25088257579028289</v>
      </c>
      <c r="N9" s="10"/>
      <c r="O9" s="10">
        <v>1</v>
      </c>
      <c r="P9" s="10"/>
      <c r="Q9" s="10">
        <v>1</v>
      </c>
      <c r="R9" s="10"/>
      <c r="S9" s="11">
        <v>1</v>
      </c>
      <c r="T9" s="9"/>
      <c r="U9" s="10">
        <v>1</v>
      </c>
      <c r="V9" s="10"/>
      <c r="W9" s="10">
        <v>0</v>
      </c>
      <c r="X9" s="10"/>
      <c r="Y9" s="10">
        <v>1</v>
      </c>
      <c r="Z9" s="10"/>
      <c r="AA9" s="10">
        <v>1</v>
      </c>
      <c r="AB9" s="10"/>
      <c r="AC9" s="10">
        <v>1</v>
      </c>
      <c r="AD9" s="10"/>
      <c r="AE9" s="10">
        <v>1</v>
      </c>
      <c r="AF9" s="10"/>
      <c r="AG9" s="10">
        <v>1</v>
      </c>
      <c r="AH9" s="10"/>
      <c r="AI9" s="11">
        <v>1</v>
      </c>
    </row>
    <row r="10" spans="1:35" ht="15.75" thickBot="1" x14ac:dyDescent="0.3">
      <c r="A10" t="s">
        <v>33</v>
      </c>
      <c r="K10" s="16" t="s">
        <v>34</v>
      </c>
      <c r="L10" s="17" t="s">
        <v>35</v>
      </c>
      <c r="M10" s="18">
        <v>2.0831791998459814</v>
      </c>
      <c r="N10" s="18"/>
      <c r="O10" s="18">
        <v>1</v>
      </c>
      <c r="P10" s="18"/>
      <c r="Q10" s="18">
        <v>0</v>
      </c>
      <c r="R10" s="18"/>
      <c r="S10" s="19">
        <v>1</v>
      </c>
      <c r="T10" s="20"/>
      <c r="U10" s="18">
        <v>1</v>
      </c>
      <c r="V10" s="18"/>
      <c r="W10" s="18"/>
      <c r="X10" s="18"/>
      <c r="Y10" s="18"/>
      <c r="Z10" s="18"/>
      <c r="AA10" s="18"/>
      <c r="AB10" s="18"/>
      <c r="AC10" s="21">
        <v>1</v>
      </c>
      <c r="AD10" s="18"/>
      <c r="AE10" s="18"/>
      <c r="AF10" s="18"/>
      <c r="AG10" s="18"/>
      <c r="AH10" s="18"/>
      <c r="AI10" s="19"/>
    </row>
    <row r="11" spans="1:35" x14ac:dyDescent="0.25">
      <c r="A11" s="22"/>
      <c r="B11" s="22" t="s">
        <v>36</v>
      </c>
      <c r="C11" s="22" t="s">
        <v>37</v>
      </c>
      <c r="D11" s="22" t="s">
        <v>38</v>
      </c>
      <c r="E11" s="22" t="s">
        <v>39</v>
      </c>
      <c r="F11" s="22" t="s">
        <v>40</v>
      </c>
      <c r="K11" s="16"/>
      <c r="L11" s="23" t="s">
        <v>41</v>
      </c>
      <c r="M11" s="24">
        <v>1.1881455299268386</v>
      </c>
      <c r="N11" s="24"/>
      <c r="O11" s="24">
        <v>0</v>
      </c>
      <c r="P11" s="24"/>
      <c r="Q11" s="24">
        <v>1</v>
      </c>
      <c r="R11" s="24"/>
      <c r="S11" s="25">
        <v>0</v>
      </c>
      <c r="T11" s="26"/>
      <c r="U11" s="24"/>
      <c r="V11" s="24"/>
      <c r="W11" s="24">
        <v>1</v>
      </c>
      <c r="X11" s="24"/>
      <c r="Y11" s="24">
        <v>1</v>
      </c>
      <c r="Z11" s="24"/>
      <c r="AA11" s="24">
        <v>1</v>
      </c>
      <c r="AB11" s="24"/>
      <c r="AC11" s="24"/>
      <c r="AD11" s="24"/>
      <c r="AE11" s="24">
        <v>1</v>
      </c>
      <c r="AF11" s="24"/>
      <c r="AG11" s="24">
        <v>1</v>
      </c>
      <c r="AH11" s="24"/>
      <c r="AI11" s="25">
        <v>1</v>
      </c>
    </row>
    <row r="12" spans="1:35" x14ac:dyDescent="0.25">
      <c r="A12" t="s">
        <v>42</v>
      </c>
      <c r="B12">
        <v>15</v>
      </c>
      <c r="C12">
        <v>159.15023960216729</v>
      </c>
      <c r="D12">
        <v>10.61001597347782</v>
      </c>
      <c r="E12">
        <v>2.7191682298745601</v>
      </c>
      <c r="F12">
        <v>2.0841353496671307E-3</v>
      </c>
      <c r="K12" s="16" t="s">
        <v>43</v>
      </c>
      <c r="L12" s="27" t="s">
        <v>44</v>
      </c>
      <c r="M12" s="18">
        <v>0.86094564079736147</v>
      </c>
      <c r="N12" s="18"/>
      <c r="O12" s="18">
        <v>1</v>
      </c>
      <c r="P12" s="18"/>
      <c r="Q12" s="18">
        <v>0</v>
      </c>
      <c r="R12" s="18"/>
      <c r="S12" s="19">
        <v>0</v>
      </c>
      <c r="T12" s="20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9"/>
    </row>
    <row r="13" spans="1:35" x14ac:dyDescent="0.25">
      <c r="A13" t="s">
        <v>45</v>
      </c>
      <c r="B13">
        <v>80</v>
      </c>
      <c r="C13">
        <v>312.15474958582547</v>
      </c>
      <c r="D13">
        <v>3.9019343698228184</v>
      </c>
      <c r="K13" s="16"/>
      <c r="L13" s="28" t="s">
        <v>46</v>
      </c>
      <c r="M13">
        <v>0.55364365385676895</v>
      </c>
      <c r="O13">
        <v>0</v>
      </c>
      <c r="Q13">
        <v>0</v>
      </c>
      <c r="S13" s="29">
        <v>0</v>
      </c>
      <c r="T13" s="30"/>
      <c r="AI13" s="29">
        <v>1</v>
      </c>
    </row>
    <row r="14" spans="1:35" ht="15.75" thickBot="1" x14ac:dyDescent="0.3">
      <c r="A14" s="15" t="s">
        <v>47</v>
      </c>
      <c r="B14" s="15">
        <v>95</v>
      </c>
      <c r="C14" s="15">
        <v>471.30498918799276</v>
      </c>
      <c r="D14" s="15"/>
      <c r="E14" s="15"/>
      <c r="F14" s="15"/>
      <c r="K14" s="16"/>
      <c r="L14" s="28" t="s">
        <v>48</v>
      </c>
      <c r="M14">
        <v>1.7060501303652471</v>
      </c>
      <c r="O14">
        <v>0</v>
      </c>
      <c r="Q14">
        <v>1</v>
      </c>
      <c r="S14" s="29">
        <v>0</v>
      </c>
      <c r="T14" s="30"/>
      <c r="AI14" s="29"/>
    </row>
    <row r="15" spans="1:35" ht="15.75" thickBot="1" x14ac:dyDescent="0.3">
      <c r="K15" s="16"/>
      <c r="L15" s="28" t="s">
        <v>49</v>
      </c>
      <c r="M15">
        <v>2.0438883082364128</v>
      </c>
      <c r="O15">
        <v>0</v>
      </c>
      <c r="Q15">
        <v>0</v>
      </c>
      <c r="S15" s="29">
        <v>0</v>
      </c>
      <c r="T15" s="30"/>
      <c r="U15">
        <v>1</v>
      </c>
      <c r="AC15">
        <v>1</v>
      </c>
      <c r="AI15" s="29"/>
    </row>
    <row r="16" spans="1:35" x14ac:dyDescent="0.25">
      <c r="A16" s="22"/>
      <c r="B16" s="22" t="s">
        <v>5</v>
      </c>
      <c r="C16" s="22" t="s">
        <v>25</v>
      </c>
      <c r="D16" s="22" t="s">
        <v>50</v>
      </c>
      <c r="E16" s="22" t="s">
        <v>51</v>
      </c>
      <c r="F16" s="22" t="s">
        <v>52</v>
      </c>
      <c r="G16" s="22" t="s">
        <v>53</v>
      </c>
      <c r="H16" s="22" t="s">
        <v>54</v>
      </c>
      <c r="I16" s="22" t="s">
        <v>55</v>
      </c>
      <c r="J16" s="31"/>
      <c r="K16" s="16"/>
      <c r="L16" s="32" t="s">
        <v>56</v>
      </c>
      <c r="M16">
        <v>1.4014477509621468</v>
      </c>
      <c r="O16">
        <v>0</v>
      </c>
      <c r="Q16">
        <v>0</v>
      </c>
      <c r="S16" s="29">
        <v>0</v>
      </c>
      <c r="T16" s="30"/>
      <c r="W16">
        <v>1</v>
      </c>
      <c r="AE16">
        <v>1</v>
      </c>
      <c r="AI16" s="29"/>
    </row>
    <row r="17" spans="1:35" x14ac:dyDescent="0.25">
      <c r="A17" t="s">
        <v>18</v>
      </c>
      <c r="B17">
        <v>24.246652539461202</v>
      </c>
      <c r="C17">
        <v>3.1896352778176444</v>
      </c>
      <c r="D17">
        <v>7.6017006421031361</v>
      </c>
      <c r="E17">
        <v>4.8538995463870547E-11</v>
      </c>
      <c r="F17">
        <v>17.899076045933541</v>
      </c>
      <c r="G17">
        <v>30.594229032988864</v>
      </c>
      <c r="H17">
        <v>17.899076045933541</v>
      </c>
      <c r="I17">
        <v>30.594229032988864</v>
      </c>
      <c r="K17" s="16"/>
      <c r="L17" s="28" t="s">
        <v>57</v>
      </c>
      <c r="M17">
        <v>0.80400183080118359</v>
      </c>
      <c r="O17">
        <v>0</v>
      </c>
      <c r="Q17">
        <v>0</v>
      </c>
      <c r="S17" s="29">
        <v>0</v>
      </c>
      <c r="T17" s="30"/>
      <c r="Y17">
        <v>1</v>
      </c>
      <c r="AG17">
        <v>1</v>
      </c>
      <c r="AI17" s="29"/>
    </row>
    <row r="18" spans="1:35" x14ac:dyDescent="0.25">
      <c r="A18" t="s">
        <v>21</v>
      </c>
      <c r="B18">
        <v>-6.0421308318193434</v>
      </c>
      <c r="C18">
        <v>3.0262856385107688</v>
      </c>
      <c r="D18" s="33">
        <v>-1.9965500793879682</v>
      </c>
      <c r="E18">
        <v>4.9275502259770738E-2</v>
      </c>
      <c r="F18">
        <v>-12.064631183287284</v>
      </c>
      <c r="G18">
        <v>-1.9630480351402468E-2</v>
      </c>
      <c r="H18">
        <v>-12.064631183287284</v>
      </c>
      <c r="I18">
        <v>-1.9630480351402468E-2</v>
      </c>
      <c r="K18" s="16"/>
      <c r="L18" s="28" t="s">
        <v>58</v>
      </c>
      <c r="M18">
        <v>1.3809866220020235</v>
      </c>
      <c r="O18">
        <v>0</v>
      </c>
      <c r="Q18">
        <v>0</v>
      </c>
      <c r="S18" s="29">
        <v>0</v>
      </c>
      <c r="T18" s="30"/>
      <c r="AA18">
        <v>1</v>
      </c>
      <c r="AI18" s="29"/>
    </row>
    <row r="19" spans="1:35" x14ac:dyDescent="0.25">
      <c r="A19" t="s">
        <v>24</v>
      </c>
      <c r="B19">
        <v>-5.8101626666452674E-2</v>
      </c>
      <c r="C19">
        <v>2.5057264646097734E-2</v>
      </c>
      <c r="D19" s="33">
        <v>-2.3187537621150947</v>
      </c>
      <c r="E19">
        <v>2.2961605468327741E-2</v>
      </c>
      <c r="F19">
        <v>-0.10796717247534404</v>
      </c>
      <c r="G19">
        <v>-8.2360808575613065E-3</v>
      </c>
      <c r="H19">
        <v>-0.10796717247534404</v>
      </c>
      <c r="I19">
        <v>-8.2360808575613065E-3</v>
      </c>
      <c r="K19" s="16"/>
      <c r="L19" s="34" t="s">
        <v>59</v>
      </c>
      <c r="M19" s="24">
        <v>2.1076684794158096</v>
      </c>
      <c r="N19" s="24"/>
      <c r="O19" s="24">
        <v>0</v>
      </c>
      <c r="P19" s="24"/>
      <c r="Q19" s="24">
        <v>0</v>
      </c>
      <c r="R19" s="24"/>
      <c r="S19" s="25">
        <v>0</v>
      </c>
      <c r="T19" s="26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5"/>
    </row>
    <row r="20" spans="1:35" x14ac:dyDescent="0.25">
      <c r="A20" t="s">
        <v>27</v>
      </c>
      <c r="B20">
        <v>-0.24638933906107457</v>
      </c>
      <c r="C20">
        <v>0.17383082545407574</v>
      </c>
      <c r="D20" s="33">
        <v>-1.417408784762217</v>
      </c>
      <c r="E20">
        <v>0.16024647385029997</v>
      </c>
      <c r="F20">
        <v>-0.59232370628369724</v>
      </c>
      <c r="G20">
        <v>9.9545028161548088E-2</v>
      </c>
      <c r="H20">
        <v>-0.59232370628369724</v>
      </c>
      <c r="I20">
        <v>9.9545028161548088E-2</v>
      </c>
      <c r="L20" t="s">
        <v>60</v>
      </c>
      <c r="O20" s="24">
        <f>M4+SUMPRODUCT(M5:M19,O5:O19)</f>
        <v>18.073889108738143</v>
      </c>
      <c r="Q20" s="24">
        <f>M4+SUMPRODUCT(M5:M19,Q5:Q19)</f>
        <v>14.786762059021864</v>
      </c>
      <c r="S20" s="24">
        <f>M4+SUMPRODUCT(M5:M19,S5:S19)</f>
        <v>16.700281334430002</v>
      </c>
      <c r="U20" s="24">
        <f>$M$4+SUMPRODUCT($M$5:$M$19,U5:U19)</f>
        <v>18.304301658172783</v>
      </c>
      <c r="W20" s="24">
        <f>$M$4+SUMPRODUCT($M$5:$M$19,W5:W19)</f>
        <v>17.252461270372628</v>
      </c>
      <c r="Y20" s="24">
        <f>$M$4+SUMPRODUCT($M$5:$M$19,Y5:Y19)</f>
        <v>16.692925001753665</v>
      </c>
      <c r="AA20" s="24">
        <f>$M$4+SUMPRODUCT($M$5:$M$19,AA5:AA19)</f>
        <v>16.576864580663809</v>
      </c>
      <c r="AC20" s="24">
        <f>$M$4+SUMPRODUCT($M$5:$M$19,AC5:AC19)</f>
        <v>19.085155955920548</v>
      </c>
      <c r="AE20" s="24">
        <f>$M$4+SUMPRODUCT($M$5:$M$19,AE5:AE19)</f>
        <v>17.698548196249281</v>
      </c>
      <c r="AG20" s="24">
        <f>$M$4+SUMPRODUCT($M$5:$M$19,AG5:AG19)</f>
        <v>17.133584761065798</v>
      </c>
      <c r="AI20" s="24">
        <f>$M$4+SUMPRODUCT($M$5:$M$19,AI5:AI19)</f>
        <v>14.582920712522167</v>
      </c>
    </row>
    <row r="21" spans="1:35" x14ac:dyDescent="0.25">
      <c r="A21" t="s">
        <v>61</v>
      </c>
      <c r="B21">
        <v>-0.12307269842402345</v>
      </c>
      <c r="C21">
        <v>5.0823655529683091E-2</v>
      </c>
      <c r="D21" s="33">
        <v>-2.4215632886175213</v>
      </c>
      <c r="E21">
        <v>1.7716545501839199E-2</v>
      </c>
      <c r="F21">
        <v>-0.22421499622808211</v>
      </c>
      <c r="G21">
        <v>-2.1930400619964804E-2</v>
      </c>
      <c r="H21">
        <v>-0.22421499622808211</v>
      </c>
      <c r="I21">
        <v>-2.1930400619964804E-2</v>
      </c>
      <c r="L21" t="s">
        <v>62</v>
      </c>
      <c r="O21" s="10">
        <v>15.53</v>
      </c>
      <c r="Q21" s="10">
        <v>15.62</v>
      </c>
      <c r="S21" s="10">
        <v>17.73</v>
      </c>
      <c r="U21" s="10">
        <v>17.21</v>
      </c>
      <c r="W21" s="10">
        <v>16.5</v>
      </c>
      <c r="Y21" s="10">
        <v>16.55</v>
      </c>
      <c r="AA21" s="10">
        <v>17.010000000000002</v>
      </c>
      <c r="AC21" s="10">
        <v>17.88</v>
      </c>
      <c r="AE21" s="10">
        <v>17.149999999999999</v>
      </c>
      <c r="AG21" s="10">
        <v>18.22</v>
      </c>
      <c r="AI21" s="10">
        <v>14.8</v>
      </c>
    </row>
    <row r="22" spans="1:35" x14ac:dyDescent="0.25">
      <c r="A22" t="s">
        <v>32</v>
      </c>
      <c r="B22">
        <v>-0.25088257579028289</v>
      </c>
      <c r="C22">
        <v>0.56510523624286157</v>
      </c>
      <c r="D22">
        <v>-0.44395726618689962</v>
      </c>
      <c r="E22">
        <v>0.65827201840767635</v>
      </c>
      <c r="F22">
        <v>-1.3754778355965547</v>
      </c>
      <c r="G22">
        <v>0.87371268401598901</v>
      </c>
      <c r="H22">
        <v>-1.3754778355965547</v>
      </c>
      <c r="I22">
        <v>0.87371268401598901</v>
      </c>
      <c r="L22" t="s">
        <v>63</v>
      </c>
      <c r="O22" s="10">
        <f>ABS(O21-O20)/(O21)*100</f>
        <v>16.380483636433638</v>
      </c>
      <c r="Q22" s="10">
        <f>ABS(Q21-Q20)/(Q21)*100</f>
        <v>5.334429839808803</v>
      </c>
      <c r="S22" s="10">
        <f>ABS(S21-S20)/(S21)*100</f>
        <v>5.8077758915397526</v>
      </c>
      <c r="U22" s="10">
        <f>ABS(U21-U20)/(U21)*100</f>
        <v>6.358522127674501</v>
      </c>
      <c r="W22" s="10">
        <f>ABS(W21-W20)/(W21)*100</f>
        <v>4.5603713355916824</v>
      </c>
      <c r="Y22" s="10">
        <f>ABS(Y21-Y20)/(Y21)*100</f>
        <v>0.8635951767592982</v>
      </c>
      <c r="AA22" s="10">
        <f>ABS(AA21-AA20)/(AA21)*100</f>
        <v>2.5463575504773219</v>
      </c>
      <c r="AC22" s="10">
        <f>ABS(AC21-AC20)/(AC21)*100</f>
        <v>6.7402458384818207</v>
      </c>
      <c r="AE22" s="10">
        <f>ABS(AE21-AE20)/(AE21)*100</f>
        <v>3.1985317565555804</v>
      </c>
      <c r="AG22" s="10">
        <f>ABS(AG21-AG20)/(AG21)*100</f>
        <v>5.9627620139088968</v>
      </c>
      <c r="AI22" s="10">
        <f>ABS(AI21-AI20)/(AI21)*100</f>
        <v>1.4667519424177944</v>
      </c>
    </row>
    <row r="23" spans="1:35" x14ac:dyDescent="0.25">
      <c r="A23" t="s">
        <v>35</v>
      </c>
      <c r="B23">
        <v>2.0831791998459814</v>
      </c>
      <c r="C23">
        <v>1.13024767828858</v>
      </c>
      <c r="D23" s="33">
        <v>1.8431174333402123</v>
      </c>
      <c r="E23">
        <v>6.9015605929363968E-2</v>
      </c>
      <c r="F23">
        <v>-0.16608536167388621</v>
      </c>
      <c r="G23">
        <v>4.3324437613658491</v>
      </c>
      <c r="H23">
        <v>-0.16608536167388621</v>
      </c>
      <c r="I23">
        <v>4.3324437613658491</v>
      </c>
    </row>
    <row r="24" spans="1:35" x14ac:dyDescent="0.25">
      <c r="A24" t="s">
        <v>41</v>
      </c>
      <c r="B24">
        <v>1.1881455299268386</v>
      </c>
      <c r="C24">
        <v>1.0896466691275515</v>
      </c>
      <c r="D24">
        <v>1.0903952295638661</v>
      </c>
      <c r="E24">
        <v>0.27881250657053358</v>
      </c>
      <c r="F24">
        <v>-0.98032044839564958</v>
      </c>
      <c r="G24">
        <v>3.3566115082493271</v>
      </c>
      <c r="H24">
        <v>-0.98032044839564958</v>
      </c>
      <c r="I24">
        <v>3.3566115082493271</v>
      </c>
    </row>
    <row r="25" spans="1:35" x14ac:dyDescent="0.25">
      <c r="A25" t="s">
        <v>44</v>
      </c>
      <c r="B25">
        <v>0.86094564079736147</v>
      </c>
      <c r="C25">
        <v>1.3128877451933447</v>
      </c>
      <c r="D25">
        <v>0.65576485419214026</v>
      </c>
      <c r="E25">
        <v>0.51385697315037704</v>
      </c>
      <c r="F25">
        <v>-1.7517842371251433</v>
      </c>
      <c r="G25">
        <v>3.4736755187198662</v>
      </c>
      <c r="H25">
        <v>-1.7517842371251433</v>
      </c>
      <c r="I25">
        <v>3.4736755187198662</v>
      </c>
    </row>
    <row r="26" spans="1:35" x14ac:dyDescent="0.25">
      <c r="A26" t="s">
        <v>46</v>
      </c>
      <c r="B26">
        <v>0.55364365385676895</v>
      </c>
      <c r="C26">
        <v>1.31731243750704</v>
      </c>
      <c r="D26">
        <v>0.42028271964433661</v>
      </c>
      <c r="E26">
        <v>0.67540566970799976</v>
      </c>
      <c r="F26">
        <v>-2.0678916423895268</v>
      </c>
      <c r="G26">
        <v>3.1751789501030645</v>
      </c>
      <c r="H26">
        <v>-2.0678916423895268</v>
      </c>
      <c r="I26">
        <v>3.1751789501030645</v>
      </c>
    </row>
    <row r="27" spans="1:35" x14ac:dyDescent="0.25">
      <c r="A27" t="s">
        <v>48</v>
      </c>
      <c r="B27">
        <v>1.7060501303652471</v>
      </c>
      <c r="C27">
        <v>1.1974448026396209</v>
      </c>
      <c r="D27">
        <v>1.4247421898733601</v>
      </c>
      <c r="E27">
        <v>0.15812127115995164</v>
      </c>
      <c r="F27">
        <v>-0.67694097033911338</v>
      </c>
      <c r="G27">
        <v>4.0890412310696078</v>
      </c>
      <c r="H27">
        <v>-0.67694097033911338</v>
      </c>
      <c r="I27">
        <v>4.0890412310696078</v>
      </c>
    </row>
    <row r="28" spans="1:35" x14ac:dyDescent="0.25">
      <c r="A28" t="s">
        <v>49</v>
      </c>
      <c r="B28">
        <v>2.0438883082364128</v>
      </c>
      <c r="C28">
        <v>1.1304067675182718</v>
      </c>
      <c r="D28" s="33">
        <v>1.8080998512806368</v>
      </c>
      <c r="E28">
        <v>7.4349037292620601E-2</v>
      </c>
      <c r="F28">
        <v>-0.20569285094018008</v>
      </c>
      <c r="G28">
        <v>4.2934694674130061</v>
      </c>
      <c r="H28">
        <v>-0.20569285094018008</v>
      </c>
      <c r="I28">
        <v>4.2934694674130061</v>
      </c>
      <c r="L28" s="35"/>
    </row>
    <row r="29" spans="1:35" x14ac:dyDescent="0.25">
      <c r="A29" t="s">
        <v>56</v>
      </c>
      <c r="B29">
        <v>1.4014477509621468</v>
      </c>
      <c r="C29">
        <v>1.3135353556013565</v>
      </c>
      <c r="D29">
        <v>1.0669280769534693</v>
      </c>
      <c r="E29">
        <v>0.28921353432405045</v>
      </c>
      <c r="F29">
        <v>-1.2125709127445661</v>
      </c>
      <c r="G29">
        <v>4.0154664146688592</v>
      </c>
      <c r="H29">
        <v>-1.2125709127445661</v>
      </c>
      <c r="I29">
        <v>4.0154664146688592</v>
      </c>
    </row>
    <row r="30" spans="1:35" x14ac:dyDescent="0.25">
      <c r="A30" t="s">
        <v>57</v>
      </c>
      <c r="B30">
        <v>0.80400183080118359</v>
      </c>
      <c r="C30">
        <v>1.4726492264511184</v>
      </c>
      <c r="D30">
        <v>0.54595610167040065</v>
      </c>
      <c r="E30">
        <v>0.58661538150694181</v>
      </c>
      <c r="F30">
        <v>-2.1266635270978442</v>
      </c>
      <c r="G30">
        <v>3.7346671887002119</v>
      </c>
      <c r="H30">
        <v>-2.1266635270978442</v>
      </c>
      <c r="I30">
        <v>3.7346671887002119</v>
      </c>
    </row>
    <row r="31" spans="1:35" x14ac:dyDescent="0.25">
      <c r="A31" t="s">
        <v>58</v>
      </c>
      <c r="B31">
        <v>1.3809866220020235</v>
      </c>
      <c r="C31">
        <v>1.4025893914707039</v>
      </c>
      <c r="D31">
        <v>0.98459793750041902</v>
      </c>
      <c r="E31">
        <v>0.3277900721081064</v>
      </c>
      <c r="F31">
        <v>-1.4102552210033592</v>
      </c>
      <c r="G31">
        <v>4.1722284650074064</v>
      </c>
      <c r="H31">
        <v>-1.4102552210033592</v>
      </c>
      <c r="I31">
        <v>4.1722284650074064</v>
      </c>
    </row>
    <row r="32" spans="1:35" ht="15.75" thickBot="1" x14ac:dyDescent="0.3">
      <c r="A32" s="15" t="s">
        <v>59</v>
      </c>
      <c r="B32" s="15">
        <v>2.1076684794158096</v>
      </c>
      <c r="C32" s="15">
        <v>1.2935171763506927</v>
      </c>
      <c r="D32" s="36">
        <v>1.6294089618214607</v>
      </c>
      <c r="E32" s="15">
        <v>0.10715809972784548</v>
      </c>
      <c r="F32" s="15">
        <v>-0.46651273800404258</v>
      </c>
      <c r="G32" s="15">
        <v>4.6818496968356618</v>
      </c>
      <c r="H32" s="15">
        <v>-0.46651273800404258</v>
      </c>
      <c r="I32" s="15">
        <v>4.6818496968356618</v>
      </c>
    </row>
  </sheetData>
  <mergeCells count="4">
    <mergeCell ref="U2:AI2"/>
    <mergeCell ref="K3:L3"/>
    <mergeCell ref="K10:K11"/>
    <mergeCell ref="K12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Ayub</dc:creator>
  <cp:lastModifiedBy>Hassaan Ayub</cp:lastModifiedBy>
  <dcterms:created xsi:type="dcterms:W3CDTF">2024-06-04T11:59:29Z</dcterms:created>
  <dcterms:modified xsi:type="dcterms:W3CDTF">2024-06-04T11:59:53Z</dcterms:modified>
</cp:coreProperties>
</file>