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480" yWindow="45" windowWidth="18195" windowHeight="8520" firstSheet="1" activeTab="3"/>
  </bookViews>
  <sheets>
    <sheet name="Sheet1" sheetId="8" state="hidden" r:id="rId1"/>
    <sheet name="Pivot table" sheetId="7" r:id="rId2"/>
    <sheet name="Customer sale sheet" sheetId="1" r:id="rId3"/>
    <sheet name="Accounts" sheetId="2" r:id="rId4"/>
    <sheet name="Income Statement" sheetId="10" r:id="rId5"/>
    <sheet name="Parcel Report" sheetId="9" r:id="rId6"/>
    <sheet name="Sheet2" sheetId="11" r:id="rId7"/>
  </sheets>
  <definedNames>
    <definedName name="_xlnm._FilterDatabase" localSheetId="2" hidden="1">'Customer sale sheet'!$A$1:$L$866</definedName>
  </definedNames>
  <calcPr calcId="144525"/>
  <pivotCaches>
    <pivotCache cacheId="0" r:id="rId8"/>
  </pivotCaches>
</workbook>
</file>

<file path=xl/calcChain.xml><?xml version="1.0" encoding="utf-8"?>
<calcChain xmlns="http://schemas.openxmlformats.org/spreadsheetml/2006/main">
  <c r="F38" i="2" l="1"/>
  <c r="D38" i="2"/>
  <c r="C38" i="2"/>
  <c r="B38" i="2"/>
  <c r="AM40" i="2"/>
  <c r="AM39" i="2"/>
  <c r="AE61" i="2"/>
  <c r="S149" i="2"/>
  <c r="S148" i="2"/>
  <c r="S147" i="2"/>
  <c r="K960" i="1" l="1"/>
  <c r="K959" i="1"/>
  <c r="K958" i="1"/>
  <c r="K957" i="1"/>
  <c r="K956" i="1"/>
  <c r="K955" i="1"/>
  <c r="S144" i="2" l="1"/>
  <c r="S139" i="2"/>
  <c r="AL39" i="2"/>
  <c r="AK39" i="2"/>
  <c r="F37" i="2"/>
  <c r="C37" i="2"/>
  <c r="B37" i="2"/>
  <c r="S141" i="2"/>
  <c r="S138" i="2"/>
  <c r="S137" i="2"/>
  <c r="K954" i="1"/>
  <c r="K952" i="1"/>
  <c r="K951" i="1"/>
  <c r="K950" i="1"/>
  <c r="C24" i="10" l="1"/>
  <c r="C23" i="10"/>
  <c r="AM38" i="2"/>
  <c r="AL38" i="2"/>
  <c r="S136" i="2"/>
  <c r="S134" i="2"/>
  <c r="S133" i="2"/>
  <c r="S132" i="2"/>
  <c r="AM37" i="2"/>
  <c r="AL37" i="2"/>
  <c r="AL35" i="2"/>
  <c r="AK35" i="2"/>
  <c r="AF60" i="2"/>
  <c r="AE59" i="2"/>
  <c r="AD57" i="2"/>
  <c r="D34" i="2"/>
  <c r="C36" i="2"/>
  <c r="F36" i="2" s="1"/>
  <c r="D36" i="2"/>
  <c r="F35" i="2"/>
  <c r="B35" i="2"/>
  <c r="K948" i="1" l="1"/>
  <c r="K947" i="1"/>
  <c r="K946" i="1"/>
  <c r="K945" i="1"/>
  <c r="K944" i="1"/>
  <c r="K943" i="1" l="1"/>
  <c r="K942" i="1"/>
  <c r="S126" i="2" l="1"/>
  <c r="S125" i="2"/>
  <c r="K941" i="1"/>
  <c r="K939" i="1"/>
  <c r="S123" i="2" l="1"/>
  <c r="F34" i="2"/>
  <c r="C34" i="2"/>
  <c r="AL33" i="2"/>
  <c r="AM36" i="2"/>
  <c r="AM35" i="2"/>
  <c r="AM34" i="2"/>
  <c r="AM33" i="2"/>
  <c r="AM32" i="2"/>
  <c r="K937" i="1"/>
  <c r="K940" i="1"/>
  <c r="K938" i="1"/>
  <c r="K935" i="1" l="1"/>
  <c r="AL31" i="2" l="1"/>
  <c r="AM31" i="2" s="1"/>
  <c r="S116" i="2"/>
  <c r="S115" i="2"/>
  <c r="AK31" i="2"/>
  <c r="AK30" i="2"/>
  <c r="AL30" i="2"/>
  <c r="AF56" i="2"/>
  <c r="AE55" i="2"/>
  <c r="F33" i="2"/>
  <c r="B33" i="2"/>
  <c r="F32" i="2"/>
  <c r="D32" i="2"/>
  <c r="AM30" i="2" l="1"/>
  <c r="K934" i="1"/>
  <c r="K933" i="1"/>
  <c r="K932" i="1"/>
  <c r="K931" i="1"/>
  <c r="K930" i="1"/>
  <c r="F31" i="2" l="1"/>
  <c r="C31" i="2"/>
  <c r="B31" i="2"/>
  <c r="AF54" i="2"/>
  <c r="AD53" i="2"/>
  <c r="K929" i="1"/>
  <c r="K928" i="1" l="1"/>
  <c r="K927" i="1"/>
  <c r="AF52" i="2" l="1"/>
  <c r="AE51" i="2"/>
  <c r="AM29" i="2"/>
  <c r="S114" i="2"/>
  <c r="F30" i="2"/>
  <c r="B30" i="2"/>
  <c r="S110" i="2" l="1"/>
  <c r="S109" i="2"/>
  <c r="S108" i="2"/>
  <c r="S107" i="2"/>
  <c r="AM28" i="2"/>
  <c r="AF50" i="2"/>
  <c r="AE49" i="2"/>
  <c r="F29" i="2" l="1"/>
  <c r="D29" i="2"/>
  <c r="C29" i="2"/>
  <c r="K926" i="1"/>
  <c r="K925" i="1"/>
  <c r="K924" i="1"/>
  <c r="K923" i="1" l="1"/>
  <c r="K922" i="1"/>
  <c r="K921" i="1"/>
  <c r="S106" i="2"/>
  <c r="F28" i="2"/>
  <c r="D28" i="2"/>
  <c r="C18" i="10"/>
  <c r="AL26" i="2"/>
  <c r="S101" i="2"/>
  <c r="AF48" i="2"/>
  <c r="AE47" i="2"/>
  <c r="AD46" i="2"/>
  <c r="AM27" i="2"/>
  <c r="AM26" i="2" l="1"/>
  <c r="K920" i="1" l="1"/>
  <c r="M933" i="1"/>
  <c r="M937" i="1"/>
  <c r="M945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921" i="1"/>
  <c r="L922" i="1"/>
  <c r="L923" i="1"/>
  <c r="M923" i="1" s="1"/>
  <c r="L924" i="1"/>
  <c r="M924" i="1" s="1"/>
  <c r="M927" i="1"/>
  <c r="L928" i="1"/>
  <c r="L929" i="1"/>
  <c r="M929" i="1" s="1"/>
  <c r="L930" i="1"/>
  <c r="M930" i="1" s="1"/>
  <c r="L931" i="1"/>
  <c r="M931" i="1" s="1"/>
  <c r="L932" i="1"/>
  <c r="M932" i="1" s="1"/>
  <c r="L933" i="1"/>
  <c r="L934" i="1"/>
  <c r="M934" i="1" s="1"/>
  <c r="L935" i="1"/>
  <c r="M935" i="1" s="1"/>
  <c r="L936" i="1"/>
  <c r="M936" i="1" s="1"/>
  <c r="L937" i="1"/>
  <c r="L938" i="1"/>
  <c r="M938" i="1" s="1"/>
  <c r="L939" i="1"/>
  <c r="M939" i="1" s="1"/>
  <c r="L940" i="1"/>
  <c r="M940" i="1" s="1"/>
  <c r="L941" i="1"/>
  <c r="M941" i="1" s="1"/>
  <c r="L942" i="1"/>
  <c r="M942" i="1" s="1"/>
  <c r="L943" i="1"/>
  <c r="M943" i="1" s="1"/>
  <c r="L944" i="1"/>
  <c r="M944" i="1" s="1"/>
  <c r="L945" i="1"/>
  <c r="L946" i="1"/>
  <c r="M946" i="1" s="1"/>
  <c r="L947" i="1"/>
  <c r="M947" i="1" s="1"/>
  <c r="L948" i="1"/>
  <c r="M948" i="1" s="1"/>
  <c r="L949" i="1"/>
  <c r="M949" i="1" s="1"/>
  <c r="L950" i="1"/>
  <c r="M950" i="1" s="1"/>
  <c r="L951" i="1"/>
  <c r="M951" i="1" s="1"/>
  <c r="L952" i="1"/>
  <c r="M952" i="1" s="1"/>
  <c r="L953" i="1"/>
  <c r="M953" i="1" s="1"/>
  <c r="L954" i="1"/>
  <c r="M954" i="1" s="1"/>
  <c r="L955" i="1"/>
  <c r="M955" i="1" s="1"/>
  <c r="L956" i="1"/>
  <c r="M956" i="1" s="1"/>
  <c r="L957" i="1"/>
  <c r="M957" i="1" s="1"/>
  <c r="L958" i="1"/>
  <c r="M958" i="1" s="1"/>
  <c r="L959" i="1"/>
  <c r="M959" i="1" s="1"/>
  <c r="L960" i="1"/>
  <c r="M960" i="1" s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M928" i="1"/>
  <c r="M926" i="1"/>
  <c r="M925" i="1"/>
  <c r="M922" i="1"/>
  <c r="M919" i="1"/>
  <c r="K919" i="1"/>
  <c r="M920" i="1" l="1"/>
  <c r="S99" i="2"/>
  <c r="S100" i="2" s="1"/>
  <c r="AM25" i="2"/>
  <c r="AM24" i="2"/>
  <c r="AM23" i="2"/>
  <c r="S98" i="2"/>
  <c r="S95" i="2"/>
  <c r="F27" i="2"/>
  <c r="B27" i="2"/>
  <c r="AF44" i="2" l="1"/>
  <c r="K918" i="1" l="1"/>
  <c r="K917" i="1"/>
  <c r="K916" i="1"/>
  <c r="K915" i="1"/>
  <c r="K914" i="1"/>
  <c r="K913" i="1" l="1"/>
  <c r="S97" i="2"/>
  <c r="S96" i="2"/>
  <c r="S94" i="2"/>
  <c r="AL21" i="2"/>
  <c r="S93" i="2"/>
  <c r="S92" i="2"/>
  <c r="S91" i="2"/>
  <c r="AE41" i="2"/>
  <c r="AF42" i="2" s="1"/>
  <c r="AD40" i="2"/>
  <c r="AM22" i="2"/>
  <c r="AL22" i="2"/>
  <c r="AM21" i="2"/>
  <c r="K912" i="1"/>
  <c r="F26" i="2"/>
  <c r="C26" i="2"/>
  <c r="D26" i="2"/>
  <c r="B26" i="2"/>
  <c r="K911" i="1" l="1"/>
  <c r="K910" i="1"/>
  <c r="AM19" i="2"/>
  <c r="AL18" i="2"/>
  <c r="AF39" i="2"/>
  <c r="AE38" i="2"/>
  <c r="S84" i="2"/>
  <c r="S88" i="2"/>
  <c r="S87" i="2"/>
  <c r="S86" i="2"/>
  <c r="C25" i="2"/>
  <c r="F25" i="2" s="1"/>
  <c r="D24" i="2" l="1"/>
  <c r="D23" i="2" l="1"/>
  <c r="S85" i="2" l="1"/>
  <c r="S90" i="2" s="1"/>
  <c r="S83" i="2"/>
  <c r="AM18" i="2"/>
  <c r="AK18" i="2"/>
  <c r="K909" i="1" l="1"/>
  <c r="K908" i="1"/>
  <c r="K907" i="1"/>
  <c r="C907" i="1"/>
  <c r="M915" i="1"/>
  <c r="L909" i="1"/>
  <c r="M909" i="1" s="1"/>
  <c r="M910" i="1"/>
  <c r="M911" i="1"/>
  <c r="L912" i="1"/>
  <c r="M912" i="1" s="1"/>
  <c r="M913" i="1"/>
  <c r="M914" i="1"/>
  <c r="M916" i="1"/>
  <c r="L917" i="1"/>
  <c r="M917" i="1" s="1"/>
  <c r="M918" i="1"/>
  <c r="L907" i="1"/>
  <c r="AM17" i="2"/>
  <c r="AM16" i="2"/>
  <c r="M908" i="1" l="1"/>
  <c r="M907" i="1"/>
  <c r="S82" i="2"/>
  <c r="S81" i="2"/>
  <c r="F24" i="2"/>
  <c r="K884" i="1" l="1"/>
  <c r="AF37" i="2"/>
  <c r="AE36" i="2"/>
  <c r="AE35" i="2"/>
  <c r="AD34" i="2"/>
  <c r="S80" i="2" l="1"/>
  <c r="S79" i="2"/>
  <c r="AM15" i="2"/>
  <c r="K906" i="1"/>
  <c r="L906" i="1"/>
  <c r="K905" i="1"/>
  <c r="L905" i="1"/>
  <c r="M905" i="1" l="1"/>
  <c r="M906" i="1"/>
  <c r="K903" i="1"/>
  <c r="K902" i="1"/>
  <c r="K901" i="1"/>
  <c r="K900" i="1"/>
  <c r="K899" i="1"/>
  <c r="K904" i="1" l="1"/>
  <c r="M904" i="1" l="1"/>
  <c r="S78" i="2"/>
  <c r="S77" i="2"/>
  <c r="S76" i="2"/>
  <c r="S75" i="2"/>
  <c r="F23" i="2"/>
  <c r="B23" i="2"/>
  <c r="C23" i="2"/>
  <c r="BE5" i="2"/>
  <c r="AU6" i="2"/>
  <c r="S72" i="2" l="1"/>
  <c r="AM14" i="2"/>
  <c r="AL13" i="2"/>
  <c r="M903" i="1" l="1"/>
  <c r="N902" i="1" l="1"/>
  <c r="L902" i="1"/>
  <c r="M902" i="1" s="1"/>
  <c r="K898" i="1" l="1"/>
  <c r="K897" i="1"/>
  <c r="S70" i="2" l="1"/>
  <c r="K896" i="1"/>
  <c r="K895" i="1" l="1"/>
  <c r="K894" i="1"/>
  <c r="K893" i="1" l="1"/>
  <c r="K892" i="1"/>
  <c r="C12" i="10"/>
  <c r="C11" i="10"/>
  <c r="S68" i="2"/>
  <c r="K891" i="1"/>
  <c r="K890" i="1" l="1"/>
  <c r="K889" i="1"/>
  <c r="K888" i="1"/>
  <c r="K886" i="1"/>
  <c r="S66" i="2" l="1"/>
  <c r="K887" i="1"/>
  <c r="S67" i="2"/>
  <c r="S69" i="2" s="1"/>
  <c r="S71" i="2" s="1"/>
  <c r="S73" i="2" s="1"/>
  <c r="D22" i="2"/>
  <c r="C22" i="2"/>
  <c r="B22" i="2"/>
  <c r="F22" i="2" s="1"/>
  <c r="S63" i="2"/>
  <c r="AM13" i="2"/>
  <c r="AE28" i="2"/>
  <c r="K885" i="1" l="1"/>
  <c r="C885" i="1"/>
  <c r="C6" i="10" l="1"/>
  <c r="C4" i="10"/>
  <c r="C10" i="10" l="1"/>
  <c r="AL11" i="2"/>
  <c r="AK11" i="2"/>
  <c r="S59" i="2"/>
  <c r="S60" i="2"/>
  <c r="D21" i="2"/>
  <c r="F21" i="2" s="1"/>
  <c r="K883" i="1"/>
  <c r="K882" i="1" l="1"/>
  <c r="S57" i="2" l="1"/>
  <c r="AL12" i="2"/>
  <c r="AM12" i="2" s="1"/>
  <c r="AM11" i="2"/>
  <c r="AD25" i="2"/>
  <c r="S53" i="2" l="1"/>
  <c r="AL10" i="2"/>
  <c r="AM10" i="2" s="1"/>
  <c r="F20" i="2" l="1"/>
  <c r="B20" i="2"/>
  <c r="F19" i="2" l="1"/>
  <c r="B19" i="2"/>
  <c r="AM9" i="2"/>
  <c r="K877" i="1" l="1"/>
  <c r="K876" i="1"/>
  <c r="K875" i="1"/>
  <c r="K874" i="1" l="1"/>
  <c r="M851" i="1" l="1"/>
  <c r="M852" i="1"/>
  <c r="M887" i="1"/>
  <c r="S47" i="2" l="1"/>
  <c r="D18" i="2"/>
  <c r="C18" i="2"/>
  <c r="F18" i="2" s="1"/>
  <c r="B18" i="2"/>
  <c r="AE23" i="2"/>
  <c r="AD21" i="2"/>
  <c r="AM8" i="2"/>
  <c r="K873" i="1" l="1"/>
  <c r="K872" i="1"/>
  <c r="K871" i="1"/>
  <c r="K870" i="1"/>
  <c r="D17" i="2" l="1"/>
  <c r="B17" i="2"/>
  <c r="S44" i="2"/>
  <c r="S43" i="2"/>
  <c r="S42" i="2"/>
  <c r="K869" i="1"/>
  <c r="AE19" i="2"/>
  <c r="AM7" i="2"/>
  <c r="F17" i="2" l="1"/>
  <c r="N881" i="1"/>
  <c r="N883" i="1"/>
  <c r="N885" i="1"/>
  <c r="N887" i="1"/>
  <c r="N891" i="1"/>
  <c r="N896" i="1"/>
  <c r="N899" i="1"/>
  <c r="M869" i="1"/>
  <c r="N869" i="1" s="1"/>
  <c r="M870" i="1"/>
  <c r="N870" i="1" s="1"/>
  <c r="M871" i="1"/>
  <c r="N871" i="1" s="1"/>
  <c r="M872" i="1"/>
  <c r="N872" i="1" s="1"/>
  <c r="M873" i="1"/>
  <c r="N873" i="1" s="1"/>
  <c r="M874" i="1"/>
  <c r="N874" i="1" s="1"/>
  <c r="M875" i="1"/>
  <c r="N875" i="1" s="1"/>
  <c r="M876" i="1"/>
  <c r="N876" i="1" s="1"/>
  <c r="M877" i="1"/>
  <c r="N877" i="1" s="1"/>
  <c r="L878" i="1"/>
  <c r="M878" i="1" s="1"/>
  <c r="N878" i="1" s="1"/>
  <c r="M879" i="1"/>
  <c r="N879" i="1" s="1"/>
  <c r="M880" i="1"/>
  <c r="N880" i="1" s="1"/>
  <c r="L881" i="1"/>
  <c r="M881" i="1" s="1"/>
  <c r="M882" i="1"/>
  <c r="N882" i="1" s="1"/>
  <c r="L883" i="1"/>
  <c r="M883" i="1" s="1"/>
  <c r="M884" i="1"/>
  <c r="N884" i="1" s="1"/>
  <c r="M885" i="1"/>
  <c r="M886" i="1"/>
  <c r="N886" i="1" s="1"/>
  <c r="M888" i="1"/>
  <c r="N888" i="1" s="1"/>
  <c r="M889" i="1"/>
  <c r="N889" i="1" s="1"/>
  <c r="M890" i="1"/>
  <c r="N890" i="1" s="1"/>
  <c r="M891" i="1"/>
  <c r="M892" i="1"/>
  <c r="N892" i="1" s="1"/>
  <c r="M893" i="1"/>
  <c r="N893" i="1" s="1"/>
  <c r="M894" i="1"/>
  <c r="N894" i="1" s="1"/>
  <c r="M895" i="1"/>
  <c r="N895" i="1" s="1"/>
  <c r="L896" i="1"/>
  <c r="M896" i="1" s="1"/>
  <c r="M897" i="1"/>
  <c r="N897" i="1" s="1"/>
  <c r="M898" i="1"/>
  <c r="N898" i="1" s="1"/>
  <c r="M899" i="1"/>
  <c r="M900" i="1"/>
  <c r="N900" i="1" s="1"/>
  <c r="M901" i="1"/>
  <c r="N901" i="1" s="1"/>
  <c r="K868" i="1" l="1"/>
  <c r="M868" i="1" s="1"/>
  <c r="K867" i="1"/>
  <c r="M867" i="1" s="1"/>
  <c r="N867" i="1" l="1"/>
  <c r="N868" i="1"/>
  <c r="AM6" i="2"/>
  <c r="AE16" i="2"/>
  <c r="S39" i="2"/>
  <c r="S40" i="2"/>
  <c r="F16" i="2" l="1"/>
  <c r="K866" i="1"/>
  <c r="N866" i="1" l="1"/>
  <c r="M866" i="1"/>
  <c r="AL5" i="2"/>
  <c r="S37" i="2"/>
  <c r="AM5" i="2"/>
  <c r="F15" i="2" l="1"/>
  <c r="K865" i="1" l="1"/>
  <c r="M865" i="1" s="1"/>
  <c r="K864" i="1"/>
  <c r="AD14" i="2" l="1"/>
  <c r="C5" i="10" l="1"/>
  <c r="J16" i="2"/>
  <c r="J15" i="2"/>
  <c r="L18" i="2"/>
  <c r="L17" i="2"/>
  <c r="L16" i="2"/>
  <c r="L15" i="2"/>
  <c r="AD11" i="2"/>
  <c r="K863" i="1" l="1"/>
  <c r="K862" i="1"/>
  <c r="M862" i="1" s="1"/>
  <c r="K861" i="1"/>
  <c r="M861" i="1" s="1"/>
  <c r="D14" i="2"/>
  <c r="B14" i="2"/>
  <c r="AE10" i="2"/>
  <c r="S33" i="2"/>
  <c r="P6" i="2"/>
  <c r="D13" i="2"/>
  <c r="D9" i="2"/>
  <c r="F14" i="2" l="1"/>
  <c r="K860" i="1"/>
  <c r="M860" i="1" s="1"/>
  <c r="AD7" i="2" l="1"/>
  <c r="AD5" i="2"/>
  <c r="AF5" i="2" s="1"/>
  <c r="AF6" i="2" s="1"/>
  <c r="AF8" i="2" l="1"/>
  <c r="AF10" i="2" s="1"/>
  <c r="AF13" i="2" s="1"/>
  <c r="AF15" i="2" s="1"/>
  <c r="AF17" i="2" s="1"/>
  <c r="AF20" i="2" s="1"/>
  <c r="AF22" i="2" s="1"/>
  <c r="AF24" i="2" s="1"/>
  <c r="AF29" i="2" s="1"/>
  <c r="AF31" i="2" s="1"/>
  <c r="AF33" i="2" s="1"/>
  <c r="K859" i="1"/>
  <c r="M859" i="1" s="1"/>
  <c r="F13" i="2" l="1"/>
  <c r="S30" i="2"/>
  <c r="J12" i="2"/>
  <c r="J11" i="2"/>
  <c r="K858" i="1" l="1"/>
  <c r="M858" i="1" s="1"/>
  <c r="K857" i="1" l="1"/>
  <c r="M857" i="1" s="1"/>
  <c r="K856" i="1"/>
  <c r="K855" i="1"/>
  <c r="M855" i="1" s="1"/>
  <c r="S27" i="2"/>
  <c r="S25" i="2"/>
  <c r="D12" i="2" l="1"/>
  <c r="F12" i="2" s="1"/>
  <c r="P8" i="2" l="1"/>
  <c r="K854" i="1" l="1"/>
  <c r="F11" i="2" l="1"/>
  <c r="S20" i="2"/>
  <c r="K853" i="1" l="1"/>
  <c r="M853" i="1" s="1"/>
  <c r="B10" i="2" l="1"/>
  <c r="F10" i="2" s="1"/>
  <c r="K849" i="1" l="1"/>
  <c r="K848" i="1"/>
  <c r="K847" i="1"/>
  <c r="K846" i="1"/>
  <c r="K850" i="1"/>
  <c r="M850" i="1" s="1"/>
  <c r="S13" i="2" l="1"/>
  <c r="B9" i="2"/>
  <c r="F9" i="2" s="1"/>
  <c r="F13" i="9" l="1"/>
  <c r="F14" i="9"/>
  <c r="F15" i="9"/>
  <c r="E15" i="9"/>
  <c r="C15" i="9"/>
  <c r="J7" i="2" l="1"/>
  <c r="K845" i="1" l="1"/>
  <c r="S6" i="2"/>
  <c r="S7" i="2" s="1"/>
  <c r="S10" i="2" s="1"/>
  <c r="S12" i="2" s="1"/>
  <c r="S15" i="2" s="1"/>
  <c r="S17" i="2" s="1"/>
  <c r="S19" i="2" s="1"/>
  <c r="S21" i="2" s="1"/>
  <c r="S24" i="2" s="1"/>
  <c r="S26" i="2" s="1"/>
  <c r="S28" i="2" s="1"/>
  <c r="S32" i="2" s="1"/>
  <c r="S34" i="2" s="1"/>
  <c r="S36" i="2" s="1"/>
  <c r="S38" i="2" s="1"/>
  <c r="S41" i="2" s="1"/>
  <c r="S45" i="2" s="1"/>
  <c r="S48" i="2" s="1"/>
  <c r="S50" i="2" s="1"/>
  <c r="S56" i="2" s="1"/>
  <c r="S58" i="2" s="1"/>
  <c r="S61" i="2" s="1"/>
  <c r="B7" i="2"/>
  <c r="F7" i="2" s="1"/>
  <c r="K842" i="1"/>
  <c r="M842" i="1" s="1"/>
  <c r="K844" i="1"/>
  <c r="M844" i="1" s="1"/>
  <c r="K843" i="1" l="1"/>
  <c r="J6" i="2" l="1"/>
  <c r="K841" i="1" l="1"/>
  <c r="K840" i="1"/>
  <c r="M840" i="1" s="1"/>
  <c r="K837" i="1" l="1"/>
  <c r="K836" i="1"/>
  <c r="K835" i="1" l="1"/>
  <c r="K834" i="1" l="1"/>
  <c r="K831" i="1" l="1"/>
  <c r="K832" i="1"/>
  <c r="K833" i="1"/>
  <c r="K828" i="1" l="1"/>
  <c r="K827" i="1"/>
  <c r="K825" i="1" l="1"/>
  <c r="K820" i="1" l="1"/>
  <c r="D6" i="9" l="1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5" i="9"/>
  <c r="K821" i="1"/>
  <c r="K819" i="1" l="1"/>
  <c r="K816" i="1"/>
  <c r="K815" i="1" l="1"/>
  <c r="K814" i="1"/>
  <c r="K812" i="1" l="1"/>
  <c r="K813" i="1"/>
  <c r="K811" i="1" l="1"/>
  <c r="K809" i="1" l="1"/>
  <c r="K808" i="1"/>
  <c r="K806" i="1" l="1"/>
  <c r="K805" i="1"/>
  <c r="K804" i="1"/>
  <c r="K803" i="1"/>
  <c r="K801" i="1"/>
  <c r="K800" i="1" l="1"/>
  <c r="L326" i="1" l="1"/>
  <c r="M326" i="1" s="1"/>
  <c r="N326" i="1" s="1"/>
  <c r="L327" i="1"/>
  <c r="M327" i="1" s="1"/>
  <c r="N327" i="1" s="1"/>
  <c r="L328" i="1"/>
  <c r="M328" i="1" s="1"/>
  <c r="N328" i="1" s="1"/>
  <c r="L329" i="1"/>
  <c r="M329" i="1" s="1"/>
  <c r="N329" i="1" s="1"/>
  <c r="L330" i="1"/>
  <c r="M330" i="1" s="1"/>
  <c r="N330" i="1" s="1"/>
  <c r="L331" i="1"/>
  <c r="M331" i="1" s="1"/>
  <c r="N331" i="1" s="1"/>
  <c r="L332" i="1"/>
  <c r="M332" i="1" s="1"/>
  <c r="N332" i="1"/>
  <c r="L333" i="1"/>
  <c r="M333" i="1" s="1"/>
  <c r="N333" i="1" s="1"/>
  <c r="L334" i="1"/>
  <c r="M334" i="1" s="1"/>
  <c r="N334" i="1" s="1"/>
  <c r="L335" i="1"/>
  <c r="M335" i="1" s="1"/>
  <c r="N335" i="1" s="1"/>
  <c r="L336" i="1"/>
  <c r="M336" i="1" s="1"/>
  <c r="N336" i="1"/>
  <c r="L337" i="1"/>
  <c r="M337" i="1" s="1"/>
  <c r="N337" i="1" s="1"/>
  <c r="L338" i="1"/>
  <c r="M338" i="1" s="1"/>
  <c r="N338" i="1" s="1"/>
  <c r="L339" i="1"/>
  <c r="M339" i="1" s="1"/>
  <c r="N339" i="1" s="1"/>
  <c r="L340" i="1"/>
  <c r="M340" i="1" s="1"/>
  <c r="N340" i="1" s="1"/>
  <c r="L341" i="1"/>
  <c r="M341" i="1" s="1"/>
  <c r="N341" i="1" s="1"/>
  <c r="L342" i="1"/>
  <c r="M342" i="1" s="1"/>
  <c r="N342" i="1" s="1"/>
  <c r="L343" i="1"/>
  <c r="M343" i="1" s="1"/>
  <c r="N343" i="1" s="1"/>
  <c r="L344" i="1"/>
  <c r="M344" i="1" s="1"/>
  <c r="N344" i="1" s="1"/>
  <c r="L345" i="1"/>
  <c r="M345" i="1" s="1"/>
  <c r="N345" i="1" s="1"/>
  <c r="L346" i="1"/>
  <c r="M346" i="1" s="1"/>
  <c r="N346" i="1" s="1"/>
  <c r="L347" i="1"/>
  <c r="M347" i="1" s="1"/>
  <c r="N347" i="1" s="1"/>
  <c r="L348" i="1"/>
  <c r="M348" i="1" s="1"/>
  <c r="N348" i="1" s="1"/>
  <c r="L349" i="1"/>
  <c r="M349" i="1" s="1"/>
  <c r="N349" i="1" s="1"/>
  <c r="L350" i="1"/>
  <c r="M350" i="1" s="1"/>
  <c r="N350" i="1" s="1"/>
  <c r="L351" i="1"/>
  <c r="M351" i="1" s="1"/>
  <c r="N351" i="1" s="1"/>
  <c r="L352" i="1"/>
  <c r="M352" i="1" s="1"/>
  <c r="N352" i="1" s="1"/>
  <c r="L353" i="1"/>
  <c r="M353" i="1" s="1"/>
  <c r="N353" i="1" s="1"/>
  <c r="L354" i="1"/>
  <c r="M354" i="1" s="1"/>
  <c r="N354" i="1" s="1"/>
  <c r="L355" i="1"/>
  <c r="M355" i="1" s="1"/>
  <c r="N355" i="1" s="1"/>
  <c r="L356" i="1"/>
  <c r="M356" i="1" s="1"/>
  <c r="N356" i="1" s="1"/>
  <c r="L357" i="1"/>
  <c r="M357" i="1" s="1"/>
  <c r="N357" i="1"/>
  <c r="L358" i="1"/>
  <c r="M358" i="1" s="1"/>
  <c r="N358" i="1" s="1"/>
  <c r="L359" i="1"/>
  <c r="M359" i="1" s="1"/>
  <c r="N359" i="1" s="1"/>
  <c r="L360" i="1"/>
  <c r="M360" i="1" s="1"/>
  <c r="N360" i="1" s="1"/>
  <c r="L361" i="1"/>
  <c r="M361" i="1" s="1"/>
  <c r="N361" i="1" s="1"/>
  <c r="L362" i="1"/>
  <c r="M362" i="1" s="1"/>
  <c r="N362" i="1"/>
  <c r="L363" i="1"/>
  <c r="M363" i="1" s="1"/>
  <c r="N363" i="1" s="1"/>
  <c r="L325" i="1"/>
  <c r="M325" i="1" s="1"/>
  <c r="N325" i="1" s="1"/>
  <c r="N364" i="1"/>
  <c r="L364" i="1"/>
  <c r="M364" i="1" s="1"/>
  <c r="L365" i="1"/>
  <c r="M365" i="1" s="1"/>
  <c r="N365" i="1" s="1"/>
  <c r="L366" i="1"/>
  <c r="M366" i="1" s="1"/>
  <c r="N366" i="1" s="1"/>
  <c r="L367" i="1"/>
  <c r="M367" i="1" s="1"/>
  <c r="N367" i="1" s="1"/>
  <c r="L368" i="1"/>
  <c r="M368" i="1" s="1"/>
  <c r="N368" i="1" s="1"/>
  <c r="L369" i="1"/>
  <c r="M369" i="1" s="1"/>
  <c r="N369" i="1" s="1"/>
  <c r="K799" i="1" l="1"/>
  <c r="K798" i="1"/>
  <c r="K797" i="1"/>
  <c r="K796" i="1" l="1"/>
  <c r="K792" i="1"/>
  <c r="K791" i="1"/>
  <c r="K790" i="1"/>
  <c r="K793" i="1" l="1"/>
  <c r="K789" i="1" l="1"/>
  <c r="K788" i="1"/>
  <c r="K787" i="1"/>
  <c r="K786" i="1"/>
  <c r="K784" i="1" l="1"/>
  <c r="K783" i="1"/>
  <c r="K777" i="1" l="1"/>
  <c r="K776" i="1" l="1"/>
  <c r="K775" i="1"/>
  <c r="L773" i="1" l="1"/>
  <c r="L774" i="1"/>
  <c r="M774" i="1" s="1"/>
  <c r="N774" i="1" s="1"/>
  <c r="K773" i="1"/>
  <c r="M773" i="1" l="1"/>
  <c r="N773" i="1" s="1"/>
  <c r="K772" i="1"/>
  <c r="K771" i="1" l="1"/>
  <c r="K770" i="1"/>
  <c r="K769" i="1"/>
  <c r="K768" i="1"/>
  <c r="K767" i="1"/>
  <c r="K766" i="1" l="1"/>
  <c r="K765" i="1"/>
  <c r="K763" i="1"/>
  <c r="K764" i="1"/>
  <c r="K762" i="1"/>
  <c r="K761" i="1" l="1"/>
  <c r="K760" i="1"/>
  <c r="K759" i="1"/>
  <c r="K757" i="1"/>
  <c r="K756" i="1" l="1"/>
  <c r="K755" i="1"/>
  <c r="K754" i="1"/>
  <c r="K753" i="1"/>
  <c r="K752" i="1" l="1"/>
  <c r="K751" i="1"/>
  <c r="K750" i="1" l="1"/>
  <c r="K749" i="1" l="1"/>
  <c r="K748" i="1"/>
  <c r="K746" i="1"/>
  <c r="K745" i="1"/>
  <c r="K742" i="1"/>
  <c r="K741" i="1"/>
  <c r="K747" i="1"/>
  <c r="K740" i="1" l="1"/>
  <c r="K739" i="1"/>
  <c r="K738" i="1" l="1"/>
  <c r="K737" i="1"/>
  <c r="K736" i="1"/>
  <c r="K735" i="1"/>
  <c r="K734" i="1"/>
  <c r="K733" i="1" l="1"/>
  <c r="K732" i="1"/>
  <c r="K731" i="1" l="1"/>
  <c r="K730" i="1"/>
  <c r="K729" i="1"/>
  <c r="K728" i="1"/>
  <c r="K727" i="1" l="1"/>
  <c r="K726" i="1" l="1"/>
  <c r="K725" i="1"/>
  <c r="K724" i="1"/>
  <c r="K723" i="1"/>
  <c r="K722" i="1"/>
  <c r="K721" i="1"/>
  <c r="K720" i="1" l="1"/>
  <c r="K718" i="1"/>
  <c r="K719" i="1"/>
  <c r="K717" i="1" l="1"/>
  <c r="K716" i="1"/>
  <c r="K715" i="1" l="1"/>
  <c r="K710" i="1"/>
  <c r="K709" i="1"/>
  <c r="K708" i="1"/>
  <c r="K714" i="1"/>
  <c r="K707" i="1"/>
  <c r="K706" i="1"/>
  <c r="K705" i="1"/>
  <c r="K704" i="1"/>
  <c r="K713" i="1"/>
  <c r="K712" i="1"/>
  <c r="K711" i="1"/>
  <c r="K703" i="1"/>
  <c r="K702" i="1"/>
  <c r="K701" i="1"/>
  <c r="K700" i="1"/>
  <c r="K696" i="1"/>
  <c r="K699" i="1"/>
  <c r="K698" i="1"/>
  <c r="K697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7" i="1"/>
  <c r="K678" i="1"/>
  <c r="K674" i="1"/>
  <c r="K673" i="1"/>
  <c r="K672" i="1"/>
  <c r="K670" i="1"/>
  <c r="K666" i="1"/>
  <c r="L666" i="1"/>
  <c r="K669" i="1"/>
  <c r="K668" i="1"/>
  <c r="K667" i="1"/>
  <c r="L664" i="1"/>
  <c r="K664" i="1"/>
  <c r="K661" i="1"/>
  <c r="K659" i="1"/>
  <c r="K658" i="1"/>
  <c r="L661" i="1"/>
  <c r="L660" i="1"/>
  <c r="L659" i="1"/>
  <c r="L658" i="1"/>
  <c r="K663" i="1"/>
  <c r="K662" i="1"/>
  <c r="K657" i="1"/>
  <c r="K656" i="1"/>
  <c r="K655" i="1"/>
  <c r="K654" i="1"/>
  <c r="K648" i="1"/>
  <c r="K647" i="1"/>
  <c r="K646" i="1"/>
  <c r="K645" i="1"/>
  <c r="K644" i="1"/>
  <c r="K643" i="1"/>
  <c r="K642" i="1"/>
  <c r="K650" i="1"/>
  <c r="K641" i="1"/>
  <c r="K640" i="1"/>
  <c r="K639" i="1"/>
  <c r="L639" i="1"/>
  <c r="K653" i="1"/>
  <c r="K652" i="1"/>
  <c r="K651" i="1"/>
  <c r="L649" i="1"/>
  <c r="K649" i="1"/>
  <c r="K638" i="1"/>
  <c r="K637" i="1"/>
  <c r="K636" i="1"/>
  <c r="K635" i="1"/>
  <c r="K634" i="1"/>
  <c r="K633" i="1"/>
  <c r="K629" i="1"/>
  <c r="K628" i="1"/>
  <c r="K627" i="1"/>
  <c r="K626" i="1"/>
  <c r="K625" i="1"/>
  <c r="K624" i="1"/>
  <c r="K623" i="1"/>
  <c r="K621" i="1"/>
  <c r="K622" i="1" s="1"/>
  <c r="K614" i="1"/>
  <c r="L614" i="1"/>
  <c r="K620" i="1"/>
  <c r="K619" i="1"/>
  <c r="K618" i="1"/>
  <c r="K617" i="1"/>
  <c r="K616" i="1"/>
  <c r="K609" i="1"/>
  <c r="K605" i="1"/>
  <c r="K608" i="1"/>
  <c r="K607" i="1"/>
  <c r="K606" i="1"/>
  <c r="L609" i="1"/>
  <c r="L608" i="1"/>
  <c r="L607" i="1"/>
  <c r="L606" i="1"/>
  <c r="L605" i="1"/>
  <c r="K611" i="1"/>
  <c r="K612" i="1"/>
  <c r="K613" i="1" s="1"/>
  <c r="K610" i="1"/>
  <c r="L611" i="1"/>
  <c r="L612" i="1"/>
  <c r="L613" i="1"/>
  <c r="L615" i="1"/>
  <c r="L616" i="1"/>
  <c r="N616" i="1"/>
  <c r="L617" i="1"/>
  <c r="L618" i="1"/>
  <c r="L619" i="1"/>
  <c r="L620" i="1"/>
  <c r="L621" i="1"/>
  <c r="L622" i="1"/>
  <c r="L623" i="1"/>
  <c r="L624" i="1"/>
  <c r="N624" i="1"/>
  <c r="L625" i="1"/>
  <c r="N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40" i="1"/>
  <c r="L641" i="1"/>
  <c r="L642" i="1"/>
  <c r="N642" i="1"/>
  <c r="L643" i="1"/>
  <c r="L644" i="1"/>
  <c r="L645" i="1"/>
  <c r="L646" i="1"/>
  <c r="L647" i="1"/>
  <c r="L648" i="1"/>
  <c r="L650" i="1"/>
  <c r="L651" i="1"/>
  <c r="L652" i="1"/>
  <c r="L653" i="1"/>
  <c r="L654" i="1"/>
  <c r="L655" i="1"/>
  <c r="L657" i="1"/>
  <c r="L662" i="1"/>
  <c r="L663" i="1"/>
  <c r="L665" i="1"/>
  <c r="N665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80" i="1"/>
  <c r="L681" i="1"/>
  <c r="L682" i="1"/>
  <c r="N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N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5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N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N748" i="1"/>
  <c r="L749" i="1"/>
  <c r="N749" i="1"/>
  <c r="L750" i="1"/>
  <c r="N750" i="1"/>
  <c r="L751" i="1"/>
  <c r="L752" i="1"/>
  <c r="L753" i="1"/>
  <c r="L754" i="1"/>
  <c r="L755" i="1"/>
  <c r="L756" i="1"/>
  <c r="L758" i="1"/>
  <c r="L759" i="1"/>
  <c r="L760" i="1"/>
  <c r="L761" i="1"/>
  <c r="L762" i="1"/>
  <c r="L763" i="1"/>
  <c r="L764" i="1"/>
  <c r="L765" i="1"/>
  <c r="L766" i="1"/>
  <c r="L767" i="1"/>
  <c r="N767" i="1"/>
  <c r="L768" i="1"/>
  <c r="N768" i="1"/>
  <c r="L769" i="1"/>
  <c r="N769" i="1"/>
  <c r="L770" i="1"/>
  <c r="L771" i="1"/>
  <c r="L772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N803" i="1"/>
  <c r="L804" i="1"/>
  <c r="L805" i="1"/>
  <c r="L806" i="1"/>
  <c r="L807" i="1"/>
  <c r="L808" i="1"/>
  <c r="L810" i="1"/>
  <c r="L811" i="1"/>
  <c r="L812" i="1"/>
  <c r="L813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M830" i="1"/>
  <c r="N830" i="1" s="1"/>
  <c r="L831" i="1"/>
  <c r="L832" i="1"/>
  <c r="L833" i="1"/>
  <c r="L834" i="1"/>
  <c r="L835" i="1"/>
  <c r="L836" i="1"/>
  <c r="L837" i="1"/>
  <c r="L838" i="1"/>
  <c r="N838" i="1"/>
  <c r="L841" i="1"/>
  <c r="M841" i="1" s="1"/>
  <c r="L843" i="1"/>
  <c r="M843" i="1" s="1"/>
  <c r="L845" i="1"/>
  <c r="M845" i="1" s="1"/>
  <c r="L846" i="1"/>
  <c r="M846" i="1" s="1"/>
  <c r="L847" i="1"/>
  <c r="M847" i="1" s="1"/>
  <c r="L848" i="1"/>
  <c r="M848" i="1" s="1"/>
  <c r="L849" i="1"/>
  <c r="M849" i="1" s="1"/>
  <c r="N853" i="1"/>
  <c r="L854" i="1"/>
  <c r="M854" i="1" s="1"/>
  <c r="N854" i="1"/>
  <c r="N855" i="1"/>
  <c r="L856" i="1"/>
  <c r="M856" i="1" s="1"/>
  <c r="N856" i="1"/>
  <c r="N858" i="1"/>
  <c r="N859" i="1"/>
  <c r="N860" i="1"/>
  <c r="N862" i="1"/>
  <c r="L863" i="1"/>
  <c r="M863" i="1" s="1"/>
  <c r="N863" i="1"/>
  <c r="L864" i="1"/>
  <c r="M864" i="1" s="1"/>
  <c r="N864" i="1"/>
  <c r="N865" i="1"/>
  <c r="M666" i="1" l="1"/>
  <c r="N666" i="1" s="1"/>
  <c r="M738" i="1"/>
  <c r="N738" i="1" s="1"/>
  <c r="M736" i="1"/>
  <c r="N736" i="1" s="1"/>
  <c r="M734" i="1"/>
  <c r="N734" i="1" s="1"/>
  <c r="M732" i="1"/>
  <c r="N732" i="1" s="1"/>
  <c r="M730" i="1"/>
  <c r="N730" i="1" s="1"/>
  <c r="M728" i="1"/>
  <c r="N728" i="1" s="1"/>
  <c r="M726" i="1"/>
  <c r="N726" i="1" s="1"/>
  <c r="M724" i="1"/>
  <c r="N724" i="1" s="1"/>
  <c r="M722" i="1"/>
  <c r="N722" i="1" s="1"/>
  <c r="M720" i="1"/>
  <c r="N720" i="1" s="1"/>
  <c r="M718" i="1"/>
  <c r="N718" i="1" s="1"/>
  <c r="M716" i="1"/>
  <c r="N716" i="1" s="1"/>
  <c r="M714" i="1"/>
  <c r="N714" i="1" s="1"/>
  <c r="M712" i="1"/>
  <c r="N712" i="1" s="1"/>
  <c r="M710" i="1"/>
  <c r="N710" i="1" s="1"/>
  <c r="M708" i="1"/>
  <c r="N708" i="1" s="1"/>
  <c r="M706" i="1"/>
  <c r="N706" i="1" s="1"/>
  <c r="M704" i="1"/>
  <c r="N704" i="1" s="1"/>
  <c r="M702" i="1"/>
  <c r="N702" i="1" s="1"/>
  <c r="M700" i="1"/>
  <c r="N700" i="1" s="1"/>
  <c r="M698" i="1"/>
  <c r="N698" i="1" s="1"/>
  <c r="M696" i="1"/>
  <c r="N696" i="1" s="1"/>
  <c r="M694" i="1"/>
  <c r="M692" i="1"/>
  <c r="N692" i="1" s="1"/>
  <c r="M690" i="1"/>
  <c r="N690" i="1" s="1"/>
  <c r="M688" i="1"/>
  <c r="N688" i="1" s="1"/>
  <c r="M686" i="1"/>
  <c r="N686" i="1" s="1"/>
  <c r="M684" i="1"/>
  <c r="N684" i="1" s="1"/>
  <c r="M639" i="1"/>
  <c r="N639" i="1" s="1"/>
  <c r="M660" i="1"/>
  <c r="N660" i="1" s="1"/>
  <c r="M664" i="1"/>
  <c r="N664" i="1" s="1"/>
  <c r="M682" i="1"/>
  <c r="M614" i="1"/>
  <c r="N614" i="1" s="1"/>
  <c r="M658" i="1"/>
  <c r="N658" i="1" s="1"/>
  <c r="M605" i="1"/>
  <c r="N605" i="1" s="1"/>
  <c r="M609" i="1"/>
  <c r="N609" i="1" s="1"/>
  <c r="M649" i="1"/>
  <c r="N649" i="1" s="1"/>
  <c r="M659" i="1"/>
  <c r="N659" i="1" s="1"/>
  <c r="M661" i="1"/>
  <c r="N661" i="1" s="1"/>
  <c r="M680" i="1"/>
  <c r="N680" i="1" s="1"/>
  <c r="M678" i="1"/>
  <c r="N678" i="1" s="1"/>
  <c r="M676" i="1"/>
  <c r="N676" i="1" s="1"/>
  <c r="M674" i="1"/>
  <c r="N674" i="1" s="1"/>
  <c r="M672" i="1"/>
  <c r="N672" i="1" s="1"/>
  <c r="M670" i="1"/>
  <c r="N670" i="1" s="1"/>
  <c r="M668" i="1"/>
  <c r="N668" i="1" s="1"/>
  <c r="M665" i="1"/>
  <c r="M635" i="1"/>
  <c r="N635" i="1" s="1"/>
  <c r="M663" i="1"/>
  <c r="N663" i="1" s="1"/>
  <c r="M657" i="1"/>
  <c r="N657" i="1" s="1"/>
  <c r="M655" i="1"/>
  <c r="N655" i="1" s="1"/>
  <c r="M647" i="1"/>
  <c r="N647" i="1" s="1"/>
  <c r="M645" i="1"/>
  <c r="N645" i="1" s="1"/>
  <c r="M643" i="1"/>
  <c r="N643" i="1" s="1"/>
  <c r="M641" i="1"/>
  <c r="N641" i="1" s="1"/>
  <c r="M653" i="1"/>
  <c r="N653" i="1" s="1"/>
  <c r="M651" i="1"/>
  <c r="N651" i="1" s="1"/>
  <c r="M637" i="1"/>
  <c r="N637" i="1" s="1"/>
  <c r="N852" i="1"/>
  <c r="N850" i="1"/>
  <c r="N848" i="1"/>
  <c r="N846" i="1"/>
  <c r="N844" i="1"/>
  <c r="N842" i="1"/>
  <c r="N840" i="1"/>
  <c r="M838" i="1"/>
  <c r="M836" i="1"/>
  <c r="N836" i="1" s="1"/>
  <c r="M834" i="1"/>
  <c r="N834" i="1" s="1"/>
  <c r="M832" i="1"/>
  <c r="N832" i="1" s="1"/>
  <c r="M828" i="1"/>
  <c r="N828" i="1" s="1"/>
  <c r="M826" i="1"/>
  <c r="N826" i="1" s="1"/>
  <c r="M824" i="1"/>
  <c r="N824" i="1" s="1"/>
  <c r="M822" i="1"/>
  <c r="N822" i="1" s="1"/>
  <c r="M820" i="1"/>
  <c r="N820" i="1" s="1"/>
  <c r="M818" i="1"/>
  <c r="N818" i="1" s="1"/>
  <c r="M816" i="1"/>
  <c r="N816" i="1" s="1"/>
  <c r="M814" i="1"/>
  <c r="N814" i="1" s="1"/>
  <c r="M812" i="1"/>
  <c r="N812" i="1" s="1"/>
  <c r="M810" i="1"/>
  <c r="N810" i="1" s="1"/>
  <c r="M808" i="1"/>
  <c r="N808" i="1" s="1"/>
  <c r="M806" i="1"/>
  <c r="N806" i="1" s="1"/>
  <c r="M804" i="1"/>
  <c r="N804" i="1" s="1"/>
  <c r="M802" i="1"/>
  <c r="N802" i="1" s="1"/>
  <c r="M800" i="1"/>
  <c r="N800" i="1" s="1"/>
  <c r="M798" i="1"/>
  <c r="N798" i="1" s="1"/>
  <c r="M796" i="1"/>
  <c r="N796" i="1" s="1"/>
  <c r="M794" i="1"/>
  <c r="N794" i="1" s="1"/>
  <c r="M792" i="1"/>
  <c r="N792" i="1" s="1"/>
  <c r="M790" i="1"/>
  <c r="N790" i="1" s="1"/>
  <c r="M788" i="1"/>
  <c r="N788" i="1" s="1"/>
  <c r="M786" i="1"/>
  <c r="N786" i="1" s="1"/>
  <c r="M784" i="1"/>
  <c r="N784" i="1" s="1"/>
  <c r="M782" i="1"/>
  <c r="N782" i="1" s="1"/>
  <c r="M780" i="1"/>
  <c r="N780" i="1" s="1"/>
  <c r="M778" i="1"/>
  <c r="N778" i="1" s="1"/>
  <c r="M776" i="1"/>
  <c r="N776" i="1" s="1"/>
  <c r="M772" i="1"/>
  <c r="N772" i="1" s="1"/>
  <c r="M770" i="1"/>
  <c r="N770" i="1" s="1"/>
  <c r="M768" i="1"/>
  <c r="M766" i="1"/>
  <c r="N766" i="1" s="1"/>
  <c r="M764" i="1"/>
  <c r="N764" i="1" s="1"/>
  <c r="M762" i="1"/>
  <c r="N762" i="1" s="1"/>
  <c r="M760" i="1"/>
  <c r="N760" i="1" s="1"/>
  <c r="M758" i="1"/>
  <c r="N758" i="1" s="1"/>
  <c r="M756" i="1"/>
  <c r="N756" i="1" s="1"/>
  <c r="M754" i="1"/>
  <c r="N754" i="1" s="1"/>
  <c r="M752" i="1"/>
  <c r="N752" i="1" s="1"/>
  <c r="M750" i="1"/>
  <c r="M748" i="1"/>
  <c r="M746" i="1"/>
  <c r="N746" i="1" s="1"/>
  <c r="M744" i="1"/>
  <c r="N744" i="1" s="1"/>
  <c r="M742" i="1"/>
  <c r="N742" i="1" s="1"/>
  <c r="M740" i="1"/>
  <c r="N740" i="1" s="1"/>
  <c r="M606" i="1"/>
  <c r="N606" i="1" s="1"/>
  <c r="M608" i="1"/>
  <c r="N608" i="1" s="1"/>
  <c r="M633" i="1"/>
  <c r="N633" i="1" s="1"/>
  <c r="M631" i="1"/>
  <c r="N631" i="1" s="1"/>
  <c r="M629" i="1"/>
  <c r="N629" i="1" s="1"/>
  <c r="M627" i="1"/>
  <c r="N627" i="1" s="1"/>
  <c r="M625" i="1"/>
  <c r="M623" i="1"/>
  <c r="N623" i="1" s="1"/>
  <c r="M621" i="1"/>
  <c r="N621" i="1" s="1"/>
  <c r="M619" i="1"/>
  <c r="N619" i="1" s="1"/>
  <c r="M617" i="1"/>
  <c r="N617" i="1" s="1"/>
  <c r="M615" i="1"/>
  <c r="N615" i="1" s="1"/>
  <c r="M607" i="1"/>
  <c r="N607" i="1" s="1"/>
  <c r="N861" i="1"/>
  <c r="N857" i="1"/>
  <c r="N851" i="1"/>
  <c r="N849" i="1"/>
  <c r="N847" i="1"/>
  <c r="N845" i="1"/>
  <c r="N843" i="1"/>
  <c r="N841" i="1"/>
  <c r="M837" i="1"/>
  <c r="N837" i="1" s="1"/>
  <c r="M835" i="1"/>
  <c r="N835" i="1" s="1"/>
  <c r="M833" i="1"/>
  <c r="N833" i="1" s="1"/>
  <c r="M831" i="1"/>
  <c r="N831" i="1" s="1"/>
  <c r="M829" i="1"/>
  <c r="N829" i="1" s="1"/>
  <c r="M827" i="1"/>
  <c r="N827" i="1" s="1"/>
  <c r="M825" i="1"/>
  <c r="N825" i="1" s="1"/>
  <c r="M823" i="1"/>
  <c r="N823" i="1" s="1"/>
  <c r="M821" i="1"/>
  <c r="N821" i="1" s="1"/>
  <c r="M819" i="1"/>
  <c r="N819" i="1" s="1"/>
  <c r="M817" i="1"/>
  <c r="N817" i="1" s="1"/>
  <c r="M815" i="1"/>
  <c r="N815" i="1" s="1"/>
  <c r="M813" i="1"/>
  <c r="N813" i="1" s="1"/>
  <c r="M811" i="1"/>
  <c r="N811" i="1" s="1"/>
  <c r="M809" i="1"/>
  <c r="N809" i="1" s="1"/>
  <c r="M807" i="1"/>
  <c r="N807" i="1" s="1"/>
  <c r="M805" i="1"/>
  <c r="N805" i="1" s="1"/>
  <c r="M803" i="1"/>
  <c r="M801" i="1"/>
  <c r="N801" i="1" s="1"/>
  <c r="M799" i="1"/>
  <c r="N799" i="1" s="1"/>
  <c r="M797" i="1"/>
  <c r="N797" i="1" s="1"/>
  <c r="M795" i="1"/>
  <c r="N795" i="1" s="1"/>
  <c r="M793" i="1"/>
  <c r="N793" i="1" s="1"/>
  <c r="M791" i="1"/>
  <c r="N791" i="1" s="1"/>
  <c r="M789" i="1"/>
  <c r="N789" i="1" s="1"/>
  <c r="M787" i="1"/>
  <c r="N787" i="1" s="1"/>
  <c r="M785" i="1"/>
  <c r="N785" i="1" s="1"/>
  <c r="M783" i="1"/>
  <c r="N783" i="1" s="1"/>
  <c r="M781" i="1"/>
  <c r="N781" i="1" s="1"/>
  <c r="M779" i="1"/>
  <c r="N779" i="1" s="1"/>
  <c r="M777" i="1"/>
  <c r="N777" i="1" s="1"/>
  <c r="M775" i="1"/>
  <c r="N775" i="1" s="1"/>
  <c r="M771" i="1"/>
  <c r="N771" i="1" s="1"/>
  <c r="M769" i="1"/>
  <c r="M767" i="1"/>
  <c r="M765" i="1"/>
  <c r="N765" i="1" s="1"/>
  <c r="M763" i="1"/>
  <c r="N763" i="1" s="1"/>
  <c r="M761" i="1"/>
  <c r="N761" i="1" s="1"/>
  <c r="M759" i="1"/>
  <c r="N759" i="1" s="1"/>
  <c r="M757" i="1"/>
  <c r="N757" i="1" s="1"/>
  <c r="M755" i="1"/>
  <c r="N755" i="1" s="1"/>
  <c r="M753" i="1"/>
  <c r="N753" i="1" s="1"/>
  <c r="M751" i="1"/>
  <c r="N751" i="1" s="1"/>
  <c r="M749" i="1"/>
  <c r="M747" i="1"/>
  <c r="N747" i="1" s="1"/>
  <c r="M745" i="1"/>
  <c r="N745" i="1" s="1"/>
  <c r="M743" i="1"/>
  <c r="N743" i="1" s="1"/>
  <c r="M741" i="1"/>
  <c r="N741" i="1" s="1"/>
  <c r="M739" i="1"/>
  <c r="N739" i="1" s="1"/>
  <c r="M737" i="1"/>
  <c r="N737" i="1" s="1"/>
  <c r="M735" i="1"/>
  <c r="N735" i="1" s="1"/>
  <c r="M733" i="1"/>
  <c r="M731" i="1"/>
  <c r="N731" i="1" s="1"/>
  <c r="M729" i="1"/>
  <c r="N729" i="1" s="1"/>
  <c r="M727" i="1"/>
  <c r="N727" i="1" s="1"/>
  <c r="M725" i="1"/>
  <c r="N725" i="1" s="1"/>
  <c r="M723" i="1"/>
  <c r="N723" i="1" s="1"/>
  <c r="M721" i="1"/>
  <c r="N721" i="1" s="1"/>
  <c r="M719" i="1"/>
  <c r="N719" i="1" s="1"/>
  <c r="M717" i="1"/>
  <c r="N717" i="1" s="1"/>
  <c r="M715" i="1"/>
  <c r="N715" i="1" s="1"/>
  <c r="M713" i="1"/>
  <c r="N713" i="1" s="1"/>
  <c r="M711" i="1"/>
  <c r="N711" i="1" s="1"/>
  <c r="M709" i="1"/>
  <c r="N709" i="1" s="1"/>
  <c r="M707" i="1"/>
  <c r="N707" i="1" s="1"/>
  <c r="M705" i="1"/>
  <c r="N705" i="1" s="1"/>
  <c r="M703" i="1"/>
  <c r="N703" i="1" s="1"/>
  <c r="M701" i="1"/>
  <c r="N701" i="1" s="1"/>
  <c r="M699" i="1"/>
  <c r="N699" i="1" s="1"/>
  <c r="M697" i="1"/>
  <c r="N697" i="1" s="1"/>
  <c r="M695" i="1"/>
  <c r="N695" i="1" s="1"/>
  <c r="M693" i="1"/>
  <c r="N693" i="1" s="1"/>
  <c r="M691" i="1"/>
  <c r="N691" i="1" s="1"/>
  <c r="M689" i="1"/>
  <c r="N689" i="1" s="1"/>
  <c r="M687" i="1"/>
  <c r="N687" i="1" s="1"/>
  <c r="M685" i="1"/>
  <c r="N685" i="1" s="1"/>
  <c r="M683" i="1"/>
  <c r="N683" i="1" s="1"/>
  <c r="M681" i="1"/>
  <c r="N681" i="1" s="1"/>
  <c r="M679" i="1"/>
  <c r="N679" i="1" s="1"/>
  <c r="M677" i="1"/>
  <c r="N677" i="1" s="1"/>
  <c r="M675" i="1"/>
  <c r="N675" i="1" s="1"/>
  <c r="M673" i="1"/>
  <c r="N673" i="1" s="1"/>
  <c r="M671" i="1"/>
  <c r="N671" i="1" s="1"/>
  <c r="M669" i="1"/>
  <c r="N669" i="1" s="1"/>
  <c r="M667" i="1"/>
  <c r="N667" i="1" s="1"/>
  <c r="M662" i="1"/>
  <c r="N662" i="1" s="1"/>
  <c r="M656" i="1"/>
  <c r="N656" i="1" s="1"/>
  <c r="M654" i="1"/>
  <c r="N654" i="1" s="1"/>
  <c r="M652" i="1"/>
  <c r="N652" i="1" s="1"/>
  <c r="M650" i="1"/>
  <c r="N650" i="1" s="1"/>
  <c r="M648" i="1"/>
  <c r="N648" i="1" s="1"/>
  <c r="M646" i="1"/>
  <c r="N646" i="1" s="1"/>
  <c r="M644" i="1"/>
  <c r="N644" i="1" s="1"/>
  <c r="M642" i="1"/>
  <c r="M640" i="1"/>
  <c r="N640" i="1" s="1"/>
  <c r="M638" i="1"/>
  <c r="N638" i="1" s="1"/>
  <c r="M636" i="1"/>
  <c r="N636" i="1" s="1"/>
  <c r="M634" i="1"/>
  <c r="N634" i="1" s="1"/>
  <c r="M632" i="1"/>
  <c r="N632" i="1" s="1"/>
  <c r="M630" i="1"/>
  <c r="N630" i="1" s="1"/>
  <c r="M628" i="1"/>
  <c r="N628" i="1" s="1"/>
  <c r="M626" i="1"/>
  <c r="N626" i="1" s="1"/>
  <c r="M624" i="1"/>
  <c r="M622" i="1"/>
  <c r="N622" i="1" s="1"/>
  <c r="M620" i="1"/>
  <c r="N620" i="1" s="1"/>
  <c r="M618" i="1"/>
  <c r="N618" i="1" s="1"/>
  <c r="M616" i="1"/>
  <c r="M613" i="1"/>
  <c r="N613" i="1" s="1"/>
  <c r="M612" i="1"/>
  <c r="N612" i="1" s="1"/>
  <c r="M611" i="1"/>
  <c r="N611" i="1" s="1"/>
  <c r="K604" i="1"/>
  <c r="K603" i="1"/>
  <c r="K602" i="1"/>
  <c r="P838" i="1" l="1"/>
  <c r="K601" i="1"/>
  <c r="K600" i="1"/>
  <c r="K599" i="1"/>
  <c r="K598" i="1"/>
  <c r="K597" i="1"/>
  <c r="K596" i="1"/>
  <c r="K595" i="1"/>
  <c r="K594" i="1"/>
  <c r="K593" i="1" l="1"/>
  <c r="K592" i="1"/>
  <c r="K591" i="1"/>
  <c r="K587" i="1" l="1"/>
  <c r="L587" i="1"/>
  <c r="K590" i="1"/>
  <c r="K589" i="1"/>
  <c r="K588" i="1"/>
  <c r="M587" i="1" l="1"/>
  <c r="N587" i="1" s="1"/>
  <c r="K586" i="1"/>
  <c r="K585" i="1"/>
  <c r="K584" i="1" l="1"/>
  <c r="K583" i="1"/>
  <c r="K582" i="1"/>
  <c r="K581" i="1"/>
  <c r="K580" i="1"/>
  <c r="K579" i="1"/>
  <c r="K578" i="1"/>
  <c r="K577" i="1"/>
  <c r="K569" i="1" l="1"/>
  <c r="K571" i="1"/>
  <c r="K570" i="1"/>
  <c r="K568" i="1"/>
  <c r="K567" i="1"/>
  <c r="K566" i="1"/>
  <c r="K565" i="1"/>
  <c r="K576" i="1"/>
  <c r="K575" i="1"/>
  <c r="K574" i="1"/>
  <c r="K573" i="1"/>
  <c r="K572" i="1"/>
  <c r="K564" i="1" l="1"/>
  <c r="K563" i="1"/>
  <c r="K562" i="1"/>
  <c r="K561" i="1"/>
  <c r="K560" i="1"/>
  <c r="K559" i="1" l="1"/>
  <c r="K558" i="1"/>
  <c r="K557" i="1"/>
  <c r="K554" i="1" l="1"/>
  <c r="K555" i="1"/>
  <c r="K556" i="1" s="1"/>
  <c r="K553" i="1" l="1"/>
  <c r="K552" i="1"/>
  <c r="K550" i="1"/>
  <c r="K549" i="1"/>
  <c r="K551" i="1"/>
  <c r="K548" i="1" l="1"/>
  <c r="K547" i="1"/>
  <c r="K546" i="1" l="1"/>
  <c r="K545" i="1"/>
  <c r="K544" i="1"/>
  <c r="K543" i="1"/>
  <c r="K542" i="1"/>
  <c r="K541" i="1"/>
  <c r="K539" i="1" l="1"/>
  <c r="K537" i="1" l="1"/>
  <c r="K536" i="1" l="1"/>
  <c r="K535" i="1" l="1"/>
  <c r="K534" i="1"/>
  <c r="N574" i="1" l="1"/>
  <c r="N582" i="1"/>
  <c r="N586" i="1"/>
  <c r="N595" i="1"/>
  <c r="L534" i="1"/>
  <c r="L535" i="1"/>
  <c r="L537" i="1"/>
  <c r="L538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10" i="1"/>
  <c r="K531" i="1" l="1"/>
  <c r="M534" i="1"/>
  <c r="M535" i="1"/>
  <c r="N535" i="1" s="1"/>
  <c r="M536" i="1"/>
  <c r="N536" i="1" s="1"/>
  <c r="M537" i="1"/>
  <c r="N537" i="1" s="1"/>
  <c r="M538" i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M547" i="1"/>
  <c r="N547" i="1" s="1"/>
  <c r="M548" i="1"/>
  <c r="M549" i="1"/>
  <c r="N549" i="1" s="1"/>
  <c r="M550" i="1"/>
  <c r="N550" i="1" s="1"/>
  <c r="M551" i="1"/>
  <c r="N551" i="1" s="1"/>
  <c r="M552" i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M566" i="1"/>
  <c r="N566" i="1" s="1"/>
  <c r="M567" i="1"/>
  <c r="N567" i="1" s="1"/>
  <c r="M568" i="1"/>
  <c r="N568" i="1" s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M583" i="1"/>
  <c r="N583" i="1" s="1"/>
  <c r="M584" i="1"/>
  <c r="N584" i="1" s="1"/>
  <c r="M585" i="1"/>
  <c r="N585" i="1" s="1"/>
  <c r="M586" i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M596" i="1"/>
  <c r="N596" i="1" s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 s="1"/>
  <c r="M610" i="1"/>
  <c r="N610" i="1" s="1"/>
  <c r="K529" i="1"/>
  <c r="E65" i="7"/>
  <c r="K528" i="1"/>
  <c r="K526" i="1" l="1"/>
  <c r="K525" i="1"/>
  <c r="K524" i="1"/>
  <c r="K523" i="1" l="1"/>
  <c r="K522" i="1"/>
  <c r="K521" i="1"/>
  <c r="K520" i="1"/>
  <c r="K519" i="1"/>
  <c r="K517" i="1" l="1"/>
  <c r="K516" i="1"/>
  <c r="K515" i="1"/>
  <c r="K509" i="1"/>
  <c r="K514" i="1" l="1"/>
  <c r="K513" i="1"/>
  <c r="K512" i="1"/>
  <c r="K511" i="1"/>
  <c r="K510" i="1" l="1"/>
  <c r="K508" i="1" l="1"/>
  <c r="K507" i="1"/>
  <c r="K506" i="1"/>
  <c r="K505" i="1"/>
  <c r="K504" i="1"/>
  <c r="K503" i="1"/>
  <c r="K502" i="1"/>
  <c r="K501" i="1" l="1"/>
  <c r="K500" i="1" l="1"/>
  <c r="K499" i="1"/>
  <c r="K495" i="1"/>
  <c r="L495" i="1"/>
  <c r="K494" i="1"/>
  <c r="K498" i="1"/>
  <c r="L498" i="1"/>
  <c r="L494" i="1"/>
  <c r="K493" i="1"/>
  <c r="L493" i="1"/>
  <c r="K492" i="1"/>
  <c r="L492" i="1"/>
  <c r="K497" i="1"/>
  <c r="K496" i="1"/>
  <c r="M494" i="1" l="1"/>
  <c r="N494" i="1" s="1"/>
  <c r="M498" i="1"/>
  <c r="N498" i="1" s="1"/>
  <c r="M492" i="1"/>
  <c r="N492" i="1" s="1"/>
  <c r="M493" i="1"/>
  <c r="N493" i="1" s="1"/>
  <c r="M495" i="1"/>
  <c r="N495" i="1" s="1"/>
  <c r="K490" i="1"/>
  <c r="K491" i="1"/>
  <c r="K489" i="1"/>
  <c r="K488" i="1"/>
  <c r="K487" i="1"/>
  <c r="K486" i="1"/>
  <c r="K485" i="1"/>
  <c r="K484" i="1"/>
  <c r="K483" i="1"/>
  <c r="K482" i="1"/>
  <c r="K481" i="1" l="1"/>
  <c r="K478" i="1" l="1"/>
  <c r="K477" i="1"/>
  <c r="K474" i="1" l="1"/>
  <c r="K473" i="1"/>
  <c r="K470" i="1"/>
  <c r="K468" i="1"/>
  <c r="K467" i="1"/>
  <c r="K466" i="1"/>
  <c r="K465" i="1" l="1"/>
  <c r="K464" i="1"/>
  <c r="K460" i="1" l="1"/>
  <c r="K459" i="1"/>
  <c r="K458" i="1"/>
  <c r="L458" i="1"/>
  <c r="M458" i="1" l="1"/>
  <c r="K454" i="1"/>
  <c r="K452" i="1" l="1"/>
  <c r="K451" i="1"/>
  <c r="K444" i="1" l="1"/>
  <c r="K443" i="1"/>
  <c r="K448" i="1"/>
  <c r="K446" i="1"/>
  <c r="K445" i="1"/>
  <c r="K438" i="1" l="1"/>
  <c r="K437" i="1" l="1"/>
  <c r="K436" i="1"/>
  <c r="K434" i="1"/>
  <c r="K433" i="1"/>
  <c r="K426" i="1" l="1"/>
  <c r="K425" i="1"/>
  <c r="K424" i="1"/>
  <c r="M421" i="1"/>
  <c r="K423" i="1"/>
  <c r="K419" i="1" l="1"/>
  <c r="K415" i="1" l="1"/>
  <c r="K414" i="1"/>
  <c r="K413" i="1" l="1"/>
  <c r="N391" i="1" l="1"/>
  <c r="N409" i="1"/>
  <c r="N417" i="1"/>
  <c r="N423" i="1"/>
  <c r="N458" i="1"/>
  <c r="N468" i="1"/>
  <c r="N472" i="1"/>
  <c r="N483" i="1"/>
  <c r="N485" i="1"/>
  <c r="N504" i="1"/>
  <c r="K408" i="1"/>
  <c r="K406" i="1" l="1"/>
  <c r="K405" i="1" l="1"/>
  <c r="K401" i="1" l="1"/>
  <c r="M426" i="1"/>
  <c r="N426" i="1" s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7" i="1"/>
  <c r="L428" i="1"/>
  <c r="L429" i="1"/>
  <c r="L430" i="1"/>
  <c r="L431" i="1"/>
  <c r="L432" i="1"/>
  <c r="L433" i="1"/>
  <c r="L434" i="1"/>
  <c r="L435" i="1"/>
  <c r="L437" i="1"/>
  <c r="L438" i="1"/>
  <c r="L439" i="1"/>
  <c r="L441" i="1"/>
  <c r="L442" i="1"/>
  <c r="L443" i="1"/>
  <c r="L444" i="1"/>
  <c r="L445" i="1"/>
  <c r="L446" i="1"/>
  <c r="L447" i="1"/>
  <c r="L448" i="1"/>
  <c r="L449" i="1"/>
  <c r="L450" i="1"/>
  <c r="L451" i="1"/>
  <c r="M451" i="1" s="1"/>
  <c r="L452" i="1"/>
  <c r="L453" i="1"/>
  <c r="L454" i="1"/>
  <c r="L455" i="1"/>
  <c r="L456" i="1"/>
  <c r="L457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6" i="1"/>
  <c r="L497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9" i="1"/>
  <c r="L520" i="1"/>
  <c r="M520" i="1" s="1"/>
  <c r="N520" i="1" s="1"/>
  <c r="L521" i="1"/>
  <c r="L522" i="1"/>
  <c r="L523" i="1"/>
  <c r="L524" i="1"/>
  <c r="L525" i="1"/>
  <c r="L526" i="1"/>
  <c r="L527" i="1"/>
  <c r="L528" i="1"/>
  <c r="M528" i="1" s="1"/>
  <c r="N528" i="1" s="1"/>
  <c r="L529" i="1"/>
  <c r="M529" i="1" s="1"/>
  <c r="N529" i="1" s="1"/>
  <c r="L530" i="1"/>
  <c r="M530" i="1" s="1"/>
  <c r="N530" i="1" s="1"/>
  <c r="L531" i="1"/>
  <c r="M531" i="1" s="1"/>
  <c r="N531" i="1" s="1"/>
  <c r="L532" i="1"/>
  <c r="M532" i="1" s="1"/>
  <c r="N532" i="1" s="1"/>
  <c r="L533" i="1"/>
  <c r="M533" i="1" s="1"/>
  <c r="N533" i="1" s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0" i="1"/>
  <c r="M370" i="1" s="1"/>
  <c r="N370" i="1" s="1"/>
  <c r="L371" i="1"/>
  <c r="M371" i="1" s="1"/>
  <c r="N371" i="1" s="1"/>
  <c r="L372" i="1"/>
  <c r="M372" i="1" s="1"/>
  <c r="N372" i="1" s="1"/>
  <c r="L373" i="1"/>
  <c r="M373" i="1" s="1"/>
  <c r="N373" i="1" s="1"/>
  <c r="K391" i="1"/>
  <c r="K390" i="1"/>
  <c r="K389" i="1"/>
  <c r="K385" i="1"/>
  <c r="K383" i="1"/>
  <c r="K382" i="1"/>
  <c r="M455" i="1" l="1"/>
  <c r="N455" i="1" s="1"/>
  <c r="M441" i="1"/>
  <c r="N441" i="1" s="1"/>
  <c r="M435" i="1"/>
  <c r="N435" i="1" s="1"/>
  <c r="M433" i="1"/>
  <c r="N433" i="1" s="1"/>
  <c r="M431" i="1"/>
  <c r="N431" i="1" s="1"/>
  <c r="M429" i="1"/>
  <c r="N429" i="1" s="1"/>
  <c r="M427" i="1"/>
  <c r="N427" i="1" s="1"/>
  <c r="M398" i="1"/>
  <c r="N398" i="1" s="1"/>
  <c r="M430" i="1"/>
  <c r="N430" i="1" s="1"/>
  <c r="M374" i="1"/>
  <c r="N374" i="1" s="1"/>
  <c r="M376" i="1"/>
  <c r="N376" i="1" s="1"/>
  <c r="M378" i="1"/>
  <c r="N378" i="1" s="1"/>
  <c r="M380" i="1"/>
  <c r="N380" i="1" s="1"/>
  <c r="M384" i="1"/>
  <c r="N384" i="1" s="1"/>
  <c r="M386" i="1"/>
  <c r="N386" i="1" s="1"/>
  <c r="M388" i="1"/>
  <c r="N388" i="1" s="1"/>
  <c r="M392" i="1"/>
  <c r="N392" i="1" s="1"/>
  <c r="M394" i="1"/>
  <c r="N394" i="1" s="1"/>
  <c r="M396" i="1"/>
  <c r="N396" i="1" s="1"/>
  <c r="M527" i="1"/>
  <c r="M525" i="1"/>
  <c r="N525" i="1" s="1"/>
  <c r="M523" i="1"/>
  <c r="N523" i="1" s="1"/>
  <c r="M521" i="1"/>
  <c r="N521" i="1" s="1"/>
  <c r="M519" i="1"/>
  <c r="N519" i="1" s="1"/>
  <c r="M516" i="1"/>
  <c r="N516" i="1" s="1"/>
  <c r="M514" i="1"/>
  <c r="N514" i="1" s="1"/>
  <c r="M512" i="1"/>
  <c r="N512" i="1" s="1"/>
  <c r="M510" i="1"/>
  <c r="N510" i="1" s="1"/>
  <c r="M508" i="1"/>
  <c r="N508" i="1" s="1"/>
  <c r="M506" i="1"/>
  <c r="N506" i="1" s="1"/>
  <c r="M504" i="1"/>
  <c r="M502" i="1"/>
  <c r="N502" i="1" s="1"/>
  <c r="M500" i="1"/>
  <c r="N500" i="1" s="1"/>
  <c r="M496" i="1"/>
  <c r="N496" i="1" s="1"/>
  <c r="M490" i="1"/>
  <c r="N490" i="1" s="1"/>
  <c r="M488" i="1"/>
  <c r="N488" i="1" s="1"/>
  <c r="M486" i="1"/>
  <c r="N486" i="1" s="1"/>
  <c r="M484" i="1"/>
  <c r="N484" i="1" s="1"/>
  <c r="M482" i="1"/>
  <c r="N482" i="1" s="1"/>
  <c r="M480" i="1"/>
  <c r="N480" i="1" s="1"/>
  <c r="M478" i="1"/>
  <c r="N478" i="1" s="1"/>
  <c r="M476" i="1"/>
  <c r="N476" i="1" s="1"/>
  <c r="M474" i="1"/>
  <c r="N474" i="1" s="1"/>
  <c r="M472" i="1"/>
  <c r="M470" i="1"/>
  <c r="N470" i="1" s="1"/>
  <c r="M468" i="1"/>
  <c r="M466" i="1"/>
  <c r="N466" i="1" s="1"/>
  <c r="M464" i="1"/>
  <c r="N464" i="1" s="1"/>
  <c r="M462" i="1"/>
  <c r="N462" i="1" s="1"/>
  <c r="M460" i="1"/>
  <c r="N460" i="1" s="1"/>
  <c r="M456" i="1"/>
  <c r="N456" i="1" s="1"/>
  <c r="M454" i="1"/>
  <c r="N454" i="1" s="1"/>
  <c r="M452" i="1"/>
  <c r="N452" i="1" s="1"/>
  <c r="M444" i="1"/>
  <c r="N444" i="1" s="1"/>
  <c r="M442" i="1"/>
  <c r="N442" i="1" s="1"/>
  <c r="M439" i="1"/>
  <c r="N439" i="1" s="1"/>
  <c r="M437" i="1"/>
  <c r="N437" i="1" s="1"/>
  <c r="M399" i="1"/>
  <c r="N399" i="1" s="1"/>
  <c r="M397" i="1"/>
  <c r="N397" i="1" s="1"/>
  <c r="M450" i="1"/>
  <c r="N450" i="1" s="1"/>
  <c r="M448" i="1"/>
  <c r="N448" i="1" s="1"/>
  <c r="M446" i="1"/>
  <c r="N446" i="1" s="1"/>
  <c r="M382" i="1"/>
  <c r="N382" i="1" s="1"/>
  <c r="M390" i="1"/>
  <c r="N390" i="1" s="1"/>
  <c r="M423" i="1"/>
  <c r="M375" i="1"/>
  <c r="N375" i="1" s="1"/>
  <c r="M377" i="1"/>
  <c r="N377" i="1" s="1"/>
  <c r="M379" i="1"/>
  <c r="N379" i="1" s="1"/>
  <c r="M381" i="1"/>
  <c r="N381" i="1" s="1"/>
  <c r="M383" i="1"/>
  <c r="N383" i="1" s="1"/>
  <c r="M385" i="1"/>
  <c r="N385" i="1" s="1"/>
  <c r="M387" i="1"/>
  <c r="N387" i="1" s="1"/>
  <c r="M389" i="1"/>
  <c r="N389" i="1" s="1"/>
  <c r="M391" i="1"/>
  <c r="M393" i="1"/>
  <c r="N393" i="1" s="1"/>
  <c r="M395" i="1"/>
  <c r="N395" i="1" s="1"/>
  <c r="M526" i="1"/>
  <c r="N526" i="1" s="1"/>
  <c r="M524" i="1"/>
  <c r="M522" i="1"/>
  <c r="M517" i="1"/>
  <c r="N517" i="1" s="1"/>
  <c r="M515" i="1"/>
  <c r="N515" i="1" s="1"/>
  <c r="M513" i="1"/>
  <c r="N513" i="1" s="1"/>
  <c r="M511" i="1"/>
  <c r="N511" i="1" s="1"/>
  <c r="M509" i="1"/>
  <c r="N509" i="1" s="1"/>
  <c r="M507" i="1"/>
  <c r="N507" i="1" s="1"/>
  <c r="M505" i="1"/>
  <c r="N505" i="1" s="1"/>
  <c r="M503" i="1"/>
  <c r="N503" i="1" s="1"/>
  <c r="M501" i="1"/>
  <c r="N501" i="1" s="1"/>
  <c r="M499" i="1"/>
  <c r="N499" i="1" s="1"/>
  <c r="M497" i="1"/>
  <c r="N497" i="1" s="1"/>
  <c r="M491" i="1"/>
  <c r="N491" i="1" s="1"/>
  <c r="M489" i="1"/>
  <c r="N489" i="1" s="1"/>
  <c r="M487" i="1"/>
  <c r="N487" i="1" s="1"/>
  <c r="M485" i="1"/>
  <c r="M483" i="1"/>
  <c r="M481" i="1"/>
  <c r="N481" i="1" s="1"/>
  <c r="M479" i="1"/>
  <c r="N479" i="1" s="1"/>
  <c r="M477" i="1"/>
  <c r="N477" i="1" s="1"/>
  <c r="M475" i="1"/>
  <c r="N475" i="1" s="1"/>
  <c r="M473" i="1"/>
  <c r="N473" i="1" s="1"/>
  <c r="M471" i="1"/>
  <c r="N471" i="1" s="1"/>
  <c r="M469" i="1"/>
  <c r="N469" i="1" s="1"/>
  <c r="M467" i="1"/>
  <c r="N467" i="1" s="1"/>
  <c r="M465" i="1"/>
  <c r="N465" i="1" s="1"/>
  <c r="M463" i="1"/>
  <c r="N463" i="1" s="1"/>
  <c r="M461" i="1"/>
  <c r="N461" i="1" s="1"/>
  <c r="M459" i="1"/>
  <c r="N459" i="1" s="1"/>
  <c r="M457" i="1"/>
  <c r="N457" i="1" s="1"/>
  <c r="M453" i="1"/>
  <c r="N453" i="1" s="1"/>
  <c r="N451" i="1"/>
  <c r="M449" i="1"/>
  <c r="N449" i="1" s="1"/>
  <c r="M447" i="1"/>
  <c r="N447" i="1" s="1"/>
  <c r="M445" i="1"/>
  <c r="N445" i="1" s="1"/>
  <c r="M443" i="1"/>
  <c r="N443" i="1" s="1"/>
  <c r="M438" i="1"/>
  <c r="N438" i="1" s="1"/>
  <c r="M436" i="1"/>
  <c r="N436" i="1" s="1"/>
  <c r="M434" i="1"/>
  <c r="N434" i="1" s="1"/>
  <c r="M432" i="1"/>
  <c r="N432" i="1" s="1"/>
  <c r="M428" i="1"/>
  <c r="N428" i="1" s="1"/>
  <c r="M422" i="1"/>
  <c r="N422" i="1" s="1"/>
  <c r="M425" i="1"/>
  <c r="N425" i="1" s="1"/>
  <c r="M424" i="1"/>
  <c r="N424" i="1" s="1"/>
  <c r="N421" i="1"/>
  <c r="M420" i="1"/>
  <c r="N420" i="1" s="1"/>
  <c r="M419" i="1"/>
  <c r="N419" i="1" s="1"/>
  <c r="M418" i="1"/>
  <c r="N418" i="1" s="1"/>
  <c r="M417" i="1"/>
  <c r="M415" i="1"/>
  <c r="N415" i="1" s="1"/>
  <c r="M414" i="1"/>
  <c r="N414" i="1" s="1"/>
  <c r="M413" i="1"/>
  <c r="N413" i="1" s="1"/>
  <c r="M412" i="1"/>
  <c r="N412" i="1" s="1"/>
  <c r="M411" i="1"/>
  <c r="N411" i="1" s="1"/>
  <c r="M410" i="1"/>
  <c r="N410" i="1" s="1"/>
  <c r="M409" i="1"/>
  <c r="M408" i="1"/>
  <c r="N408" i="1" s="1"/>
  <c r="M406" i="1"/>
  <c r="N406" i="1" s="1"/>
  <c r="M405" i="1"/>
  <c r="N405" i="1" s="1"/>
  <c r="M404" i="1"/>
  <c r="N404" i="1" s="1"/>
  <c r="M403" i="1"/>
  <c r="N403" i="1" s="1"/>
  <c r="M402" i="1"/>
  <c r="N402" i="1" s="1"/>
  <c r="M401" i="1"/>
  <c r="N401" i="1" s="1"/>
  <c r="M400" i="1"/>
  <c r="N400" i="1" s="1"/>
  <c r="N518" i="1" l="1"/>
  <c r="L27" i="1"/>
</calcChain>
</file>

<file path=xl/comments1.xml><?xml version="1.0" encoding="utf-8"?>
<comments xmlns="http://schemas.openxmlformats.org/spreadsheetml/2006/main">
  <authors>
    <author>Hassan</author>
  </authors>
  <commentList>
    <comment ref="B6" authorId="0">
      <text>
        <r>
          <rPr>
            <b/>
            <sz val="9"/>
            <color indexed="81"/>
            <rFont val="Tahoma"/>
            <charset val="1"/>
          </rPr>
          <t>Hassan:</t>
        </r>
        <r>
          <rPr>
            <sz val="9"/>
            <color indexed="81"/>
            <rFont val="Tahoma"/>
            <charset val="1"/>
          </rPr>
          <t xml:space="preserve">
Paid To Mubhasir Rs 9900/- on 19/7/16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Hassan:</t>
        </r>
        <r>
          <rPr>
            <sz val="9"/>
            <color indexed="81"/>
            <rFont val="Tahoma"/>
            <family val="2"/>
          </rPr>
          <t xml:space="preserve">
PAID To Hassan
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>Hassan:</t>
        </r>
        <r>
          <rPr>
            <sz val="9"/>
            <color indexed="81"/>
            <rFont val="Tahoma"/>
            <family val="2"/>
          </rPr>
          <t xml:space="preserve">
Paid to hassan 2000/- 25/7/2016</t>
        </r>
      </text>
    </comment>
    <comment ref="B11" authorId="0">
      <text>
        <r>
          <rPr>
            <b/>
            <sz val="9"/>
            <color indexed="81"/>
            <rFont val="Tahoma"/>
            <charset val="1"/>
          </rPr>
          <t>Hassan:</t>
        </r>
        <r>
          <rPr>
            <sz val="9"/>
            <color indexed="81"/>
            <rFont val="Tahoma"/>
            <charset val="1"/>
          </rPr>
          <t xml:space="preserve">
Paid all 29/7/2016</t>
        </r>
      </text>
    </comment>
    <comment ref="D13" authorId="0">
      <text>
        <r>
          <rPr>
            <b/>
            <sz val="9"/>
            <color indexed="81"/>
            <rFont val="Tahoma"/>
            <charset val="1"/>
          </rPr>
          <t>Hassan:</t>
        </r>
        <r>
          <rPr>
            <sz val="9"/>
            <color indexed="81"/>
            <rFont val="Tahoma"/>
            <charset val="1"/>
          </rPr>
          <t xml:space="preserve">
Paid 29/7/2016</t>
        </r>
      </text>
    </comment>
    <comment ref="B17" authorId="0">
      <text>
        <r>
          <rPr>
            <b/>
            <sz val="9"/>
            <color indexed="81"/>
            <rFont val="Tahoma"/>
            <charset val="1"/>
          </rPr>
          <t>Hassan:</t>
        </r>
        <r>
          <rPr>
            <sz val="9"/>
            <color indexed="81"/>
            <rFont val="Tahoma"/>
            <charset val="1"/>
          </rPr>
          <t xml:space="preserve">
paid 1500/- 8/8/2016</t>
        </r>
      </text>
    </comment>
    <comment ref="D17" authorId="0">
      <text>
        <r>
          <rPr>
            <b/>
            <sz val="9"/>
            <color indexed="81"/>
            <rFont val="Tahoma"/>
            <charset val="1"/>
          </rPr>
          <t>Hassan:</t>
        </r>
        <r>
          <rPr>
            <sz val="9"/>
            <color indexed="81"/>
            <rFont val="Tahoma"/>
            <charset val="1"/>
          </rPr>
          <t xml:space="preserve">
paid 3500/- 5/8/2016</t>
        </r>
      </text>
    </comment>
    <comment ref="B18" authorId="0">
      <text>
        <r>
          <rPr>
            <b/>
            <sz val="9"/>
            <color indexed="81"/>
            <rFont val="Tahoma"/>
            <charset val="1"/>
          </rPr>
          <t>Hassan:</t>
        </r>
        <r>
          <rPr>
            <sz val="9"/>
            <color indexed="81"/>
            <rFont val="Tahoma"/>
            <charset val="1"/>
          </rPr>
          <t xml:space="preserve">
paid 1500/- 8/8/2016</t>
        </r>
      </text>
    </comment>
    <comment ref="B19" authorId="0">
      <text>
        <r>
          <rPr>
            <b/>
            <sz val="9"/>
            <color indexed="81"/>
            <rFont val="Tahoma"/>
            <charset val="1"/>
          </rPr>
          <t>Hassan:</t>
        </r>
        <r>
          <rPr>
            <sz val="9"/>
            <color indexed="81"/>
            <rFont val="Tahoma"/>
            <charset val="1"/>
          </rPr>
          <t xml:space="preserve">
paid 1500/- 8/8/2016</t>
        </r>
      </text>
    </comment>
    <comment ref="B20" authorId="0">
      <text>
        <r>
          <rPr>
            <b/>
            <sz val="9"/>
            <color indexed="81"/>
            <rFont val="Tahoma"/>
            <charset val="1"/>
          </rPr>
          <t>Hassan:</t>
        </r>
        <r>
          <rPr>
            <sz val="9"/>
            <color indexed="81"/>
            <rFont val="Tahoma"/>
            <charset val="1"/>
          </rPr>
          <t xml:space="preserve">
Paid 10900/- 20/8/16</t>
        </r>
      </text>
    </comment>
    <comment ref="D21" authorId="0">
      <text>
        <r>
          <rPr>
            <b/>
            <sz val="9"/>
            <color indexed="81"/>
            <rFont val="Tahoma"/>
            <charset val="1"/>
          </rPr>
          <t>Hassan:</t>
        </r>
        <r>
          <rPr>
            <sz val="9"/>
            <color indexed="81"/>
            <rFont val="Tahoma"/>
            <charset val="1"/>
          </rPr>
          <t xml:space="preserve">
paid to 2000/- 15/8/16</t>
        </r>
      </text>
    </comment>
    <comment ref="B22" authorId="0">
      <text>
        <r>
          <rPr>
            <b/>
            <sz val="9"/>
            <color indexed="81"/>
            <rFont val="Tahoma"/>
            <charset val="1"/>
          </rPr>
          <t>Hassan:</t>
        </r>
        <r>
          <rPr>
            <sz val="9"/>
            <color indexed="81"/>
            <rFont val="Tahoma"/>
            <charset val="1"/>
          </rPr>
          <t xml:space="preserve">
Paid 10900/- 20/8/16</t>
        </r>
      </text>
    </comment>
    <comment ref="D22" authorId="0">
      <text>
        <r>
          <rPr>
            <b/>
            <sz val="9"/>
            <color indexed="81"/>
            <rFont val="Tahoma"/>
            <charset val="1"/>
          </rPr>
          <t>Hassan:</t>
        </r>
        <r>
          <rPr>
            <sz val="9"/>
            <color indexed="81"/>
            <rFont val="Tahoma"/>
            <charset val="1"/>
          </rPr>
          <t xml:space="preserve">
Paid 15/8/16</t>
        </r>
      </text>
    </comment>
    <comment ref="D23" authorId="0">
      <text>
        <r>
          <rPr>
            <b/>
            <sz val="9"/>
            <color indexed="81"/>
            <rFont val="Tahoma"/>
            <charset val="1"/>
          </rPr>
          <t>Hassan:</t>
        </r>
        <r>
          <rPr>
            <sz val="9"/>
            <color indexed="81"/>
            <rFont val="Tahoma"/>
            <charset val="1"/>
          </rPr>
          <t xml:space="preserve">
Paid 15/8/16</t>
        </r>
      </text>
    </comment>
    <comment ref="B24" authorId="0">
      <text>
        <r>
          <rPr>
            <b/>
            <sz val="9"/>
            <color indexed="81"/>
            <rFont val="Tahoma"/>
            <charset val="1"/>
          </rPr>
          <t>Hassan:</t>
        </r>
        <r>
          <rPr>
            <sz val="9"/>
            <color indexed="81"/>
            <rFont val="Tahoma"/>
            <charset val="1"/>
          </rPr>
          <t xml:space="preserve">
Paid 10900/- 20/8/16</t>
        </r>
      </text>
    </comment>
    <comment ref="D24" authorId="0">
      <text>
        <r>
          <rPr>
            <b/>
            <sz val="9"/>
            <color indexed="81"/>
            <rFont val="Tahoma"/>
            <charset val="1"/>
          </rPr>
          <t>Hassan:</t>
        </r>
        <r>
          <rPr>
            <sz val="9"/>
            <color indexed="81"/>
            <rFont val="Tahoma"/>
            <charset val="1"/>
          </rPr>
          <t xml:space="preserve">
Paid 4400 23/8/16</t>
        </r>
      </text>
    </comment>
    <comment ref="B26" authorId="0">
      <text>
        <r>
          <rPr>
            <b/>
            <sz val="9"/>
            <color indexed="81"/>
            <rFont val="Tahoma"/>
            <charset val="1"/>
          </rPr>
          <t>Hassan:</t>
        </r>
        <r>
          <rPr>
            <sz val="9"/>
            <color indexed="81"/>
            <rFont val="Tahoma"/>
            <charset val="1"/>
          </rPr>
          <t xml:space="preserve">
Paid 10900/- 20/8/16</t>
        </r>
      </text>
    </comment>
    <comment ref="D26" authorId="0">
      <text>
        <r>
          <rPr>
            <b/>
            <sz val="9"/>
            <color indexed="81"/>
            <rFont val="Tahoma"/>
            <charset val="1"/>
          </rPr>
          <t>Hassan:</t>
        </r>
        <r>
          <rPr>
            <sz val="9"/>
            <color indexed="81"/>
            <rFont val="Tahoma"/>
            <charset val="1"/>
          </rPr>
          <t xml:space="preserve">
Paid 4400 23/8/16</t>
        </r>
      </text>
    </comment>
    <comment ref="B27" authorId="0">
      <text>
        <r>
          <rPr>
            <b/>
            <sz val="9"/>
            <color indexed="81"/>
            <rFont val="Tahoma"/>
            <charset val="1"/>
          </rPr>
          <t>Hassan:</t>
        </r>
        <r>
          <rPr>
            <sz val="9"/>
            <color indexed="81"/>
            <rFont val="Tahoma"/>
            <charset val="1"/>
          </rPr>
          <t xml:space="preserve">
Paid 10900/- 20/8/16</t>
        </r>
      </text>
    </comment>
    <comment ref="D28" authorId="0">
      <text>
        <r>
          <rPr>
            <b/>
            <sz val="9"/>
            <color indexed="81"/>
            <rFont val="Tahoma"/>
            <charset val="1"/>
          </rPr>
          <t>Hassan:</t>
        </r>
        <r>
          <rPr>
            <sz val="9"/>
            <color indexed="81"/>
            <rFont val="Tahoma"/>
            <charset val="1"/>
          </rPr>
          <t xml:space="preserve">
Paid 4400 23/8/16</t>
        </r>
      </text>
    </comment>
    <comment ref="D29" authorId="0">
      <text>
        <r>
          <rPr>
            <b/>
            <sz val="9"/>
            <color indexed="81"/>
            <rFont val="Tahoma"/>
            <charset val="1"/>
          </rPr>
          <t>Hassan:</t>
        </r>
        <r>
          <rPr>
            <sz val="9"/>
            <color indexed="81"/>
            <rFont val="Tahoma"/>
            <charset val="1"/>
          </rPr>
          <t xml:space="preserve">
Paid 4400 23/8/16</t>
        </r>
      </text>
    </comment>
    <comment ref="D32" authorId="0">
      <text>
        <r>
          <rPr>
            <b/>
            <sz val="9"/>
            <color indexed="81"/>
            <rFont val="Tahoma"/>
            <family val="2"/>
          </rPr>
          <t>Hassan:</t>
        </r>
        <r>
          <rPr>
            <sz val="9"/>
            <color indexed="81"/>
            <rFont val="Tahoma"/>
            <family val="2"/>
          </rPr>
          <t xml:space="preserve">
Paid 3000/- 30/8/2016</t>
        </r>
      </text>
    </comment>
    <comment ref="D34" authorId="0">
      <text>
        <r>
          <rPr>
            <b/>
            <sz val="9"/>
            <color indexed="81"/>
            <rFont val="Tahoma"/>
            <family val="2"/>
          </rPr>
          <t>Hassan:</t>
        </r>
        <r>
          <rPr>
            <sz val="9"/>
            <color indexed="81"/>
            <rFont val="Tahoma"/>
            <family val="2"/>
          </rPr>
          <t xml:space="preserve">
Paid 3000/- on 30/8/2016</t>
        </r>
      </text>
    </comment>
  </commentList>
</comments>
</file>

<file path=xl/sharedStrings.xml><?xml version="1.0" encoding="utf-8"?>
<sst xmlns="http://schemas.openxmlformats.org/spreadsheetml/2006/main" count="10479" uniqueCount="2763">
  <si>
    <t>Name of the customers</t>
  </si>
  <si>
    <t>Number</t>
  </si>
  <si>
    <t>Price</t>
  </si>
  <si>
    <t>Address</t>
  </si>
  <si>
    <t>Location</t>
  </si>
  <si>
    <t>Purchase</t>
  </si>
  <si>
    <t>Products</t>
  </si>
  <si>
    <t>Feedback</t>
  </si>
  <si>
    <t>Status</t>
  </si>
  <si>
    <t>Date</t>
  </si>
  <si>
    <t>AYESHA CHAUDHARY</t>
  </si>
  <si>
    <t>H#245 STREET #1B JUDICIAL COLONY   GULZAR E QUAID AIRPORT LINK ROAD RAWALPINDI</t>
  </si>
  <si>
    <t>Rawalpindi</t>
  </si>
  <si>
    <t>Talha</t>
  </si>
  <si>
    <t>Pack of 4 cigarette pants Plain</t>
  </si>
  <si>
    <t>Kaymu</t>
  </si>
  <si>
    <t>deliver</t>
  </si>
  <si>
    <t>ADNAN, BUTT</t>
  </si>
  <si>
    <t>HOUSE OF BEER MUHAMMAD SHAKRIAL, ISLAMABAD</t>
  </si>
  <si>
    <t>Islamabad</t>
  </si>
  <si>
    <t>Pack of 4 cigarette pants Embriodery</t>
  </si>
  <si>
    <t>ATIF ATTA</t>
  </si>
  <si>
    <t>HOUSE NO.139-C GREEN CITY HOUSING SCHEME,BARKI ROAD,LAHORE</t>
  </si>
  <si>
    <t>Lahore</t>
  </si>
  <si>
    <t>Mubashir</t>
  </si>
  <si>
    <t>Tag Heuer Mikrogender 2000</t>
  </si>
  <si>
    <t>UMAR, PERVAIZ</t>
  </si>
  <si>
    <t>MOTOR VEHICLE EXAMINER OFFICE RAWLAKOT AZAD KASHMIR</t>
  </si>
  <si>
    <t>Rawalakot(A.z)</t>
  </si>
  <si>
    <t>KHIZAR, IFTIKHAR</t>
  </si>
  <si>
    <t>Gujranwala</t>
  </si>
  <si>
    <t>Hasan</t>
  </si>
  <si>
    <t>Pack of 4 german flag shirts</t>
  </si>
  <si>
    <t>TAYYAB SHINWARI</t>
  </si>
  <si>
    <t>FAISAL TOWN SHINWARI KORONA NAASAR BAGH ROAD PESHAWAR</t>
  </si>
  <si>
    <t>Peshawar</t>
  </si>
  <si>
    <t>Tag Heuer Calibre 17</t>
  </si>
  <si>
    <t>SAAD, SAGHIR</t>
  </si>
  <si>
    <t>AMBALA HOUSE NEAR MASJID MUHAJREEN PHALIA, DISTRICT MANDI BUHAWALDIN, PUNJAB</t>
  </si>
  <si>
    <t>Own</t>
  </si>
  <si>
    <t>Mandi Bahudin</t>
  </si>
  <si>
    <t>olx</t>
  </si>
  <si>
    <t>QAZI, AZAZ</t>
  </si>
  <si>
    <t>FIRST CALL TO THE CUSTOMER MAIN RAWALPINDI TEHSIL GUJARKHAN CITY PALACE RESTURANT</t>
  </si>
  <si>
    <t>Gujarkhan</t>
  </si>
  <si>
    <t>hasan</t>
  </si>
  <si>
    <t>Pack of 4 full sleeves shirts</t>
  </si>
  <si>
    <t>House no. 127, Street 39 sector 4 canal view housing society near wapda town, Gujranwala</t>
  </si>
  <si>
    <t>Kumail Rizvi</t>
  </si>
  <si>
    <t>House no. B-99, gulshan-e-iqbal abbas town abdul hasan isphani road</t>
  </si>
  <si>
    <t>Karachi</t>
  </si>
  <si>
    <t>Pack of 3 Ralph Leuer</t>
  </si>
  <si>
    <t>Pack of 4 printed t-shirts</t>
  </si>
  <si>
    <t>House no. A498, street no.9 block n north nazimabad karachi</t>
  </si>
  <si>
    <t>Qamar ul ishtiaq</t>
  </si>
  <si>
    <t>SAMEER, AIJAZ</t>
  </si>
  <si>
    <t>House no. P314 hamza street khayaban colony no 2 kashmir road madina town faisalabad</t>
  </si>
  <si>
    <t>Faisalabad</t>
  </si>
  <si>
    <t>Casio Edifice blue strap</t>
  </si>
  <si>
    <t>ELLAHI, BUX</t>
  </si>
  <si>
    <t>HOUSE 18, F11 (ONE), ISLAMABAD</t>
  </si>
  <si>
    <t>DR. MASOOD ZIA</t>
  </si>
  <si>
    <t>HOUSE NO. A-348, HAMZA BLOCK -GREEN VIEW COLONY FAISALABAD</t>
  </si>
  <si>
    <t>AMAAN, SHAUKAT</t>
  </si>
  <si>
    <t>HOUSE NO. M-208 MOLLA RAM COMPOUND MALIR CITY KARACHI</t>
  </si>
  <si>
    <t>AZEEM, BURHAN SHEIKH</t>
  </si>
  <si>
    <t>SHEIKH BURHAN UD DIN HOME KOT SANDRAS GILLANWALA TEHSIL CHUNIAN DISTRICT KASUR</t>
  </si>
  <si>
    <t>Kasur</t>
  </si>
  <si>
    <t>EMRAN, JAVED</t>
  </si>
  <si>
    <t>FIRST CALL TO THE CUSTOMER, HOUSE NO. 37 ALI BLOCK AWANTOWN LAHORE</t>
  </si>
  <si>
    <t>EHTISHAM, UL HAQ</t>
  </si>
  <si>
    <t>FLAT NO #408 ALMUSTAFA APARTMENTS G-8 MARKAZ ISLAMABAD</t>
  </si>
  <si>
    <t>SHOAIB, KHAN</t>
  </si>
  <si>
    <t>H.NO 496, STREET 16, PHASE 1,SECTOR E2 , HAYATABAD PESHAWAR</t>
  </si>
  <si>
    <t>SALMAN, KHAN</t>
  </si>
  <si>
    <t>HOUSE NO 576/1 FRONTIER MOTORS MANSEHRA ROAD ABBOTTABAD</t>
  </si>
  <si>
    <t>ABBOTTABAD</t>
  </si>
  <si>
    <t>MUHAMMAD, IKRAM</t>
  </si>
  <si>
    <t>DISTRICT KASUR TEHSILE PATOKI CITY HABIBABAD HOUSE RANA AFZAL ADVOCATE NEAR PHATAK</t>
  </si>
  <si>
    <t>MUHAMMAD, ASHRAF</t>
  </si>
  <si>
    <t>HOUSE NO 123, OLD CLIFTON KARACHI</t>
  </si>
  <si>
    <t>Mati, Rehman Qazi</t>
  </si>
  <si>
    <t>House no.DV 66, Dinna Hardo, Near F-Block and Hotel Mid City, IJP Road, Rawalpindi</t>
  </si>
  <si>
    <t>JAHANGIR, GHAFOOR</t>
  </si>
  <si>
    <t>HOUSE # B-10, WAPDA THERMAL POWER STATION GUDDU, DIST.KASHMORE(SINDH)</t>
  </si>
  <si>
    <t>Ghotki</t>
  </si>
  <si>
    <t>Abdullah</t>
  </si>
  <si>
    <t>Pizza point hasan square self delivered</t>
  </si>
  <si>
    <t>Tissot Golden dial</t>
  </si>
  <si>
    <t xml:space="preserve">house no zb440, street no. 26, Mohallah alam abad dhoke hessu RAWALPINDI
</t>
  </si>
  <si>
    <t>Rado Date just watch</t>
  </si>
  <si>
    <t>Adeel, qureshi</t>
  </si>
  <si>
    <t>sardar, shah</t>
  </si>
  <si>
    <t>shahi palace wedding hall warsak road peshawar</t>
  </si>
  <si>
    <t>Pack of 7 tights</t>
  </si>
  <si>
    <t>Tag Heuer Calibre 16 Formula 1</t>
  </si>
  <si>
    <t>house no. 141 block h dha eme sector near multan road lahore</t>
  </si>
  <si>
    <t>Abu, ibraheem</t>
  </si>
  <si>
    <t>zafar, fani</t>
  </si>
  <si>
    <t>adgroup advertising rizwan plaza 9 west ,2 floor blue area isalamabad</t>
  </si>
  <si>
    <t>Rolex Subminar Golden</t>
  </si>
  <si>
    <t>Pack of 2 Rolex subminar</t>
  </si>
  <si>
    <t>Lumbs univeristy v block gaala chatri chowk punjab small housing society e block house no. 110/1</t>
  </si>
  <si>
    <t>M.Iftikhar but</t>
  </si>
  <si>
    <t xml:space="preserve"> </t>
  </si>
  <si>
    <t>ABDUL QADEER</t>
  </si>
  <si>
    <t>ITALIAN PIZZA SHOP NO 5, MUZAFIR CHANBER PLAZA, FAZLE HUQ ROAD BLOCK F ISLAMABAD BLUE AREA</t>
  </si>
  <si>
    <t>Pack 0f 4 printed T-Shirts</t>
  </si>
  <si>
    <t>Paragon saloon</t>
  </si>
  <si>
    <t>The Gap gulshan self delivered</t>
  </si>
  <si>
    <t>Pack of 2 genava</t>
  </si>
  <si>
    <t>Moin khan</t>
  </si>
  <si>
    <t>House no 243, block 14 Fb area karachi</t>
  </si>
  <si>
    <t>talha</t>
  </si>
  <si>
    <t>pack of 4 plaza pants</t>
  </si>
  <si>
    <t>Arfa Khawaja</t>
  </si>
  <si>
    <t>Humrah, Iqbal</t>
  </si>
  <si>
    <t>R 72 Gulshan-e-Amin banglows</t>
  </si>
  <si>
    <t>pack of 4 cigarette pants</t>
  </si>
  <si>
    <t>House no. 37 brigadier colony khawaja safdar road sialkot</t>
  </si>
  <si>
    <t>sialkot</t>
  </si>
  <si>
    <t>pack of 5 v-neck shirts</t>
  </si>
  <si>
    <t>Return</t>
  </si>
  <si>
    <t>JAVED AHMED</t>
  </si>
  <si>
    <t>RIVER VIEW PLAZA MAZANINE FLOOR A3 NEAR STATE LIFE BUILDING THANDI SARAK</t>
  </si>
  <si>
    <t>hyderabad</t>
  </si>
  <si>
    <t>pack of 5 round neck t-shirts</t>
  </si>
  <si>
    <t>FARHAN</t>
  </si>
  <si>
    <t>SERVRIS SHOW STORE FAWRA CHOKE PAKPATTAN</t>
  </si>
  <si>
    <t>pakpattan</t>
  </si>
  <si>
    <t>1 rado nd 1 ralph ruler</t>
  </si>
  <si>
    <t>Anique, Ahmed</t>
  </si>
  <si>
    <t>House number q5 sheet 27 model colony karachi</t>
  </si>
  <si>
    <t>jewellery</t>
  </si>
  <si>
    <t>1 ring</t>
  </si>
  <si>
    <t>house no. p-153 Rahmania town, jhang road FSD</t>
  </si>
  <si>
    <t>fatima, afzal</t>
  </si>
  <si>
    <t>5 rings and 1 t-shirts</t>
  </si>
  <si>
    <t>ABDUL, QADEER</t>
  </si>
  <si>
    <t>FIRST CALL TO THE CUSTOMER, KALHORO HOTEL NEAR CHANDKAPUL LARKANA SINDH</t>
  </si>
  <si>
    <t>AQEEL, AHMED MEMON</t>
  </si>
  <si>
    <t>CALL TO THE CUSTOMER, AQEEL, AHMED MEMON, NEAR GOVT. HIGH SCHOOL, MOHALLA LOHAR, THERHI DISTRICT KHAIRPUR MIRS</t>
  </si>
  <si>
    <t>Khairpur</t>
  </si>
  <si>
    <t>ALI, HAIDER</t>
  </si>
  <si>
    <t>349 S QUAID-E-AZAM INDUSTRIAL ESTATE TOWNSHIP LAHORE</t>
  </si>
  <si>
    <t>tag heuer formula 1</t>
  </si>
  <si>
    <t>QADRA</t>
  </si>
  <si>
    <t>NEW ALNOOR MEDICAL STORE SHOP NO: 7-8 KHILJI MARKET AALAMOO CHOWK AIRPORT ROAD NEAR F.C CHEKPOST</t>
  </si>
  <si>
    <t>quetta</t>
  </si>
  <si>
    <t>love watch, new watch, handmade, 4 cigarette pants embriodery</t>
  </si>
  <si>
    <t>facebook</t>
  </si>
  <si>
    <t>NOUMAN AZHAR</t>
  </si>
  <si>
    <t>NOUMAN AZHAR MOHALLAH GULLAH KHAIL, TALWASA BEAUTY PALOUR STREET, BEHZADI CHIKKARKOT KOHAT</t>
  </si>
  <si>
    <t>kohat</t>
  </si>
  <si>
    <t>memon masjid</t>
  </si>
  <si>
    <t>1 formal Shirts</t>
  </si>
  <si>
    <t>Mubasher, Hassan</t>
  </si>
  <si>
    <t>al-wadood institute of professional studies bara khau near bhera pull islamabad</t>
  </si>
  <si>
    <t>Pack of 3 WWE HIGH QUALITY T SHIRTS</t>
  </si>
  <si>
    <t>hussain</t>
  </si>
  <si>
    <t>Flat no.a5 block 3 asad appartment pchs karachi</t>
  </si>
  <si>
    <t>pack of 2 Minos T-Shirts</t>
  </si>
  <si>
    <t xml:space="preserve">Shahid </t>
  </si>
  <si>
    <t>Flat c-40 block 12 combine cng sana avenue gulistan-e-johar karachi</t>
  </si>
  <si>
    <t>1 rolex subminar</t>
  </si>
  <si>
    <t>RAMEEN, AKHTAR</t>
  </si>
  <si>
    <t>AKHTAR CHILDREN HOSPITAL, LALAZAR COLONY, THANA ROAD, MANDI BAHAUDDIN,PUNJAB, PAKISTAN</t>
  </si>
  <si>
    <t>5 rings</t>
  </si>
  <si>
    <t>SHAHZAIB RAJA</t>
  </si>
  <si>
    <t>HOUSE NO, 23, GAALI NUM 2, SECTOR C4 MIRPUR AZAD KASHMIR</t>
  </si>
  <si>
    <t>Mirpur Azad kashmir</t>
  </si>
  <si>
    <t>pack of 5 printed t-shirts</t>
  </si>
  <si>
    <t>Asad ali</t>
  </si>
  <si>
    <t>muhla qazi near by telephone exchange, Toba Tek Singh</t>
  </si>
  <si>
    <t>Toba Tek Singh</t>
  </si>
  <si>
    <t>ummad, sultan</t>
  </si>
  <si>
    <t>chaudary plaza orange mobiles g.t road dina</t>
  </si>
  <si>
    <t>Dina</t>
  </si>
  <si>
    <t>Tag heuer calibre 17 in chain</t>
  </si>
  <si>
    <t>Rizwan siddique</t>
  </si>
  <si>
    <t>Globe Company kimaari karachi</t>
  </si>
  <si>
    <t>Pack of 3 Cigarette pants</t>
  </si>
  <si>
    <t>port grand Karachi</t>
  </si>
  <si>
    <t>Pack of 2 german T-shirts</t>
  </si>
  <si>
    <t>Nadeem baloch</t>
  </si>
  <si>
    <t>Hasan laskhary wallave gaale num 15, garden west block 3 near rehmani masjid karachi</t>
  </si>
  <si>
    <t>Casio Edifice in Chain</t>
  </si>
  <si>
    <t>Sadiq hayat lodhi</t>
  </si>
  <si>
    <t>sadiq hayat lodhi 5 temple road lahore</t>
  </si>
  <si>
    <t>pack of 4 wwe shirts and 4 polo</t>
  </si>
  <si>
    <t>M.IFTIKHAR BUT</t>
  </si>
  <si>
    <t>LUMBS UNIVERISTY V BLOCK GAALA CHATRI CHOWK PUNJAB SMALL HOUSING SOCIETY E BLOCK HOUSE NO. 110/1</t>
  </si>
  <si>
    <t>Awais</t>
  </si>
  <si>
    <t>B27, ishaqabad, sir suleman road liaquabad karachi</t>
  </si>
  <si>
    <t>Ubaid, Ismail</t>
  </si>
  <si>
    <t>A 282 2nd floor Block L North Nazimabad Karachi</t>
  </si>
  <si>
    <t>pack of 4 t-shirts</t>
  </si>
  <si>
    <t>QADAR, KHAN</t>
  </si>
  <si>
    <t>CALL TO THE CUSTOMER,  MARDAN KHYBER PUKHTOON KHWA</t>
  </si>
  <si>
    <t>Mardan</t>
  </si>
  <si>
    <t>BASHIR AHMED</t>
  </si>
  <si>
    <t>Larkana</t>
  </si>
  <si>
    <t>CALL TO THE CUSTOMER, BASHIR AHMED BALOCH CARE OF ASHFAQ HUSSAIN SANGHI TA/A TO DC OFFICE LARKANA</t>
  </si>
  <si>
    <t>Casio Edifice in silver</t>
  </si>
  <si>
    <t>13/10/2015</t>
  </si>
  <si>
    <t>KANWAL, ABBAS</t>
  </si>
  <si>
    <t>CALL TO THE CUSTOMER, RESCUE 1122 CHINIOT NEAR DHQ HOSPITAL SGD ROAD</t>
  </si>
  <si>
    <t>Chiniot</t>
  </si>
  <si>
    <t>SAJJAD ALI</t>
  </si>
  <si>
    <t>CALL TO THE CUSTOMER, VILLAGE GAVAYA BALOCH, HAVELILAKHA, DISTT OKARA TEHSIL DEPALPUR</t>
  </si>
  <si>
    <t>Okara</t>
  </si>
  <si>
    <t>Ali</t>
  </si>
  <si>
    <t>Bait ul mukarram, self received</t>
  </si>
  <si>
    <t>Pack of 5 full sleeves t-shirts</t>
  </si>
  <si>
    <t>Hansraj</t>
  </si>
  <si>
    <t>shahbaz, chishti</t>
  </si>
  <si>
    <t>House no. P-6165 Street #6 Roza Park Mansoorabad Faisalabad</t>
  </si>
  <si>
    <t>14/10/2015</t>
  </si>
  <si>
    <t>Malik, Sachal</t>
  </si>
  <si>
    <t>House no 617, college block phase 2, Gujrawala cantt</t>
  </si>
  <si>
    <t>Casio Edifice in blue strap</t>
  </si>
  <si>
    <t>ShahNawaz, KIani</t>
  </si>
  <si>
    <t>apartment no 15, Bahria Heights II, Phase 4, Bahria Town</t>
  </si>
  <si>
    <t>electronic</t>
  </si>
  <si>
    <t>Philips Trimmer</t>
  </si>
  <si>
    <t>pack of 2 wwe 4 polo 2 heros</t>
  </si>
  <si>
    <t>Ali, Shaikh</t>
  </si>
  <si>
    <t>pakistan qasimabad hyderabad phase=1 near becon house school c: 346</t>
  </si>
  <si>
    <t>pack of 4 v-neck full t-shirts</t>
  </si>
  <si>
    <t>AUN, RAA</t>
  </si>
  <si>
    <t>Sheikhupura</t>
  </si>
  <si>
    <t>pack of 2 armani watch</t>
  </si>
  <si>
    <t>BATI CHOWK, HABIB COLONY, NEAR BARAH BARI HOUSE, BACK SIDE OF BANKOK KHYBER, SHEIKHUPURA BATI CHOWK HABIB COLONY BARAH DARI HOUSE</t>
  </si>
  <si>
    <t>SHEHROZ REHMAN</t>
  </si>
  <si>
    <t>AL REHMAN PRINTING PRESS DAHRANWALA DISTRICT BAHAWALNAGAR</t>
  </si>
  <si>
    <t>BAHAWALNAGAR</t>
  </si>
  <si>
    <t>Pack of 3 Lecoste t-shirts</t>
  </si>
  <si>
    <t>Adnan, Abbasi</t>
  </si>
  <si>
    <t>Salman Abbasi House shakrial Haroon chock Sadiqabad Rawalpindi</t>
  </si>
  <si>
    <t>15/10/2015</t>
  </si>
  <si>
    <t>Mrs.Shazia, Tariq</t>
  </si>
  <si>
    <t>Flat no. 107 marryview apartment Mohammed Ali Bogra Road BathIsland road</t>
  </si>
  <si>
    <t>2 21 strap watch</t>
  </si>
  <si>
    <t>17/10/2015</t>
  </si>
  <si>
    <t>MANI, KHAN</t>
  </si>
  <si>
    <t>HOUSE# L-534,BLOCK 1, METROVILLE III, ABUL HASSUN ISPHANI ROAD</t>
  </si>
  <si>
    <t>Pack of 4 round neck hero shirts</t>
  </si>
  <si>
    <t>MUNEEB, HASSAN</t>
  </si>
  <si>
    <t>HOUSE NO. 19-FAISAL STREET SHAH KAMAL COLONY, NEAR WAHDAT ROAD</t>
  </si>
  <si>
    <t>MOMENA, TARIQ</t>
  </si>
  <si>
    <t>ALSAFDAR HOUSE NO 45, STREET NO:2 NEAR MEEZAN BANK. GULBAHAR NO:1 PESHAWAR</t>
  </si>
  <si>
    <t>MOHSIN KHAN</t>
  </si>
  <si>
    <t>HOUSE NO 23, STREET 25, SECTOR A, DHA PHASE 2 ISLAMABAD</t>
  </si>
  <si>
    <t>pack of 3 polo</t>
  </si>
  <si>
    <t>humayun, masroor ahmed</t>
  </si>
  <si>
    <t>R-55 block B. Millat garden society near kalaboard malir karachi</t>
  </si>
  <si>
    <t>casio edifice ib blue strap</t>
  </si>
  <si>
    <t>19/10/2015</t>
  </si>
  <si>
    <t>ali, faraz</t>
  </si>
  <si>
    <t>tag heuer calibre 17 in leather</t>
  </si>
  <si>
    <t>Rolex Diamond golden watch</t>
  </si>
  <si>
    <t>B16 falak naz view appt, near star gate karachi</t>
  </si>
  <si>
    <t>Zanib Ayan Faisal, Changezi</t>
  </si>
  <si>
    <t>WAJAHAT, ALI</t>
  </si>
  <si>
    <t>HOUSE 195 STREET 14 SECTOR F5 PHASE 06 HAYATABAD PESHAWAR.</t>
  </si>
  <si>
    <t>20/10/2015</t>
  </si>
  <si>
    <t>ZAKIR, ULLAH</t>
  </si>
  <si>
    <t>PESHAWAR HAYATABAD PHASE 2 J4, STREET5, HOUSE NO 48,</t>
  </si>
  <si>
    <t>pack of 3 v-neck t-shirts full new product</t>
  </si>
  <si>
    <t>HOUSE 13, STREET 9, CHOHAN ROAD ISLAMPURA LAHORE</t>
  </si>
  <si>
    <t>FAIZAN, RATHOOR</t>
  </si>
  <si>
    <t>MILLER'S HOUSE, B/VI-1298, LINK RAILWAY ROAD, SHAHDRAH, BAHAWALPUR</t>
  </si>
  <si>
    <t>Bahawalpur</t>
  </si>
  <si>
    <t>syed zafar, ali shah</t>
  </si>
  <si>
    <t>farman medical centre qadirpur road ghotki</t>
  </si>
  <si>
    <t>Pack of 2 Rolex Diamond</t>
  </si>
  <si>
    <t>21/10/2015</t>
  </si>
  <si>
    <t>Rizwan, Ali</t>
  </si>
  <si>
    <t>House no 348 2nd B Mohallah Esserpura Nawabshah sindh</t>
  </si>
  <si>
    <t>Nawabshah</t>
  </si>
  <si>
    <t>Bhakkar</t>
  </si>
  <si>
    <t>Pack of 2 tag heuer 20000 mikrogender</t>
  </si>
  <si>
    <t>Ali Raza</t>
  </si>
  <si>
    <t>House no. B-99, street 16, near teen talwar nana feroz road bath island karachi</t>
  </si>
  <si>
    <t>olx(anus)</t>
  </si>
  <si>
    <t>idrees, khalid</t>
  </si>
  <si>
    <t>house M585 street 16 mohalla amar pura Rawalpindi</t>
  </si>
  <si>
    <t>22/10/2015</t>
  </si>
  <si>
    <t>SYED ZAFAR, ALI SHAH</t>
  </si>
  <si>
    <t>FARMAN MEDICAL CENTRE QADIRPUR ROAD GHOTKI</t>
  </si>
  <si>
    <t>SAQIB, MALIK</t>
  </si>
  <si>
    <t>NEW STAR GRAPHICS MILL MOR DARYA KHAN TEHSIL DARYA KHAN DISTRICT BHAKKAR</t>
  </si>
  <si>
    <t>RIZWAN, ALI</t>
  </si>
  <si>
    <t>HOUSE NO 348 2ND B MOHALLAH ESSERPURA NAWABSHAH SINDH</t>
  </si>
  <si>
    <t>Faizan, Anwer</t>
  </si>
  <si>
    <t>k.A.E.C.H.S block 8 House no. A257 1st floor</t>
  </si>
  <si>
    <t>Asmat, Khan</t>
  </si>
  <si>
    <t>Lahore hotel nearest cakes&amp;bakes gulistan hotel wali gali atock sarie</t>
  </si>
  <si>
    <t>pearl Ring</t>
  </si>
  <si>
    <t>26/10/2015</t>
  </si>
  <si>
    <t>ZEESHAN</t>
  </si>
  <si>
    <t>HAJI LATIF SHAH NEAR SHER MUHAMMAD HAKRO MADARSA SHIKARPUR</t>
  </si>
  <si>
    <t>Shikarpur</t>
  </si>
  <si>
    <t>Casio edifice silver in chain</t>
  </si>
  <si>
    <t>HAIDER, ALI</t>
  </si>
  <si>
    <t>HOUSE NO. 4-B WAQAR STREET CLIFTON COLONY WAHDAT COLONY LAHORE</t>
  </si>
  <si>
    <t>Faisal</t>
  </si>
  <si>
    <t>al-hamd gravure dp-19 sector 12-d north karachi industrial area karachi</t>
  </si>
  <si>
    <t>Ck Watch in black</t>
  </si>
  <si>
    <t>Shahzad hussain</t>
  </si>
  <si>
    <t>Hina View House no. A-204 main university road karachi near mosamyat chock</t>
  </si>
  <si>
    <t>Pack of 3 Lecoste t-shirts; pack of 4 v-neck half sleeves</t>
  </si>
  <si>
    <t>Rashid Abbasi</t>
  </si>
  <si>
    <t>03166001174; 03442572260</t>
  </si>
  <si>
    <t>house no. l/854 sector 48/b korangi no. 2 karachi</t>
  </si>
  <si>
    <t>Pack of 6 hero t-shirts</t>
  </si>
  <si>
    <t>talha sajjad</t>
  </si>
  <si>
    <t>House no. L1-17, block B gulshan-e-millat bagh-e-korangi karachi near abdullah masjid</t>
  </si>
  <si>
    <t>Curren Business watch</t>
  </si>
  <si>
    <t>jamal</t>
  </si>
  <si>
    <t>House no. 14, street 12, sector 2, haroon bahria naval colony karachi</t>
  </si>
  <si>
    <t>ABDUL BASIT SHEIKH</t>
  </si>
  <si>
    <t>FLAT NO. T-1/4 BIN QASIM STEEL TOWN KARACHI</t>
  </si>
  <si>
    <t>27/10/2015</t>
  </si>
  <si>
    <t>ABDIL JAMEEL</t>
  </si>
  <si>
    <t>HOUSE NO B-8, M.T.M ROAD NEAR WAPDA OFFICER TANDO JAM</t>
  </si>
  <si>
    <t>petal hospital karachi</t>
  </si>
  <si>
    <t>1 trouser; 1 shirts</t>
  </si>
  <si>
    <t>Afnan, Khan</t>
  </si>
  <si>
    <t>Compuaids, Jilani Khan Plaza,Patel Road, Quetta</t>
  </si>
  <si>
    <t>29/10/2015</t>
  </si>
  <si>
    <t>Ahmed, kazmi</t>
  </si>
  <si>
    <t>dreamland motel Islamabad</t>
  </si>
  <si>
    <t>juli, Aysha</t>
  </si>
  <si>
    <t>FLT NO.T/2 2ND.FLOOR SEA ROCK ARAF PLOT NO COM-2/3 BLOCK/1 SCHEME N</t>
  </si>
  <si>
    <t>FARIA, MAJEED</t>
  </si>
  <si>
    <t>ROOM NO. G-9 ALRAYAN HOSTLE AKBAR ROAD SECTOR A1 MIRPUR AK</t>
  </si>
  <si>
    <t>SAFDAR ABBAS, AWAN</t>
  </si>
  <si>
    <t>NOUMAN SANATARY STORE CHOCK TOWN HAAL KABIR WALA (KHANEWAL)</t>
  </si>
  <si>
    <t>Khanewal</t>
  </si>
  <si>
    <t>MUHAMMAD, DANIYAL</t>
  </si>
  <si>
    <t>SINGH BANK JINNAH ROAD NEAR FAYAZ LAB QUETTA</t>
  </si>
  <si>
    <t>Casio Edifice Tachymeter Blue Dial Watch</t>
  </si>
  <si>
    <t>Armani watch</t>
  </si>
  <si>
    <t>ISRAR, HAKIM</t>
  </si>
  <si>
    <t>MEHBOOB, BAHRAM</t>
  </si>
  <si>
    <t>OFFICE OF AGRICULTURE EXTENSION TURBAT KECH MAKRAN</t>
  </si>
  <si>
    <t>Turbat</t>
  </si>
  <si>
    <t>Pack of 4 super hero t-shirts</t>
  </si>
  <si>
    <t>HEALTH SCIENCE AND ENGENIEERING DEPARTMENT, LUMS UNIVERSITY DHA, LAHORE</t>
  </si>
  <si>
    <t>Syeda Sundus Qadeer</t>
  </si>
  <si>
    <t>HOUSE NO. B-183, BLOCK 5, NEAR ABBASI MASJID WALA ROAD, SHAH FAISAL COLONY KARACHI</t>
  </si>
  <si>
    <t>trousers</t>
  </si>
  <si>
    <t>pack of 2 trousers</t>
  </si>
  <si>
    <t>30/10/2015</t>
  </si>
  <si>
    <t>UBAID KHAN</t>
  </si>
  <si>
    <t>P-5/2 STEEL TOWN BIN QASIM KARACHI</t>
  </si>
  <si>
    <t>Pack of 5 v-neck full t-shirts</t>
  </si>
  <si>
    <t>MANDRESE AYAZ</t>
  </si>
  <si>
    <t>MEHRAN SWEET AND BAKERS SIR SYED CHOWK TIPU ROAD RAWALPINDI</t>
  </si>
  <si>
    <t>Tissot Tradition watch in leather</t>
  </si>
  <si>
    <t>Ahsan Rafiq</t>
  </si>
  <si>
    <t>B-205, block 3 karachi administration society (Balouch Colony)</t>
  </si>
  <si>
    <t>Pack of 3 local trousers</t>
  </si>
  <si>
    <t>Waqar Khan</t>
  </si>
  <si>
    <t>Office no. 1 ground floor goldline residancy plot no. z-12 block 16-a gulistan-e-johar near kda oversees society karachi</t>
  </si>
  <si>
    <t>Pack of 3 full round neck shirts</t>
  </si>
  <si>
    <t>Sir Kamran</t>
  </si>
  <si>
    <t>Ami Apex computer institute flat 3/10, block 5 rashid minhas road near bank islami gulshan-e-iqbal karachi</t>
  </si>
  <si>
    <t>Nawaz ahmed</t>
  </si>
  <si>
    <t>Erum video shop, erum emphiron mall phase 1 bufferzone</t>
  </si>
  <si>
    <t>31/10/2015</t>
  </si>
  <si>
    <t>Pack of 2 hoodies</t>
  </si>
  <si>
    <t>Oppsite noman complex</t>
  </si>
  <si>
    <t>Irfan</t>
  </si>
  <si>
    <t>FAYSAL, JAMIL</t>
  </si>
  <si>
    <t>AL SADIQUE BOYS HOSTEL KHAYABAN E SADIQ SARGODHA</t>
  </si>
  <si>
    <t>Sargodha</t>
  </si>
  <si>
    <t>machines</t>
  </si>
  <si>
    <t>MANAN EIJAZ</t>
  </si>
  <si>
    <t>11 JOHAR VIEW NEAR WAFAQY COLONY OPPOSITE ALLIED SCHOOL JOHAR TOWN LAHORE</t>
  </si>
  <si>
    <t>RANA, ARSALAN</t>
  </si>
  <si>
    <t>NEAR DARBAR PULLI ANWAR ABASI COLONY STREET NO#2, HOUSE NO.20</t>
  </si>
  <si>
    <t>ZUHAIB, SHAIKH</t>
  </si>
  <si>
    <t>KARANI COTTAGE NEAR DUA SHINING SCHOOL BUTH MUHALLA DADU SINDH PAKISTAN</t>
  </si>
  <si>
    <t>Dadu</t>
  </si>
  <si>
    <t>ISHAQ, HANIF</t>
  </si>
  <si>
    <t>HOUSE NO 623 BLOCK D PHASE 5 DEFENCE DHA LAHORE</t>
  </si>
  <si>
    <t>set of 21 watches box</t>
  </si>
  <si>
    <t>OSAMA, FAROOQ</t>
  </si>
  <si>
    <t>HOUSE NO 748 Z BLOCK DHA LAHORE</t>
  </si>
  <si>
    <t>HOUSE # 23, STREET # 25 SECTOR A DHA 2 ISLAMABAD</t>
  </si>
  <si>
    <t>Pack of 3 v-neck shirts half</t>
  </si>
  <si>
    <t>FAIZAN RASHEED</t>
  </si>
  <si>
    <t>BASHIR MEDICAL STORE STREET # 13, WALTON CANTT MADINA COLONY LAHORE</t>
  </si>
  <si>
    <t>Pack of 4 being human t-shirts</t>
  </si>
  <si>
    <t>ADNAN QADIR</t>
  </si>
  <si>
    <t>KATIBEEN AIR SERVICES, TOURISTS INN MOTEL,6 D, SADDAR ROAD, BEHIND JAN'S BAKERS PESHAWAR CANTT</t>
  </si>
  <si>
    <t>Minos Hoodies</t>
  </si>
  <si>
    <t>M USMAN SHAKER</t>
  </si>
  <si>
    <t>DAWOOD FILLING STATION FAISALABAD ROD CHOWK AZAM LAYYAH</t>
  </si>
  <si>
    <t>Layyah</t>
  </si>
  <si>
    <t>Pack of hoodies,t-shirts,watch</t>
  </si>
  <si>
    <t>WAQAS, SABIR</t>
  </si>
  <si>
    <t>CB-73/4 IBRAHIM STREET NO.1 NEAR RANGE ROAD BYCO CNG PUMP AFSHAN COLONY RAWALPINDI CANTT</t>
  </si>
  <si>
    <t>superman hoodies</t>
  </si>
  <si>
    <t>talha azeem</t>
  </si>
  <si>
    <t>alkesh lalwani</t>
  </si>
  <si>
    <t>R-914/9 dastagir FB area karachi</t>
  </si>
  <si>
    <t>c-block flat 202, jinnah complex near taj complex at MA jinnah road karachi</t>
  </si>
  <si>
    <t>Amna</t>
  </si>
  <si>
    <t xml:space="preserve">lahore by nano </t>
  </si>
  <si>
    <t>1 hoodies , 1 Ck, 1 handmade</t>
  </si>
  <si>
    <t>local</t>
  </si>
  <si>
    <t>Adnan</t>
  </si>
  <si>
    <t>R-245 Sector 11/c-1 lateef nagar north karachi near nagan chowrangi alhaaj akhtar resturant</t>
  </si>
  <si>
    <t>Rolex skeleton</t>
  </si>
  <si>
    <t>Yasir, Rehman</t>
  </si>
  <si>
    <t>Rizwan madical store,hospital road,sarai naurang. Said rehman senetory store,mohala doctran,sarai naurang.</t>
  </si>
  <si>
    <t>Lakki Marwat</t>
  </si>
  <si>
    <t>21 watch set</t>
  </si>
  <si>
    <t>siddique, ali khan</t>
  </si>
  <si>
    <t xml:space="preserve">House no 71 aurangzeeb block new garden town lahore punjab pakistan
</t>
  </si>
  <si>
    <t>Maryam, shafiq</t>
  </si>
  <si>
    <t>lado pindi head marala sialkot</t>
  </si>
  <si>
    <t>Umama Surgical and Maternity Home, H-block house#144 144#H block Arifwala District Pakpattan</t>
  </si>
  <si>
    <t>Faizan, Ali</t>
  </si>
  <si>
    <t>Alishba zafar</t>
  </si>
  <si>
    <t>Plot no 37/3 parklane block 5 clifton</t>
  </si>
  <si>
    <t>beast and beauty hoodies</t>
  </si>
  <si>
    <t>Ushna Ahmed</t>
  </si>
  <si>
    <t>flat num 208, block 33/5 near doraja marium arcade karachi</t>
  </si>
  <si>
    <t>packof 2 winter heart</t>
  </si>
  <si>
    <t>Primor travel near block 2 moti mahal karachi</t>
  </si>
  <si>
    <t>WAJIHA, HANIF</t>
  </si>
  <si>
    <t>HOUSE NO 36, STREET NO 1, ITIFAQ COLONY (NEAR DR.SARWAR'S CLINIC ), LAJPUT NAGAR ROAD SHAHDRA LAHORE</t>
  </si>
  <si>
    <t>HARRIS, CHAUDHARY</t>
  </si>
  <si>
    <t>ASKAR11,SECTOR:B,STREET:34,HOUSE#507,LAHORE</t>
  </si>
  <si>
    <t>JAMEEL, JAAN</t>
  </si>
  <si>
    <t>SHOP 39-40 F MIRAJ PLAZA MAIN MARKET GULBERG II LAHORE</t>
  </si>
  <si>
    <t>GULAB, SHAH</t>
  </si>
  <si>
    <t>FLAT #3 -B HASSAN APPARTMENTS PATEL BAGH NEAR SALIM.MEDICAL COMPLEX QUETTA.</t>
  </si>
  <si>
    <t>Tag heuer calibre 36</t>
  </si>
  <si>
    <t>QASIM</t>
  </si>
  <si>
    <t>HOUSENO:176 ST:4 PHASE:5B GHOURI TOWN</t>
  </si>
  <si>
    <t>3005079946; 0512155520</t>
  </si>
  <si>
    <t>Casio edifice in silver chain</t>
  </si>
  <si>
    <t>DANISH, KHAN</t>
  </si>
  <si>
    <t>HOUSE NO # 9 STREET NO # 31 SECTOR #G/6-2 ISLAMABAD</t>
  </si>
  <si>
    <t>SHABANA, FAISAL</t>
  </si>
  <si>
    <t>HOUSE NO. E-6/10 B, STREET NO. 1, AL NOOR TOWN, WORKSHOP STOP, WALTON ROAD, LAHORE CANTT</t>
  </si>
  <si>
    <t>UZAIR, AKBAR</t>
  </si>
  <si>
    <t>HOUSE NO, A-353 GULISTAN COLONY WAHCANTT</t>
  </si>
  <si>
    <t>wah cantt</t>
  </si>
  <si>
    <t>Pack of 4 hero t-shirts</t>
  </si>
  <si>
    <t>pack of 4 t-shirts full</t>
  </si>
  <si>
    <t>a</t>
  </si>
  <si>
    <t>hammad ahmed</t>
  </si>
  <si>
    <t>karachi old golimaar</t>
  </si>
  <si>
    <t>flat no: A-18, Anarkali Appts., Ayesha manzil, Block 7, F.b area, karachi, sindh, pakistan</t>
  </si>
  <si>
    <t>Farrukh, Abdul Aziz</t>
  </si>
  <si>
    <t>Syed, Ali</t>
  </si>
  <si>
    <t>R-54,sector-8, North Karachi, Karachi.</t>
  </si>
  <si>
    <t>n/a</t>
  </si>
  <si>
    <t>Defence</t>
  </si>
  <si>
    <t>Muhammad Minhas, Khalid</t>
  </si>
  <si>
    <t>H#AA4 room#1 near to Iqra University Defence view phase 2 Karachi Defence view Karachi</t>
  </si>
  <si>
    <t>SOHAIL ANJUM</t>
  </si>
  <si>
    <t>STREET NO 3, ABDUL AZIZ SPHAI WALI PORANI ABADI DHULLAY GUJRANWALA</t>
  </si>
  <si>
    <t>Pack of 3 printed hoodies</t>
  </si>
  <si>
    <t>HAMZA, ALI</t>
  </si>
  <si>
    <t>HOUSE NO 645 STREET NO 103 G9/4 ISLAMABAD</t>
  </si>
  <si>
    <t>AAMIR, KHAN</t>
  </si>
  <si>
    <t>SHOP ENSEMBLE 2ND FLOR UNITED MALL ABDALI ROAD MULTAN</t>
  </si>
  <si>
    <t>Multan</t>
  </si>
  <si>
    <t>SHAHID, AWAN</t>
  </si>
  <si>
    <t>HOUSE # 784,STREET 1,PARK LANE,CHAKLALA SCHEME 3,RAWALPINDI PUNJAB.</t>
  </si>
  <si>
    <t>ADIL HUSSAIN, MIRZA</t>
  </si>
  <si>
    <t>HADI TRAVEL &amp; TOURS NEAR QADEEM MARKAZI MASJID HANFIA MAIN BAZAR DADYAL AZAD KASHMIR</t>
  </si>
  <si>
    <t>SAMAN, KIYANI</t>
  </si>
  <si>
    <t>HOUSE#1731 MODEL TOWN HUMAK(F.A) ISLAMABAD</t>
  </si>
  <si>
    <t>M ADEEL SHAN</t>
  </si>
  <si>
    <t>HOUSE NO 37, STREET NO 3, KOT SHAHB-U-DIN SHAHDARA LAHORE</t>
  </si>
  <si>
    <t>AHSAN</t>
  </si>
  <si>
    <t>NEAR PSO PUMP ZINC CENTER LALAMUSA</t>
  </si>
  <si>
    <t>lalamusa</t>
  </si>
  <si>
    <t>packof 4 t-shirts full</t>
  </si>
  <si>
    <t>Murtaza</t>
  </si>
  <si>
    <t>B-1, row-b, block 3 gulshan-e-kaneez fatima scheme -33 karachi</t>
  </si>
  <si>
    <t>3 hoodies, 2 trousers, 2 pumpa,  2 tag heuer 17</t>
  </si>
  <si>
    <t>TAYYAB, REHMAN</t>
  </si>
  <si>
    <t>House p-172 shalimar park hilal road faisalabad</t>
  </si>
  <si>
    <t>UMAIR AHMED</t>
  </si>
  <si>
    <t>pack of 4 t-shirts full, 2 hoodies</t>
  </si>
  <si>
    <t>River VIew society near ali raza abad raiwind road lahore</t>
  </si>
  <si>
    <t>Pack of 2 smile hoodies</t>
  </si>
  <si>
    <t>Hafiz Muhammad, Awais</t>
  </si>
  <si>
    <t>house no 68ab ideal homes housing society behind pakistan mint baghbanpura lahore</t>
  </si>
  <si>
    <t>Pack of 2 rolex automatic skeleton</t>
  </si>
  <si>
    <t>SAHER, JAVED</t>
  </si>
  <si>
    <t>HOUSE NO 143 D-2 WAPDA TOWN LAHORE</t>
  </si>
  <si>
    <t>Fareed memon</t>
  </si>
  <si>
    <t>Haji Ilyas Sheermal house, opposite broast town main food street hussainabad</t>
  </si>
  <si>
    <t>Sher khan</t>
  </si>
  <si>
    <t>Sher pow coloni nawaz shareef choke hazara milk shop landhi no.22 karachi</t>
  </si>
  <si>
    <t>13/11/2015</t>
  </si>
  <si>
    <t>Pack of 4 watches deals</t>
  </si>
  <si>
    <t>Moiz</t>
  </si>
  <si>
    <t>UMAR, IMTIAZ BHATTI</t>
  </si>
  <si>
    <t>WAPDA TOWN, BLOCK NO.A2, HOUSE NO.157</t>
  </si>
  <si>
    <t>USMAN, KHAN</t>
  </si>
  <si>
    <t>Flat no 04, haroon view Block e north karachi near power chowrangi</t>
  </si>
  <si>
    <t>1 Black WWE hoodies</t>
  </si>
  <si>
    <t>SANA</t>
  </si>
  <si>
    <t>HOUSE NO E41, UNIVERSITY COLONY SARYAB  ROAD QUETTA</t>
  </si>
  <si>
    <t>rex</t>
  </si>
  <si>
    <t>pack of 7 shrugs</t>
  </si>
  <si>
    <t>SHAHZAD NAZIR GILL</t>
  </si>
  <si>
    <t>HOUSE 334 BLOCK B GULSHAN RAVI LAHORE</t>
  </si>
  <si>
    <t>HASSAM, SHEIKH</t>
  </si>
  <si>
    <t>NEW GALA MANDI USMAN TRADE CENTER .SHOP NUMBER 6 MULTAN</t>
  </si>
  <si>
    <t>nadeem ahmed</t>
  </si>
  <si>
    <t>Block 46, sea view appartments GF-1 DHA Karachi</t>
  </si>
  <si>
    <t>Asif Hanif</t>
  </si>
  <si>
    <t>House no A/31 qureshi colony gulbahar karachi</t>
  </si>
  <si>
    <t>syed basit bukhari</t>
  </si>
  <si>
    <t>Jameshad road no.1, mcb bank street near baba arcade al-saba residency 4th floor</t>
  </si>
  <si>
    <t>Asad Nawaz</t>
  </si>
  <si>
    <t>PO 84/9 majeed S.R.E national stadium road dalmia karachi</t>
  </si>
  <si>
    <t>1 smile hoodies</t>
  </si>
  <si>
    <t>JHARNA, MANGWANI</t>
  </si>
  <si>
    <t>HOSTEL 6 ROOM NUMBER 14 CHANDKA MEDICAL COLLEGE LARKANA</t>
  </si>
  <si>
    <t>16/11/2015</t>
  </si>
  <si>
    <t>KAMRAN</t>
  </si>
  <si>
    <t>AWAMI COLONY SADIQABAD</t>
  </si>
  <si>
    <t>sadiqabad</t>
  </si>
  <si>
    <t>Pack of 5 t-shirts</t>
  </si>
  <si>
    <t>AIZAZ, SHAH</t>
  </si>
  <si>
    <t>MOHALLAH GUL BAHAR VILLAGE AND P.O BOX OFFICE SHAIDU DISTRICT NOWSHERA</t>
  </si>
  <si>
    <t>nowshera</t>
  </si>
  <si>
    <t>AHMAD, KHAN</t>
  </si>
  <si>
    <t>MODEL TOWN A, NEAR GULBERG ROAD, HOUSE NUMBER 42 , STREET NUMBER 5 , BAHAWALPUR;</t>
  </si>
  <si>
    <t>bahawalpur</t>
  </si>
  <si>
    <t>abdul, qadir</t>
  </si>
  <si>
    <t>nazimabad 3 no gole market mezan bank wali bulding floor 7 karachi</t>
  </si>
  <si>
    <t>Zaryab</t>
  </si>
  <si>
    <t>sec,35/A B/463 zaman town korangi no.4 karachi</t>
  </si>
  <si>
    <t>Zain, Ud Din</t>
  </si>
  <si>
    <t>450 G Block Gulistan Colony 1 Faisalabad</t>
  </si>
  <si>
    <t>saityala dakhana khaas, tehsil zafar wal, district narowal</t>
  </si>
  <si>
    <t>Narowal</t>
  </si>
  <si>
    <t>HAMZA SHAFIQ</t>
  </si>
  <si>
    <t>Lasania resturant delivered</t>
  </si>
  <si>
    <t xml:space="preserve">One t-shirt John Cena </t>
  </si>
  <si>
    <t>Ahsan</t>
  </si>
  <si>
    <t>ZAIN, ANJUM</t>
  </si>
  <si>
    <t>6-9/313/E1 ALI BAHADUR ROAD</t>
  </si>
  <si>
    <t>WWE hoodies</t>
  </si>
  <si>
    <t>17/11/2015</t>
  </si>
  <si>
    <t>Salman, Ali</t>
  </si>
  <si>
    <t>azim&amp; co chaudry chamber light house karachi</t>
  </si>
  <si>
    <t>Iftikhar, Quadri</t>
  </si>
  <si>
    <t>E-141, Street # 11, Safari Homes Bahria Town. Phase-8</t>
  </si>
  <si>
    <t>winter heart t-shirts</t>
  </si>
  <si>
    <t>mansoor, ahmad</t>
  </si>
  <si>
    <t>abshar colony bangla no 8 kababiaan peshawar</t>
  </si>
  <si>
    <t>Baneen, Kazim</t>
  </si>
  <si>
    <t>B9 AL Batul Square behind kmc market soldier Bazar no 3 Karachi</t>
  </si>
  <si>
    <t>IDREES</t>
  </si>
  <si>
    <t>AL RIHMAN ARKIT FLAT NUM 15, HYDERABAD</t>
  </si>
  <si>
    <t>Samavia, Tariq</t>
  </si>
  <si>
    <t>QAU department of earth sciences Islamabad</t>
  </si>
  <si>
    <t>19/11/2015</t>
  </si>
  <si>
    <t>Nasir, Hussain</t>
  </si>
  <si>
    <t>Media Center Pasbaan Plaza Tehsil Sarai Naurang Distt Lakki Marwat KPK</t>
  </si>
  <si>
    <t>PACK OF 3 plazo</t>
  </si>
  <si>
    <t>azeem, akram</t>
  </si>
  <si>
    <t>4/c bashir street karamabad wahdat road lahore</t>
  </si>
  <si>
    <t>Waqar, Khan</t>
  </si>
  <si>
    <t>Block 22 house 364 tara chand road keamari karachi</t>
  </si>
  <si>
    <t>ADNAN ZAHOOR</t>
  </si>
  <si>
    <t>3475305016; 03325307737</t>
  </si>
  <si>
    <t xml:space="preserve">E-286/c new phagwari satellite town rawalpindi </t>
  </si>
  <si>
    <t>tag 36, hoodies, 1 t-shirts, 5 tights</t>
  </si>
  <si>
    <t>RANA JAFFAR ALI</t>
  </si>
  <si>
    <t>Advocate Chamber no 1 district court khanewal</t>
  </si>
  <si>
    <t>pack of 2 casio beside</t>
  </si>
  <si>
    <t>HOUSE # 986n,STREET 45,BEHRIA PHASE 5,RAWALPINDI</t>
  </si>
  <si>
    <t>Saqib zaman</t>
  </si>
  <si>
    <t>Plot 102, st 7.i-10/3 industrial area islamabad</t>
  </si>
  <si>
    <t>20/11/2015</t>
  </si>
  <si>
    <t>Muhammad Akram</t>
  </si>
  <si>
    <t>D.C. Office Tandoallahyar near SM collage nasirpur road Tandoallahyar</t>
  </si>
  <si>
    <t>Tando Allahyar</t>
  </si>
  <si>
    <t>Pack of 5 tights</t>
  </si>
  <si>
    <t>Talha, Imran</t>
  </si>
  <si>
    <t>House 129 Swabii street lower jinnahabad pma link road jinnahabad</t>
  </si>
  <si>
    <t>wajid khan</t>
  </si>
  <si>
    <t>chak sikander no 30, dinga road kharian nazdek dhoria</t>
  </si>
  <si>
    <t>1 hoodies, 1 trouser</t>
  </si>
  <si>
    <t>gujrat</t>
  </si>
  <si>
    <t>Muzammil, Hussain</t>
  </si>
  <si>
    <t>Zainab Arcade,flat number 405, Block 3, Plot 5, C.P Berar Society, Sharafabad</t>
  </si>
  <si>
    <t>uzair, mateen</t>
  </si>
  <si>
    <t>B-450 gulshan e hadeed phase 2 Karachi</t>
  </si>
  <si>
    <t>ali, akbar</t>
  </si>
  <si>
    <t>B 43 Block 11 gulshan e uqbal nipa karachi</t>
  </si>
  <si>
    <t>FARHAN, QAZI</t>
  </si>
  <si>
    <t>OFFICE 25 BEVERLY CENTRE BLUE AREA ISLAMABAD</t>
  </si>
  <si>
    <t>ARAIB, KHAN</t>
  </si>
  <si>
    <t>HOUSE # 2 STREET # 19A SARFARAZ COLONEY GUJARPURA LAHORE</t>
  </si>
  <si>
    <t>UMAR, HAYAT</t>
  </si>
  <si>
    <t>KASHMIR COLONY A.C.WAH TAXILA RAWALPINDI</t>
  </si>
  <si>
    <t>REHAN, OUXIFA</t>
  </si>
  <si>
    <t>ALLIED SCHOOL BEHIND NEW FAQEER ABAD POLICE STATION</t>
  </si>
  <si>
    <t>momin, ali</t>
  </si>
  <si>
    <t>movach goth man stop #2 tahiri comm near damdastageer kebin baldia town hub river road</t>
  </si>
  <si>
    <t>sindh govt qatar hospital orangi town khi emergency ward mein dressing room</t>
  </si>
  <si>
    <t>1 movado 1 rado</t>
  </si>
  <si>
    <t>Asad</t>
  </si>
  <si>
    <t>naveed, marhaba</t>
  </si>
  <si>
    <t>ajwa uniform near bantwa hospital opp lakhani clinic near hussainia irania imam barga</t>
  </si>
  <si>
    <t>Rolex subminar silver</t>
  </si>
  <si>
    <t>Ayub, khokhar</t>
  </si>
  <si>
    <t>Tawakkal Crockery store Near pathnon wali masjid block no.8</t>
  </si>
  <si>
    <t>okay blue hoodies</t>
  </si>
  <si>
    <t>22/11/2015</t>
  </si>
  <si>
    <t>TALHA LIAQAT</t>
  </si>
  <si>
    <t>DEPALPUR SADAR BAZAR LIAQAT JEWELLERS</t>
  </si>
  <si>
    <t>depalpur</t>
  </si>
  <si>
    <t>SANA ULLAH</t>
  </si>
  <si>
    <t>QUETTA MEKANGI ROAD BALOCHI STRIT</t>
  </si>
  <si>
    <t>pack of 3 shrugs</t>
  </si>
  <si>
    <t>pack of 3 t-shirts y</t>
  </si>
  <si>
    <t>MOIN SHERANI</t>
  </si>
  <si>
    <t>ABDULLAH SHOP OPPOSITE I.T UNIVERSITY JINNAH TOWN QUETTA</t>
  </si>
  <si>
    <t>ABDUL SAMI, KHAN</t>
  </si>
  <si>
    <t>ABDUL SAMI KHAN, NEAR ARMY STADIUM,BRIGADIER NAJAM SHAHEED ROAD, MUZAFFARABAD, AJ&amp;K</t>
  </si>
  <si>
    <t>Muzaffarabad(ak)</t>
  </si>
  <si>
    <t>24/11/2015</t>
  </si>
  <si>
    <t>MUHAMMAD, SHERAZI</t>
  </si>
  <si>
    <t>HOUSE 12/C MEDICAL COLONY BAHAWALPUR</t>
  </si>
  <si>
    <t>SALEH, AHMED</t>
  </si>
  <si>
    <t>HOUSE NO# Z-19 SUGER MILL COLONY LAYYAH</t>
  </si>
  <si>
    <t>layyah</t>
  </si>
  <si>
    <t>CAT hoodies</t>
  </si>
  <si>
    <t>RAJA TASHFEEN, SHARF SHABBIR</t>
  </si>
  <si>
    <t>V.P.O JATLI DISRICT RAWALPINDI TEHSIL GUJAR KHAN</t>
  </si>
  <si>
    <t>MIAN IMRAN, AHMAD</t>
  </si>
  <si>
    <t>MIAN IMRAN AHMAD ASI ADMIN OFFICER POLICE STATION MUGALPURA LAHORE</t>
  </si>
  <si>
    <t>MAQSOOD AHMED</t>
  </si>
  <si>
    <t>MAQSOOD AHMED WAPDA RAILWAY COLONY NEAR GHULAM RASOOL SHAH MOSQUE JACOBABAD</t>
  </si>
  <si>
    <t>JACOBABAD</t>
  </si>
  <si>
    <t>Asif Montina</t>
  </si>
  <si>
    <t>Zainab plaza self delivered</t>
  </si>
  <si>
    <t>25/11/2015</t>
  </si>
  <si>
    <t>Casio beside 1st copy</t>
  </si>
  <si>
    <t>B1, gulshan e amin towers main johar chorangi gulistan-e-johar karachi</t>
  </si>
  <si>
    <t>Customer, 1st copy</t>
  </si>
  <si>
    <t>Pack of 2 curren business watch</t>
  </si>
  <si>
    <t>IMTIAZ AHMED</t>
  </si>
  <si>
    <t>BAHRIA TOWN PHASE 2 KARACHI SUPERHIGHWAY 9 KM TOLL PLAZA.MODEL HAUZ QUAIB BLOCK</t>
  </si>
  <si>
    <t>SAAD, ALI</t>
  </si>
  <si>
    <t>HOUSE 153 BLOCK D PUNJAB HOUSING SOCIETY</t>
  </si>
  <si>
    <t>branded ferreri hoodies</t>
  </si>
  <si>
    <t>MUSA, SAAB</t>
  </si>
  <si>
    <t>MUHALLAH KHALIK NAGAR, BHATTI HOUSE, NEAR PIR SPHAI DARBAR, LAHORE</t>
  </si>
  <si>
    <t>IMRAN, AHMAD</t>
  </si>
  <si>
    <t>HOUSE 11-B, OLD FCC, FEROZEPUR ROAD, LAHORE</t>
  </si>
  <si>
    <t>MAIN ASAD ALI</t>
  </si>
  <si>
    <t>MAIN ASAD ALI BHAKKAR</t>
  </si>
  <si>
    <t>nike hoodies</t>
  </si>
  <si>
    <t>RUBAB</t>
  </si>
  <si>
    <t>MARGHZAR COLONY BLOCK R 36 MULTAN ROAD LAHORE</t>
  </si>
  <si>
    <t>SHOAIB TAQI</t>
  </si>
  <si>
    <t>H # 106-C BLOCK D, UNIT #6, LATIFABAD, HYDERABAD</t>
  </si>
  <si>
    <t>pack of 3 hoodies</t>
  </si>
  <si>
    <t>27/11/2015</t>
  </si>
  <si>
    <t>TARIQ, RASHEED</t>
  </si>
  <si>
    <t>A/904 GULSHAN E HADEED PH1 BIN QASIM</t>
  </si>
  <si>
    <t>FAISAL, SHAMS</t>
  </si>
  <si>
    <t>HOUSE#316 NAQSHBAND COLONY KHANEWAL ROAD MULTAN NEAR BY RUBANIYA MASJID</t>
  </si>
  <si>
    <t>AMMARA, AZHAR</t>
  </si>
  <si>
    <t>CB 129 A NEW GULISTAN COLONY NEAR GANDHARA HOMEOPATHIC MEDICAL COLLEGE P.O TAXILA WAHCANTT</t>
  </si>
  <si>
    <t>MALIK, ZAMURAD</t>
  </si>
  <si>
    <t>HARIPUR MALIKYAR VILLAGE SHOP NOOR MUHAMMAD</t>
  </si>
  <si>
    <t>haripur</t>
  </si>
  <si>
    <t>Danish, Ali</t>
  </si>
  <si>
    <t>NIBD Hospital Street 2/A Block 17 Gulshan e iqbal KDA Scheme 24 , Opp Mashriq Center Neat Faran Club Karachi</t>
  </si>
  <si>
    <t>Muhammad, khalid</t>
  </si>
  <si>
    <t>sector 3 house number L28 north karachi</t>
  </si>
  <si>
    <t>Komal, Ali</t>
  </si>
  <si>
    <t>Dha phase 6 rahat commercial</t>
  </si>
  <si>
    <t>1 hoodie, 1 trouser</t>
  </si>
  <si>
    <t>armash, ashraf</t>
  </si>
  <si>
    <t>102-C,street-27,askari 4</t>
  </si>
  <si>
    <t>Pending new address, call</t>
  </si>
  <si>
    <t>Moosa, Akram</t>
  </si>
  <si>
    <t>plot no 21-C, lane no 2, khayabane shahbaz, phase 6, defence, karachi</t>
  </si>
  <si>
    <t>28/11/2015</t>
  </si>
  <si>
    <t>DILSHAD AKHTAR</t>
  </si>
  <si>
    <t>TEHSEEL ZAFRWAL ZELA NAROWAL POST OFFICE PINDI PORBIAN VILLAGE BOHRI</t>
  </si>
  <si>
    <t>pack of 3 tights</t>
  </si>
  <si>
    <t>MUHAMAD UMAIR</t>
  </si>
  <si>
    <t>WAH BOYS HOSTEL OPPOSITE TO COSMATS WAH CAMPUS, GT ROAD TAXILA</t>
  </si>
  <si>
    <t>BASIT, KHAN</t>
  </si>
  <si>
    <t>H# 169-P GULLBERG III,NEAR GULAB DEVI HOSPITAL, LAHORE</t>
  </si>
  <si>
    <t>IKRAMULLAH KHILJI</t>
  </si>
  <si>
    <t>MANDUKHAILABAD GALI NO 2, HOUSE NO 8 QUETTA</t>
  </si>
  <si>
    <t>ADEEL</t>
  </si>
  <si>
    <t>ST#3 H#37 KOT SHAHB-U-DIN G.T ROAD SHAHDARA LAHORE</t>
  </si>
  <si>
    <t>pack of 4 full sleeves shirts and hoodies</t>
  </si>
  <si>
    <t>SYed, HAsan</t>
  </si>
  <si>
    <t>karachi</t>
  </si>
  <si>
    <t>mubashir</t>
  </si>
  <si>
    <t>curren decent business watch</t>
  </si>
  <si>
    <t>kaymu</t>
  </si>
  <si>
    <t>30/11/2015</t>
  </si>
  <si>
    <t>flat no d18, markez e irfan sec 5c4,north karachi,karachi</t>
  </si>
  <si>
    <t>mohsin, khan</t>
  </si>
  <si>
    <t>house # L-792 sector 34/2 korangi no. 3 karachi</t>
  </si>
  <si>
    <t>chota malir</t>
  </si>
  <si>
    <t>Yaad nai</t>
  </si>
  <si>
    <t>Inshal, Khan</t>
  </si>
  <si>
    <t>A-6 block 2 gulshan e iqbal Karachi, Pakistan.</t>
  </si>
  <si>
    <t>hasasn</t>
  </si>
  <si>
    <t>pack of 4 full sleeve</t>
  </si>
  <si>
    <t>ASIF, SURTY</t>
  </si>
  <si>
    <t>BANGLOW NO#B3 MEMON SOCIETY NEAR QASIMABADHYDERABAD</t>
  </si>
  <si>
    <t>HUSSAIN, FAROOQ</t>
  </si>
  <si>
    <t>KHARIAN CANTT.DEFENCE COLONY, CBKF ,CANTONMENT BOARD FLATS,HOUSE NUMBER 3A,</t>
  </si>
  <si>
    <t>Kharian</t>
  </si>
  <si>
    <t>ABDUL, MUNAM</t>
  </si>
  <si>
    <t>C-58 GULSHAN-E-HADEED PHASE2 BINQASIM KARACHI</t>
  </si>
  <si>
    <t>HAJIRA BIBI</t>
  </si>
  <si>
    <t>HAJIRA BIBI D/O M.JAN GANGU BAHDUR (MOHRA MILYARIAN) TEH TAXILA DIST RAWALPINDI</t>
  </si>
  <si>
    <t>pack of 4 full sleeve shirts</t>
  </si>
  <si>
    <t>SAQIB, ALI</t>
  </si>
  <si>
    <t>SECTOR E/1 HOUSE NO. 4 MIRPUR AZAD KASHMIR</t>
  </si>
  <si>
    <t>ASIF, KHAN</t>
  </si>
  <si>
    <t>HOUSE NO 1152, MANZOOR COLOUNY AIRPORT ROAD KHANPUR</t>
  </si>
  <si>
    <t>khanpur</t>
  </si>
  <si>
    <t>Handmade watch</t>
  </si>
  <si>
    <t>UMAR, SHAHZAD</t>
  </si>
  <si>
    <t>UMAR SHAHZAD, C/O MALIK NIAZ HUSSAIN, TEHSIL OFFICE TALAGANG, DISTT CHAKWAL, PUNJAB, PAKISTAN</t>
  </si>
  <si>
    <t>talagang</t>
  </si>
  <si>
    <t>MIAN ABDUR, REHMAN</t>
  </si>
  <si>
    <t>COMSATS INSTITUTE OF INFORMATION AND TECHNOLOGY ABBOTTABAD CAMPUS,</t>
  </si>
  <si>
    <t>HADEED, MALIK</t>
  </si>
  <si>
    <t>HOUSE #138, ST. #19, FALCON COMPLEX, KRL ROAD</t>
  </si>
  <si>
    <t>SYED NADEEM</t>
  </si>
  <si>
    <t>NEW HINA ELECTRONICS NASEEM CENTER FOJI GALI ROAD HYDERABAD</t>
  </si>
  <si>
    <t>pack of 2 hoodies, 3 shrugs</t>
  </si>
  <si>
    <t>MUHAMMAD QASIM ATTAR</t>
  </si>
  <si>
    <t>DADU DISTRICT GHARIBABAD MUHALLA NEAR WORK SHOP BHURGI STREET</t>
  </si>
  <si>
    <t>dadu</t>
  </si>
  <si>
    <t>AMEER HASSAN</t>
  </si>
  <si>
    <t>HOUSE NO A-73, PHASE 1 QASIMABAD, HYDERABAD</t>
  </si>
  <si>
    <t>MUHAMMAD ISMAIL</t>
  </si>
  <si>
    <t>ROOM NO. 301, PEDO HOUSE 38/B-2 PHASE 5, HAYATABAD PESHAWAR</t>
  </si>
  <si>
    <t>Mishraz, Qureshi</t>
  </si>
  <si>
    <t>Vg2 country club appt ground floor 33 rd street dha phase 5 near Mubarak masjid</t>
  </si>
  <si>
    <t>Rado watch for ladies</t>
  </si>
  <si>
    <t>RAI AZHAR, ABBAS</t>
  </si>
  <si>
    <t>52 L GULBERG 3 NEAR KALMA CHOWK SILK BANK LAHORE</t>
  </si>
  <si>
    <t>FAISAL, MEHMOOD</t>
  </si>
  <si>
    <t>NEW MODEL TOWN GOJRA # HOUSE NO P326</t>
  </si>
  <si>
    <t>gojra</t>
  </si>
  <si>
    <t>SHARJEEL ALI</t>
  </si>
  <si>
    <t>37 LOWER MALL, NEAR SESSION COURT ,FOUNTAIN HOUSE LAHORE</t>
  </si>
  <si>
    <t>HIKMAT, KHAN</t>
  </si>
  <si>
    <t>AL HIKMAT STATIONERY NEAR BLOCK 5 SATELITE TOWN QUETTA</t>
  </si>
  <si>
    <t>ZEESHAN, ASHRAF</t>
  </si>
  <si>
    <t>HOUSE 233 E BLOCK PHASE 6 DHA LAHORE</t>
  </si>
  <si>
    <t>AKHTAR, ZAMAN</t>
  </si>
  <si>
    <t>DIRECTORATE OF PROJECTS, FATA SECRETARIAT, WARSAK ROAD, PESHAWAR - KPK</t>
  </si>
  <si>
    <t>MUNTIHA, IBTIHAJ</t>
  </si>
  <si>
    <t>HOUSE 1059 P BLOCK, SABZAZAR, LAHORE</t>
  </si>
  <si>
    <t>UMER, MUNEER</t>
  </si>
  <si>
    <t>FAISAL TOWN, HAFIZ SUPER STORE DISTRICT SHAKARGARH</t>
  </si>
  <si>
    <t>Syed kumail zaide</t>
  </si>
  <si>
    <t>B-209 Shumail Centre Block 13\E gulshan e Iqbal Karachi. near ST.philps church 13\E Gulshan e Iqbal Karachi.</t>
  </si>
  <si>
    <t>Barcelona Neymar Hoodie</t>
  </si>
  <si>
    <t>munver</t>
  </si>
  <si>
    <t>R-643 block 19 fb area near al-noor hospital khi</t>
  </si>
  <si>
    <t>Usaid, Alam</t>
  </si>
  <si>
    <t>Flat-9, Ittehad Arcade near MCB bank(safoora branch) , SB-31, Block-7, Gulistan-e-jauhar, Karachi.</t>
  </si>
  <si>
    <t>Najam, Noor</t>
  </si>
  <si>
    <t>Flat no. B-1, Mariam Centre, Phase II, Block-H, North Nazimabad, Karachi</t>
  </si>
  <si>
    <t>rolex golden diamond</t>
  </si>
  <si>
    <t>JAWAD HASSAN</t>
  </si>
  <si>
    <t>JAWAD HASSAN S/O M.SAJID MOHALLAH KOT KALLAN NEAR JINNAH PARK PIND DADAN KHAN DISTRICT JHELUM</t>
  </si>
  <si>
    <t>jhelum</t>
  </si>
  <si>
    <t>SIKANDAR ALI</t>
  </si>
  <si>
    <t>BEHAR COLONY KOTRI NEAR T.TC COLLEGE STREET NO 1 HOUSE NO 60 OPPOSITE JEZZ BANK</t>
  </si>
  <si>
    <t>1 hoodies heart, 1 shirts, 1 love watch</t>
  </si>
  <si>
    <t>RIZWAN KHAN</t>
  </si>
  <si>
    <t>FLAT NUMBER N12, SIDDIQUE PLAZA LATIFABAD UNIT NO8 HYD</t>
  </si>
  <si>
    <t>MOHAMMAD, HURAIMA</t>
  </si>
  <si>
    <t>623...F2 JOHAR TOWN..LAHORE.</t>
  </si>
  <si>
    <t>ZUBAIR, SHAHID</t>
  </si>
  <si>
    <t>D-11 COMMERCIAL AREA, NAWAB TOWN, 2-KM RAIWIND ROAD, LAHORE</t>
  </si>
  <si>
    <t>Rolex subminar two tone</t>
  </si>
  <si>
    <t>SAIF UL, ISLAM</t>
  </si>
  <si>
    <t>HOUSE NO 651 ZIMNI STREET NO 6 MODEL TOWN HUMAK ISLAMABAD</t>
  </si>
  <si>
    <t>SAMINA, HAYAT</t>
  </si>
  <si>
    <t>SAMINA HAYAT D/O RAJA MUHAMMAD HAYAT MOHALLA KOTLA SHAH KAMEER PIND DADAN KHAN JHELUM</t>
  </si>
  <si>
    <t>ZAID, MUGHAL</t>
  </si>
  <si>
    <t>EID GAH HOUSE NUMBER 558/2</t>
  </si>
  <si>
    <t>NIDA, SAEED</t>
  </si>
  <si>
    <t>124 V BLOCK PHASE 3 DHA LAHORE</t>
  </si>
  <si>
    <t>ADIL, KHAN</t>
  </si>
  <si>
    <t>SAEED NOOR ABAD, P/O ZAREEN ABAD, DIST CHARSADDA.</t>
  </si>
  <si>
    <t>Charsadda</t>
  </si>
  <si>
    <t>ZAHID, BILAL</t>
  </si>
  <si>
    <t>ZAHID BILAL SR GADOWN INCHARGE DAIMOND FEBRICS LTD. 26KM FAISALABAD ROAD FEROZ WATTOAN SHEIKUPURA.</t>
  </si>
  <si>
    <t>pack of 2 rings</t>
  </si>
  <si>
    <t>Liaquat Ali</t>
  </si>
  <si>
    <t>sultana bad self delivered</t>
  </si>
  <si>
    <t>N/A</t>
  </si>
  <si>
    <t>Marina pride near teen talwar karachi</t>
  </si>
  <si>
    <t>bilal associate near matric board office karachi</t>
  </si>
  <si>
    <t>ahab ali dodani</t>
  </si>
  <si>
    <t>Mumtaz square c-14, ch khaliq uz zaman road block 8 clifton opposite saylani karachi</t>
  </si>
  <si>
    <t>tag 36, hoodies, 1 t-shirts</t>
  </si>
  <si>
    <t>ZEESHAN, DILBAR</t>
  </si>
  <si>
    <t>H/F28 DAWOOD COLONY QAZI ABDUL QAUOOM ROAD GARI KHATA</t>
  </si>
  <si>
    <t>pack of 4 branded full sleeve</t>
  </si>
  <si>
    <t>CH NASAR MEHMOOD</t>
  </si>
  <si>
    <t>VILLAGE:RASOOL PUR , POST OFFICE: HELAN ,TEHSIL:PHALIA, DISTRICT: MANDI BHA UD DIN</t>
  </si>
  <si>
    <t>30/09/2015</t>
  </si>
  <si>
    <t>29/09/2015</t>
  </si>
  <si>
    <t>28/09/2015</t>
  </si>
  <si>
    <t>23/09/2015</t>
  </si>
  <si>
    <t>22/09/2015</t>
  </si>
  <si>
    <t>21/09/2015</t>
  </si>
  <si>
    <t>Row Labels</t>
  </si>
  <si>
    <t>Grand Total</t>
  </si>
  <si>
    <t>Sum of Price</t>
  </si>
  <si>
    <t>UMAR, MALIK</t>
  </si>
  <si>
    <t>73.L BLOCK SABZAZAR LAHORE</t>
  </si>
  <si>
    <t>ALI NAWAZ</t>
  </si>
  <si>
    <t>SAJJAD PRINTERS SAIDPUR ROAD ASGHAR MALL CHOWK RAWALPINDI</t>
  </si>
  <si>
    <t>pack of 3 nike hoodies</t>
  </si>
  <si>
    <t>BASIT, MEHMOOD</t>
  </si>
  <si>
    <t>HOUSE#104, GALI#40, G.10/4 ISLAMABAD</t>
  </si>
  <si>
    <t>ADEEL, PARVEZ</t>
  </si>
  <si>
    <t>HOUSE NUMBER 146 STREET 8 PHASE 2 GULRAIZ HOUSING SCHEME RAWALPINDI</t>
  </si>
  <si>
    <t>DAWOOD, KHAN</t>
  </si>
  <si>
    <t>MADRASSA ROAD HOUSE NUMBER H-2, QUETTA CANTT</t>
  </si>
  <si>
    <t>AATIF KARIM</t>
  </si>
  <si>
    <t>MUFTI MAHMOOD PUBLIC SCHOOL AND COLLEGE NEAR DPO OFFICE DERA ISMAIL KHAN</t>
  </si>
  <si>
    <t>Dera ismail khan</t>
  </si>
  <si>
    <t>AFTAB, KOREJO</t>
  </si>
  <si>
    <t>NEAR TO WAHAB SOOMRO KARYANA STORE AYOOB COLONY NEAR TO DR KHALID MEHOOD MADDRUSSA</t>
  </si>
  <si>
    <t>SHAAM KHAN, QAZI</t>
  </si>
  <si>
    <t>UNIQUE HOSTEL, JHANGIR ABAD, STREET NO 2, PESHAWAR, KPK</t>
  </si>
  <si>
    <t>Ambreen</t>
  </si>
  <si>
    <t>gulistan e jouhar block 18th rabia city block c flat no c/ 2-14</t>
  </si>
  <si>
    <t>pack of 2 hoodies</t>
  </si>
  <si>
    <t>guess rose watch</t>
  </si>
  <si>
    <t>Faraz, Khan</t>
  </si>
  <si>
    <t>Flat # A-112, Decent Garden, University Road, Karachi Opposite Johar Complex</t>
  </si>
  <si>
    <t>JUNAID NADEEM</t>
  </si>
  <si>
    <t>163 B BLOCK WALTON ROAD LAHORE</t>
  </si>
  <si>
    <t>lahore</t>
  </si>
  <si>
    <t>MUHAMMAD, SHAHZAD</t>
  </si>
  <si>
    <t>FIRST CALL TO THE CUSTOMER, KALU KHAN KHAT KALAI MAMA KHEEL</t>
  </si>
  <si>
    <t>swabi</t>
  </si>
  <si>
    <t>pack of 2 wwe hoodies</t>
  </si>
  <si>
    <t>MUHAMMAD, SULEMAN</t>
  </si>
  <si>
    <t>207 SIKANDER BLOCK ALLAMA IQBAL TOWN LAHORE PAKISTAN</t>
  </si>
  <si>
    <t>MIR ZABHIR</t>
  </si>
  <si>
    <t>FIRST CALL TO THE CUSTOMER, DR. KHALID MUHMOOD SOMROO KA MARDSA AYUB COLONY LARKANA</t>
  </si>
  <si>
    <t>QAISER, QURESHI</t>
  </si>
  <si>
    <t>FIRST CALL TO THE CUSTOMER, HNO40/120,ABDULLAHCITY,NASEEMNAGARCHOWK,QASIMABADHYD</t>
  </si>
  <si>
    <t>Umar, Nadeem</t>
  </si>
  <si>
    <t>H-2, shadman town, north nazimabad, karachi,</t>
  </si>
  <si>
    <t>addidas hoodies and sweatpants</t>
  </si>
  <si>
    <t>pump watch</t>
  </si>
  <si>
    <t>15/12/2015</t>
  </si>
  <si>
    <t>Muhammad Ali</t>
  </si>
  <si>
    <t>aijaz, ali</t>
  </si>
  <si>
    <t>office no 101 ist floor ibrahim bhai tower main shahra e faisal karachi</t>
  </si>
  <si>
    <t>Silk Bank site area karachi</t>
  </si>
  <si>
    <t>Johar side</t>
  </si>
  <si>
    <t>Bank Alfalah I.I Chundagri karachi</t>
  </si>
  <si>
    <t>tabish, alvi</t>
  </si>
  <si>
    <t>A218, Block 12, Gulistan-e-Jauhar</t>
  </si>
  <si>
    <t>LAILA, FAISAL</t>
  </si>
  <si>
    <t>MCB/1991,MOHALLAH LINE PARK NEAR MASJID HAYAT UN NABI,CHAKWAL</t>
  </si>
  <si>
    <t>chakwal</t>
  </si>
  <si>
    <t>14/12/2015</t>
  </si>
  <si>
    <t>MOHSIN, ALI</t>
  </si>
  <si>
    <t>HOUSE NO. 02, STREET NO. 09, YOUNSPURA BAGHBAN PURA LAHORE</t>
  </si>
  <si>
    <t>HUMERA, NIZAMANI</t>
  </si>
  <si>
    <t>NIZAMANI MOHLA NEAR POST OFFICE MATLI</t>
  </si>
  <si>
    <t>matli</t>
  </si>
  <si>
    <t>QAISAR, SALEEM</t>
  </si>
  <si>
    <t>248/S-1 QUAID E AZAM INDUSTRIAL ESTATE KOT LAKHPAT LAHORE</t>
  </si>
  <si>
    <t>ring</t>
  </si>
  <si>
    <t>MRS., FAROOQ</t>
  </si>
  <si>
    <t>1304-AMEER PURE GREEN ACERS RIAWIND ROAD LAHORE</t>
  </si>
  <si>
    <t>ARHAM, KAZI</t>
  </si>
  <si>
    <t>HOUSE # 6, BLOCK H-3, WAPDA TOWN, LAHORE, PUNJAB, PAKISTAN</t>
  </si>
  <si>
    <t>WWE hoodies Cangro</t>
  </si>
  <si>
    <t>NAEEM, SHAHID</t>
  </si>
  <si>
    <t>SHAHID&amp;SONS; LEASING CENTRE PHANDU ROAD SHAHEED ABAD PESHAWAR</t>
  </si>
  <si>
    <t>puma hoodies</t>
  </si>
  <si>
    <t>flat no 22 4th floor block 7 zeenat square fc area karachi</t>
  </si>
  <si>
    <t>zeenat appartment</t>
  </si>
  <si>
    <t>Samreen, Ahmed</t>
  </si>
  <si>
    <t>D-162, Block-7, Gulshan-e-Iqbal, Karachi</t>
  </si>
  <si>
    <t>Hoodies and sweatpant deal</t>
  </si>
  <si>
    <t>ahsan, ali</t>
  </si>
  <si>
    <t>HOUSE NO:R320 sec 15 A 5 buffer zone karachi</t>
  </si>
  <si>
    <t>imran</t>
  </si>
  <si>
    <t>House A-558, block 3 gulshan-e-iqbal near KDA market karachi</t>
  </si>
  <si>
    <t>hoodies, t-shirts, tag 36</t>
  </si>
  <si>
    <t>saad khan</t>
  </si>
  <si>
    <t>251-E market block 6 p.e.c.h.s karachi near aqsa masjid</t>
  </si>
  <si>
    <t>YAHYA, AMIN KHAN</t>
  </si>
  <si>
    <t>CALL TO THE CUSTOMER, CHAMKANI POLICE STATION PESHAWAR</t>
  </si>
  <si>
    <t>16/12/2015</t>
  </si>
  <si>
    <t>9 Plain Hoodies</t>
  </si>
  <si>
    <t>Bumzee Disco bakery karachi</t>
  </si>
  <si>
    <t>Raheel</t>
  </si>
  <si>
    <t>17/12/2015</t>
  </si>
  <si>
    <t>G104, Chapal Beach Luxury Apartments Clifton Block 4</t>
  </si>
  <si>
    <t>umair tariq</t>
  </si>
  <si>
    <t>manzoor ahmed</t>
  </si>
  <si>
    <t>393 E 2 block wapda town lahore</t>
  </si>
  <si>
    <t>NABI, SAFI</t>
  </si>
  <si>
    <t>malakand</t>
  </si>
  <si>
    <t>Call To the customer, chakdara district dir lower kpk</t>
  </si>
  <si>
    <t>SULEMAN IQRAR ABBASI</t>
  </si>
  <si>
    <t>House no 10-A main double road F10/3 islamabad</t>
  </si>
  <si>
    <t>Huzaifa, Zahid</t>
  </si>
  <si>
    <t>House No. A-23, Street # 40, G-7/4, Islamabad</t>
  </si>
  <si>
    <t>wwe hoodies</t>
  </si>
  <si>
    <t>Waleed, Khan</t>
  </si>
  <si>
    <t>Karachi north nazimabad block g Hyderi ali daulat square gate 4 flat 159 1st floor</t>
  </si>
  <si>
    <t>shahid, malik</t>
  </si>
  <si>
    <t>al imran mobile shop garh more p/o garh maharaja teh ahmed pur sial distt jhang</t>
  </si>
  <si>
    <t>jhang</t>
  </si>
  <si>
    <t>Muhammad, Taha</t>
  </si>
  <si>
    <t>A-262, Street 11, Block 'N', North Nazimabad, Karachi, Sindh</t>
  </si>
  <si>
    <t>Hussain, Saifuddin</t>
  </si>
  <si>
    <t>ShabbirAbad A block. Opposite baloch colony pull. Jamila Mansion FLAT NO. 4. Near Burhani Masjid</t>
  </si>
  <si>
    <t>SUDAIS, KHAN</t>
  </si>
  <si>
    <t>ZAMZAMSUPERSTORE MINIPLAZA GTROAD KAMRA</t>
  </si>
  <si>
    <t>kamra</t>
  </si>
  <si>
    <t>22/12/2015</t>
  </si>
  <si>
    <t>DAWOOD, SATTAR</t>
  </si>
  <si>
    <t>32-A SALLI TOWN HARBANSPURA ROAD LAHORE</t>
  </si>
  <si>
    <t>SAOOD, BAIG</t>
  </si>
  <si>
    <t>HOUSE # 87 ST # 2 MOHALLAH BHOTTO COLONY SHAHDARAH LAHORE</t>
  </si>
  <si>
    <t>MOHSIN, JAHANGIR</t>
  </si>
  <si>
    <t>FIRST CALL TO THE CUSTOMER, SHAMI ROAD ,STREET NO 2, NEAR MALL PARK NONE</t>
  </si>
  <si>
    <t>FARHAN, SHAIKH</t>
  </si>
  <si>
    <t>ADAMJEE LIFE INSURANCE CO. LTD. MAIN BRANCH TILAK INCLINE ROAD, HYDERABAD</t>
  </si>
  <si>
    <t>ARSLAN, AHMAD</t>
  </si>
  <si>
    <t>FIRST CALL TO THE CUSTOMER, H# 05, STR 01, MOHALLAH RAJGAAN TARLAI KALAN ISLAMABAD</t>
  </si>
  <si>
    <t>SHAFFAN, AAMIR</t>
  </si>
  <si>
    <t>388 B CANAL VIEW HOUSING SOCIETY LAHORE</t>
  </si>
  <si>
    <t>HAMZA, MEHMOOD</t>
  </si>
  <si>
    <t>NISHAT COLONY, CINEMA STOP, HOUSE NO. E-1545/2 , STREET NO. 6, LAHORE CANTT.</t>
  </si>
  <si>
    <t>REHAN AHMED, KHAN</t>
  </si>
  <si>
    <t>REHAN ELECTRONICS BASEMENT AL SADIQUE CENTER 30 HALL ROAD LAHORE</t>
  </si>
  <si>
    <t>rado jublie mesh watch</t>
  </si>
  <si>
    <t>a 209 zamanabad landhi 4</t>
  </si>
  <si>
    <t>aabira, tahir</t>
  </si>
  <si>
    <t>Abdul, Rehman</t>
  </si>
  <si>
    <t>Soldier Bazar,Doli Khata,Mughal Chamber Flat No # 31</t>
  </si>
  <si>
    <t>Mohammad, Basim</t>
  </si>
  <si>
    <t>Spencer eye hospital quater block b 44/5 Karachi</t>
  </si>
  <si>
    <t>Count of Location</t>
  </si>
  <si>
    <t>JIBRAN, AMANULLAH</t>
  </si>
  <si>
    <t>14A SHADMAN LINK ROAD HUSSAIN STREET LAHORE</t>
  </si>
  <si>
    <t>26/12/2015</t>
  </si>
  <si>
    <t>AZAN, ALI</t>
  </si>
  <si>
    <t>HOUSE NO 681, MEMON CITY NEAR CITY SCHOOL MAIN BRANCH QASIMABAD,HYDERABAD LEFT SIDE THIRD STREET,DARK BROWN GATE</t>
  </si>
  <si>
    <t>tag heuer calibre 17</t>
  </si>
  <si>
    <t>HASHIR, AHMAD</t>
  </si>
  <si>
    <t>HOUSE NO 1 STREET 29B, SECTOR E PHASE 8 BAHRIA TOWN RAWALPINDI</t>
  </si>
  <si>
    <t>tag heuer calibre 36</t>
  </si>
  <si>
    <t>SHAHAB, KHAN</t>
  </si>
  <si>
    <t>CALL TO THE CUSTOMER, MARDAN</t>
  </si>
  <si>
    <t>mardan</t>
  </si>
  <si>
    <t>JAMSHAID, BADSHAH</t>
  </si>
  <si>
    <t>FIRST CALL TO THE CUSTOMER, NAWAY KALAY HANGU ROAD KOHAT</t>
  </si>
  <si>
    <t>IMAD, KHAN</t>
  </si>
  <si>
    <t>SWAT TYRE AND RUBBER CO (PVT) LTD 57 INDUSTRIAL ESTATE JAMRUD ROAD PESHAWAR</t>
  </si>
  <si>
    <t>HAMAD, JAANI</t>
  </si>
  <si>
    <t>PLADER LANE,TELENOR FRANCHISE ATTOCK, ATTOCK</t>
  </si>
  <si>
    <t>attock</t>
  </si>
  <si>
    <t>ZAFAR HAYAT</t>
  </si>
  <si>
    <t>BOYS HOSTEL UNIVERSITY OF BALOCHISTAN BLOCK 4 ROOM NUMBER 11.SRYAB ROAD QUETTA</t>
  </si>
  <si>
    <t>USAMA, ASJED</t>
  </si>
  <si>
    <t>HOUSE 509/1, STREET 23/1, Z BLOCK PHASE 3 DHA LAHORE</t>
  </si>
  <si>
    <t>Batman and superman hoodies</t>
  </si>
  <si>
    <t>HOUSE NO 115, STREET NO 2, SECTOR N2, PHASE 4, HAYATABAD PESHAWAR</t>
  </si>
  <si>
    <t>JIBRAN</t>
  </si>
  <si>
    <t>SHUMAILA, KANWAL</t>
  </si>
  <si>
    <t>HOUSE NO: M-577, STREET NO: 1, AMARPURA, RAWALPINDI</t>
  </si>
  <si>
    <t>M JIBRAN, KALHORO</t>
  </si>
  <si>
    <t>EID GAH MOHALA,DOCTOR MUJEEB'S CLINIC,RADHAN STATION,TALUKA MEHAR,DISST:DADU</t>
  </si>
  <si>
    <t>puma watch</t>
  </si>
  <si>
    <t>YASIR ALI</t>
  </si>
  <si>
    <t>HOUSE NO 15, STREET 38, BLOCK Z NST, SARGODHA</t>
  </si>
  <si>
    <t>3 rings</t>
  </si>
  <si>
    <t>pack of 3plazo</t>
  </si>
  <si>
    <t>KAISER</t>
  </si>
  <si>
    <t>FIRST CALL TO THE CUSTOMER, KOHAT</t>
  </si>
  <si>
    <t>Blue hoodies</t>
  </si>
  <si>
    <t>SYED QASIM ALI, SHAH</t>
  </si>
  <si>
    <t>ASKARI BANK LTD,MAIN BRANCH,PESHAWAR CANTT.PESHAWAR.</t>
  </si>
  <si>
    <t>CANIF, JAMAL</t>
  </si>
  <si>
    <t>GULBERG 3 FERDOUSE MARKET,MODEL COLONY STREET#2 HOUSE#77</t>
  </si>
  <si>
    <t>Mustafa, Iqbal</t>
  </si>
  <si>
    <t>23-k,K -Market, Block 6, PECHS, Karachi near greenwich school</t>
  </si>
  <si>
    <t>bilal, azhar</t>
  </si>
  <si>
    <t>Street 7a su 122 near millenium mall karachi askari 4</t>
  </si>
  <si>
    <t>Agha, Ismael</t>
  </si>
  <si>
    <t>khayaban-e-Rahat, commercial area,DHA Karachi,Lane 1, house no 3/1</t>
  </si>
  <si>
    <t>Abdullah, Afzaal</t>
  </si>
  <si>
    <t>R 157. Block 16, F.B Area</t>
  </si>
  <si>
    <t>Pack of 5 half sleeve t-shirts</t>
  </si>
  <si>
    <t>Aamir</t>
  </si>
  <si>
    <t>House no 201/1, street 27, phase 8 khayaban qasim karachi</t>
  </si>
  <si>
    <t>ASIF</t>
  </si>
  <si>
    <t>SHANDAR GARMENTS OLD POST OFFICE MARKET LIAQUAT PUR DISTRICT RAHIM YAR KHAN</t>
  </si>
  <si>
    <t>rahim yar khan</t>
  </si>
  <si>
    <t>pack of 3 shrugs, 3 plazo, 3 tights</t>
  </si>
  <si>
    <t>NAZIM HUSSAIN</t>
  </si>
  <si>
    <t>CALL TO THE CUSTOMER, BALOCHISTAN MEDICIAL STORE JEWAANI DISTRICT GAWADAR</t>
  </si>
  <si>
    <t>gawadar</t>
  </si>
  <si>
    <t>1 love watch, 1 flower watch in brown</t>
  </si>
  <si>
    <t>AYAN ALI</t>
  </si>
  <si>
    <t>HOUSE NO 533, STREET 8, AA PHASE 4 DHA LAHORE</t>
  </si>
  <si>
    <t>TANIA, SHER</t>
  </si>
  <si>
    <t>H453 M MAIN DOUBLE ROAD G11/3 ISB</t>
  </si>
  <si>
    <t>BILAL, KHAN</t>
  </si>
  <si>
    <t>HOUSE#965 STREET#8 UMAR BLOCK B BAHRIA TOWN</t>
  </si>
  <si>
    <t>WAQAR, ALI</t>
  </si>
  <si>
    <t>HOUSE NO 401D STREET 2 NEAR MUNAWAR SHAH SAHIB RESIDENCY LOWER CHATTER, MUZAFFARABAD AK</t>
  </si>
  <si>
    <t>combo pink hoodies and sweatpant</t>
  </si>
  <si>
    <t>MUHAMMAD SHAHZAD, AMEEN</t>
  </si>
  <si>
    <t>HOUSE NO 18 NEW CENTRAL JAIL STAFF COLONY BAHAWALPUR</t>
  </si>
  <si>
    <t>TAHIR, ANSARI</t>
  </si>
  <si>
    <t>FIRST CALL TO THE CUSTOMER, PHOOL NAGAR SHER PUR ROAD</t>
  </si>
  <si>
    <t>Bhai pheru</t>
  </si>
  <si>
    <t>ABDUR, REHMAN</t>
  </si>
  <si>
    <t>ISLAMABAD PWD HOUSING SOCIETY, STREET: 17 BLOCK:C HOUSE NO:17</t>
  </si>
  <si>
    <t>IHTESHAM, KHAN</t>
  </si>
  <si>
    <t>FIRST CALL TO THE CUSTOMER, WENSAM COLLEGE D.I.KHAN HOSTEL NO:1</t>
  </si>
  <si>
    <t>Shaista, Perveen</t>
  </si>
  <si>
    <t>A-629,2nd floor, block L', street 4th,North Nazimabad,Karachi</t>
  </si>
  <si>
    <t>MAJID, MALIK</t>
  </si>
  <si>
    <t>HOUSE 195 CC SECTOR D BAHRIA TOWN LAHORE</t>
  </si>
  <si>
    <t>pack of 5 super hero t-shirts</t>
  </si>
  <si>
    <t>Haroon khan</t>
  </si>
  <si>
    <t>pack of 2 black edifice in leather</t>
  </si>
  <si>
    <t>HOUSE 97, STREET 12, SECTOR F8, PHASE 6 HAYATABAD PESHAWAR</t>
  </si>
  <si>
    <t>RAEES, KHAN</t>
  </si>
  <si>
    <t>First Call to the customer, zafar park batkhela malakand agency Self collection</t>
  </si>
  <si>
    <t>UBEDULLAH ABBASI</t>
  </si>
  <si>
    <t xml:space="preserve">First Call to the customer, Zila shikarpur taluka lakhi town rustam Abbasi shop rustam s keepar ka </t>
  </si>
  <si>
    <t>13/1/2016</t>
  </si>
  <si>
    <t>Aftab, Arain</t>
  </si>
  <si>
    <t>plot no 35 street no 2 javed behria co-operative housing society hawks bay road khi</t>
  </si>
  <si>
    <t>Mahnoor, Junejo</t>
  </si>
  <si>
    <t>Karachi,malir cantt Askari 5 st#7 house no#495</t>
  </si>
  <si>
    <t>Ane</t>
  </si>
  <si>
    <t>n/A</t>
  </si>
  <si>
    <t>1 jeans, 2 german flag t-shirt, 1 trouser</t>
  </si>
  <si>
    <t>16/1/2016</t>
  </si>
  <si>
    <t>Cost</t>
  </si>
  <si>
    <t>Leopard Charges</t>
  </si>
  <si>
    <t>Kaymu Commission</t>
  </si>
  <si>
    <t>N.Profit</t>
  </si>
  <si>
    <t>14/1/2016</t>
  </si>
  <si>
    <t>SYED ASIF, HUSSAIN KAZMI</t>
  </si>
  <si>
    <t>H.055 MOHALLAH SAWAN CAMP MODEL TOWN HUMAK ISLAMABAD</t>
  </si>
  <si>
    <t>HARIS, KORAI</t>
  </si>
  <si>
    <t>PANO AKIL, NEAR DR MUMTAZ BLO HOUSE ON SADHOJA BUS STOP</t>
  </si>
  <si>
    <t>Pano Akil</t>
  </si>
  <si>
    <t>Tag Heuer 36</t>
  </si>
  <si>
    <t>ZAHIR</t>
  </si>
  <si>
    <t>MIAN OIL STORE MUSLIM CHOWK GREEN TOWN LAHORE</t>
  </si>
  <si>
    <t>pack of 2 sweatpant</t>
  </si>
  <si>
    <t>GHAZALA, FARHAN</t>
  </si>
  <si>
    <t>58-A KHADIM HUSSAIN ROAD NEAR ADDITIONAL I.G OFFICE LALKURTI RAWALPINDI CANTT</t>
  </si>
  <si>
    <t>House no A-418, saadi town block 4 near malir cantt karachi</t>
  </si>
  <si>
    <t>Muzafar Ali Mughal</t>
  </si>
  <si>
    <t xml:space="preserve">Casio Edifice watch </t>
  </si>
  <si>
    <t>17/1/2016</t>
  </si>
  <si>
    <t>Sarfaraz</t>
  </si>
  <si>
    <t>R-9, St 8, shadman town sector 14B karachi</t>
  </si>
  <si>
    <t>Pack of 2 Y neck t-shirts</t>
  </si>
  <si>
    <t>18/1/2016</t>
  </si>
  <si>
    <t>SIKANDER, SUBHANI</t>
  </si>
  <si>
    <t>HOUSE NO 48 JAVAID AHMED SHERAZ ROAD THIRD ROUND ABOUT SAMNABAD LAHORE</t>
  </si>
  <si>
    <t>WWE hoodies, smile face</t>
  </si>
  <si>
    <t>MINAL, WAQAR</t>
  </si>
  <si>
    <t>HOUSE NO 300 BLOCK A2, WAPDA TOWN GUJRANWALA</t>
  </si>
  <si>
    <t>ZAHRA, AGHA</t>
  </si>
  <si>
    <t>HOUSE#43, STREET#23,RIVER GARDEN , ISLAMABAD</t>
  </si>
  <si>
    <t>Syed Tabish iftikhar</t>
  </si>
  <si>
    <t>19/1/2016</t>
  </si>
  <si>
    <t>R247 block 20 fb area karachi near khoinoor sweets</t>
  </si>
  <si>
    <t>Final Result</t>
  </si>
  <si>
    <t>20/1/2016</t>
  </si>
  <si>
    <t>SHOAIB</t>
  </si>
  <si>
    <t>FIRST CALL TO THE CUSTOMER, GOGDARA SWAT MOHALA SAYAD ABAD NAME SHOAIB, FATHERNAME SUFAID GUL</t>
  </si>
  <si>
    <t>Mingora swat</t>
  </si>
  <si>
    <t>QAISAR, ABBAS GUJAR</t>
  </si>
  <si>
    <t>HOUSE NO. 159 SIDE DOOR UMAR PARK NEAR 47 NB</t>
  </si>
  <si>
    <t>rolex subminer golden</t>
  </si>
  <si>
    <t>UXAMA, MALIK</t>
  </si>
  <si>
    <t>430/A PEOPLE COLONY NO 2 ,BABAR CHOWK ,FSD</t>
  </si>
  <si>
    <t>FOZIA, UROOJE</t>
  </si>
  <si>
    <t>BASHIR AHMAD IQBAL STREET 15 HOUSE 99 MAHJIR COLONY SADIQ ABAD</t>
  </si>
  <si>
    <t>MOHSIN JAVAID</t>
  </si>
  <si>
    <t>MOHSIN JAVAID OFFICERS MESS, PAF CAMP BADABER PESHAWAR</t>
  </si>
  <si>
    <t>Nazeer hussain hospital destagir karachi</t>
  </si>
  <si>
    <t>ASAD, SHAIKH</t>
  </si>
  <si>
    <t>DUBAI SUPAR STORE,THATTA MAKLI SOCIETY</t>
  </si>
  <si>
    <t>thatha</t>
  </si>
  <si>
    <t>21/1/2016</t>
  </si>
  <si>
    <t>MALIK, ZEESHAN</t>
  </si>
  <si>
    <t>FIRST CALL TO THE CUSTOMER, DISTRIC:MAINWALI TASEEL:HARNOLI:MALIK IHSAN</t>
  </si>
  <si>
    <t>Mianwali</t>
  </si>
  <si>
    <t>HASEEB, ASHFAQ</t>
  </si>
  <si>
    <t>FIRST CALL TO THE CUSTOMER, LUMS M2 HOSTEL LAHORE</t>
  </si>
  <si>
    <t>Tissot master version</t>
  </si>
  <si>
    <t>Nisar Alam</t>
  </si>
  <si>
    <t>Bilal Masjid orangi town no 1 karachi</t>
  </si>
  <si>
    <t>Ring</t>
  </si>
  <si>
    <t>QATADA, TARIQ</t>
  </si>
  <si>
    <t>A-16 Rafa-e-aam society Malir Halt Karachi</t>
  </si>
  <si>
    <t>Pack of 2 Cotton Jeans</t>
  </si>
  <si>
    <t>M.waqas</t>
  </si>
  <si>
    <t>Plot no 89 e market mahmoodabad near iqsa masjid behind leopard P.e.c.h.s khi</t>
  </si>
  <si>
    <t>22/1/2016</t>
  </si>
  <si>
    <t>Head Phone For pc</t>
  </si>
  <si>
    <t>PC</t>
  </si>
  <si>
    <t>23/1/2016</t>
  </si>
  <si>
    <t>SZABIST SACHAL COLONY LARKANA</t>
  </si>
  <si>
    <t>SYED ROOULLAH SHAH</t>
  </si>
  <si>
    <t>NAZIR HUSSAIN SHAH</t>
  </si>
  <si>
    <t>FIRST CALL TO THE CUSTOMER, CITY MIANWALI WANDI GUNS WALI MUHALLAH SYEDAN WALA NEAR JAMA MASJID SAYDAN WALI</t>
  </si>
  <si>
    <t>Pack of 4 shrugs</t>
  </si>
  <si>
    <t>25/1/2016</t>
  </si>
  <si>
    <t>ZIA KHAN</t>
  </si>
  <si>
    <t>FIRST CALL TO THE CUSTOMER, PESHAWAR DURANPOOR OPF COLONY</t>
  </si>
  <si>
    <t>Pack of CAT Hoodies,T-shirts,Sweatpant</t>
  </si>
  <si>
    <t>IRSHAD ALI</t>
  </si>
  <si>
    <t>BANK ALFALAH SABZI MANDI BRANCH FAISALABAD</t>
  </si>
  <si>
    <t>Pack of 4 puma t-shirts</t>
  </si>
  <si>
    <t>MALIK SHAHNAWAZ HAIDER</t>
  </si>
  <si>
    <t>MALIK SHAHNAWAZ HAIDER, SABZI MANDI KARYANA MARKET ELLABABAD DISTRICT KASUR, TEHSEEL: CHUNIAN</t>
  </si>
  <si>
    <t>Pack of 10 shrugs</t>
  </si>
  <si>
    <t>Ibrahim, lodhi</t>
  </si>
  <si>
    <t>Karachi defence phase#8 khe bane iqbal 19 street house no 212</t>
  </si>
  <si>
    <t>Guess Cheetah Watch For Women</t>
  </si>
  <si>
    <t>26/1/2016</t>
  </si>
  <si>
    <t>imran, ansar</t>
  </si>
  <si>
    <t>Near UBL Bank Boultan Market karachi</t>
  </si>
  <si>
    <t>Pink Love Watch</t>
  </si>
  <si>
    <t>FIRST CALL TO THE CUSTOMER, FOOD STREET NEAR BADSHAHI MASJID</t>
  </si>
  <si>
    <t>SARAH</t>
  </si>
  <si>
    <t>27/1/2016</t>
  </si>
  <si>
    <t>Tag Heuer 2000 watch</t>
  </si>
  <si>
    <t>Curren Date and time watch</t>
  </si>
  <si>
    <t>SANJ MEDICAL STORE BANA PLAZA JANNAT BAZAAR GWADAR</t>
  </si>
  <si>
    <t>ZUBAIR, AHMAD</t>
  </si>
  <si>
    <t>CH, ZUBAIR</t>
  </si>
  <si>
    <t>FIRST CALL TO THE CUSTOMER, BEHIND GIRLS HIGH SCHOOL WARD NO #4 NOHALLA SARRAY SHOR KOT CITY</t>
  </si>
  <si>
    <t>Chicha watni</t>
  </si>
  <si>
    <t>29/1/2016</t>
  </si>
  <si>
    <t>White love watch</t>
  </si>
  <si>
    <t>Fan CNG pump nazimabad 4 karachi</t>
  </si>
  <si>
    <t>Taha</t>
  </si>
  <si>
    <t>30/1/2016</t>
  </si>
  <si>
    <t>A-131/, K.D.A, Officers housing society( behind national stadium)</t>
  </si>
  <si>
    <t>Maria Uzair</t>
  </si>
  <si>
    <t>URUT-1 CONTROL ROOM, ENGRO FERTILIZERS LTD DAHARKI</t>
  </si>
  <si>
    <t>TALLAT, HUSSAIN</t>
  </si>
  <si>
    <t>Black CAT hoodies</t>
  </si>
  <si>
    <t>H#12, ST#17, SEC F PHASE 2, DHA ISLAMABAD</t>
  </si>
  <si>
    <t>FAHAD, CHEEMA</t>
  </si>
  <si>
    <t>ZARTASHIA, RANA</t>
  </si>
  <si>
    <t>FIRST CALL TO THE CUSTOMER, QILA DIDAR SINGH MOHALA TOHEED PURA GALI MARHOOM RANA MASTER WAZEER WALI HOUSE OF RANA ABDUL SAMAD.</t>
  </si>
  <si>
    <t>Pack of 2 Heart and minos cartoon printed half t-shirts for ladies</t>
  </si>
  <si>
    <t>ADEELA, ARSHAD</t>
  </si>
  <si>
    <t>HOUSE#553FATEH SHER COLNY SAHIWAL NAZAD TAYYBA MASJID AND DOCTOR REEHAN WASIM</t>
  </si>
  <si>
    <t>Sahiwal</t>
  </si>
  <si>
    <t>Rado Jubile Silky Black Chain Watch</t>
  </si>
  <si>
    <t>Saffad, Akram</t>
  </si>
  <si>
    <t>The Tomb of Quaid-e-azam karachi</t>
  </si>
  <si>
    <t>2 Casio, 1 Rado, 1 addidas 1 reebook sweatpant</t>
  </si>
  <si>
    <t>31/1/2016</t>
  </si>
  <si>
    <t>MAMA hotel, Muhajir Camp no 6 baldia town karachi</t>
  </si>
  <si>
    <t>M.Hanif</t>
  </si>
  <si>
    <t>5 shrugs, 5 tights</t>
  </si>
  <si>
    <t>Tissot Golden Dial and Rolex Subminar Golden</t>
  </si>
  <si>
    <t>karachi king T-shirt Full sleeve</t>
  </si>
  <si>
    <t>shoaib, shahid</t>
  </si>
  <si>
    <t>pakistan karachi porana golimar mistre khan village house no.82</t>
  </si>
  <si>
    <t>waleed, khan</t>
  </si>
  <si>
    <t>A58-block8,mukka chock,F.B area karachi</t>
  </si>
  <si>
    <t>B1/21 Shehron Square sheikh Zaid karachi</t>
  </si>
  <si>
    <t>SHUMAYL, SALEEM</t>
  </si>
  <si>
    <t>ROOTS SCHOOL SYSTEM 74 HARLEY STREET, NEAR CHRISTIAN GRAVEYARD, RAWALPINDI</t>
  </si>
  <si>
    <t>ERUM, MEHMOOD</t>
  </si>
  <si>
    <t>(PLEASE DELIVER IT AFTER 3PM)  BAIT E SADA COLONY,STREET#3, LANE #1, HOUSE #B13, MISRIAL ROAD RWP</t>
  </si>
  <si>
    <t>BILAL, HAMZA</t>
  </si>
  <si>
    <t>327-E,LANE NO.9,PUNJAB HOUSING SOCIETY,GHAZI ROAD,DEFENCE</t>
  </si>
  <si>
    <t>MALIK SHEHBAZ</t>
  </si>
  <si>
    <t>HOUSE NO 11, GALI NUMBER 51, MUHALLA ISLAMABAD COLONY SAMNABAD LAHORE</t>
  </si>
  <si>
    <t>MISS SHAGUFTA KHAN</t>
  </si>
  <si>
    <t>THE CITEZEN FOUNDATION SECONDARY SHAIDU NOWSHERA KPK</t>
  </si>
  <si>
    <t>pack of 6 shrugs</t>
  </si>
  <si>
    <t>EHTASHAM, ALI SHAH</t>
  </si>
  <si>
    <t>GULSHAN FAREED COLLONY STREET #2, PAKPATTAN</t>
  </si>
  <si>
    <t>Peshawar Zalmi yellow t-shirts</t>
  </si>
  <si>
    <t>IMAN IMPEX OPPOSITE NAZIM IMRAN MAJEED KHAN HOUSE LALAZAR ROAD SCHEME NO 2 Y BLOCK PEOPLE'S COLONY GUJRANWALA</t>
  </si>
  <si>
    <t>Guest Wirst Watch</t>
  </si>
  <si>
    <t>MUDASSAR, ALI</t>
  </si>
  <si>
    <t>CHAK # 338 JB NIA LAHORE JHNAG ROAD, COCA COLA AJANCI, TEHSIL GOJRA DISST TOBA TEK SINGH</t>
  </si>
  <si>
    <t>H # 44, GREEN PARK SOCIETY, K.B TOWN, CANTT, LAHORE</t>
  </si>
  <si>
    <t>Zeeshan</t>
  </si>
  <si>
    <t>Pack of 4 PSL T-shirts</t>
  </si>
  <si>
    <t>r755 shareef abad near faizan e jamal masjid</t>
  </si>
  <si>
    <t>pack of 2 LED NIKE watches, tag 36</t>
  </si>
  <si>
    <t>SALMAN, TARIQ</t>
  </si>
  <si>
    <t>E-9/8-5-A ZAMAN COLONY ABID ROAD WALTON ROAD LAHORE CANTT</t>
  </si>
  <si>
    <t>Casio Beside in Brown</t>
  </si>
  <si>
    <t>HASSAN, BUTT</t>
  </si>
  <si>
    <t>HOUSE NO 6,BANGLOW NO 10,OLD CIVIL LINE,SARGODHA</t>
  </si>
  <si>
    <t>G - 216 BANK STREET MIANWALI</t>
  </si>
  <si>
    <t>ZAIN, TARIQ</t>
  </si>
  <si>
    <t>SHEIKH RIZWAN</t>
  </si>
  <si>
    <t>SHOP 17, AL KARIM PLAZA GROUND FLOOR CIRCULAR ROAD BAHAWALPUR</t>
  </si>
  <si>
    <t>Karachi king and peshawar zelmi t-shirts</t>
  </si>
  <si>
    <t>HASAAN, ALI</t>
  </si>
  <si>
    <t>P 154 REHMANIA TOWN FSD</t>
  </si>
  <si>
    <t>Cookie Monster T-shirt for Men</t>
  </si>
  <si>
    <t>ADNAN, SAEED</t>
  </si>
  <si>
    <t>HOUSE # 82-A, STREET # 06, FAISAL COLONY CHAKLALA, RAWALPINDI</t>
  </si>
  <si>
    <t>HAFIZ GHULAM ABBAS</t>
  </si>
  <si>
    <t>153B PCSIR MAIN COLLAGE ROAD TOWNSHIP LAHORE</t>
  </si>
  <si>
    <t>pack of 4 colar t-shirts</t>
  </si>
  <si>
    <t>Customer</t>
  </si>
  <si>
    <t>Flat 104, A1 rabi app 13D2 khi</t>
  </si>
  <si>
    <t>pack of 2 geneva</t>
  </si>
  <si>
    <t>Mame</t>
  </si>
  <si>
    <t>R203, block 11 village town karachi</t>
  </si>
  <si>
    <t>Combo deal, 1 shirt, addidas hoodies, LED Nike and Rado Watch</t>
  </si>
  <si>
    <t>Sidbad Park Nipa karachi</t>
  </si>
  <si>
    <t>UMAIS, WAQAR</t>
  </si>
  <si>
    <t>HOUSE NO 168 STREET NO 2A JABAR REHMATABAD COLONY CHAKLALA SCHEM 3 RAWALPINDI</t>
  </si>
  <si>
    <t>SAJID BHATTI</t>
  </si>
  <si>
    <t>M.ARIF MEDICOSE MARKET ROAD NO.2, NAWABSHAH</t>
  </si>
  <si>
    <t>nawabshah</t>
  </si>
  <si>
    <t>karachi and peshawar PSL t-shirts</t>
  </si>
  <si>
    <t>12 I LAYS STREET, FAIZ ROAD, OLD MUSLIM TOWN , LAHORE</t>
  </si>
  <si>
    <t>IBRAHEEM, AMIR</t>
  </si>
  <si>
    <t>LAHORE NEW AIRPORT ROAD SOCIETY DIVINE HOMES, HOUSE NO. 17</t>
  </si>
  <si>
    <t>ANUM, KHAN</t>
  </si>
  <si>
    <t>FIRST CALL TO THE CUSTOMER, NEARBY CHUNGI PEER WAAH, MOHALLAH FATANI, AHMEDPUR EAST.</t>
  </si>
  <si>
    <t>Ahmad pur east</t>
  </si>
  <si>
    <t>MUHAMMAD JUNAID, IQBAL</t>
  </si>
  <si>
    <t>HOUSE#. 68, STREET#. 5, SECTOR H-3, PHASE 2, HAYATABAD, PESHAWAR</t>
  </si>
  <si>
    <t>TALAL KHAN RIND BALOCH</t>
  </si>
  <si>
    <t>KHAN HUNTING MART SHOP OPP. CITY PARK NEW FRUIT &amp; VEGITABLE MARKET KHANPUR DISTT. RAHIM YAR KHAN</t>
  </si>
  <si>
    <t>ASFANDYAR, KHAN</t>
  </si>
  <si>
    <t>HOUSE#3B BLOCK-X STREET#8 SATELLITE TOWN BAHAWALPUR</t>
  </si>
  <si>
    <t>Lahore Qalandar t-shirts</t>
  </si>
  <si>
    <t>Pack of 28 tights</t>
  </si>
  <si>
    <t>TANVEER, HASSAN</t>
  </si>
  <si>
    <t>HOUSE NO, 1843. INDUS ROAD NO,1 NEAR CMH LAL KURTI RAWALPINDI</t>
  </si>
  <si>
    <t>Khaliq, Jilani</t>
  </si>
  <si>
    <t>A-337 block N north nazimabad street 13 , near dental college</t>
  </si>
  <si>
    <t>ABDUR RAUF</t>
  </si>
  <si>
    <t>FIRST CALL TO THE CUSTOMER,  LALAZAR COLONY NEAR MALIK AYUB MARKET UNIVERSITY CAMPUS PESHAWAR</t>
  </si>
  <si>
    <t>One Verses Hoodies and t-shirts</t>
  </si>
  <si>
    <t>ABRAR ALI</t>
  </si>
  <si>
    <t>HOUSE NO 55 B UNIT NO9 LATIFABAD HYD</t>
  </si>
  <si>
    <t>pack of 3 super hero t-shirts</t>
  </si>
  <si>
    <t>ARSALAN, REHMAN</t>
  </si>
  <si>
    <t>H NO BW601-01-01-389 KILLA KASI QUETTA</t>
  </si>
  <si>
    <t>Khangi</t>
  </si>
  <si>
    <t>HOUSE # 26/16. AZIZ BHATTI ROAD. HABIBULLAH COLONY. . ABBOTTABAD.KPK.</t>
  </si>
  <si>
    <t>NAEEM UR RAZAQ</t>
  </si>
  <si>
    <t>Pack of 4 cigarette pants</t>
  </si>
  <si>
    <t>khairpur</t>
  </si>
  <si>
    <t>SAJJAD ALI QURESHI, HOUSE # 80, BANARAS COLONY, KHAIRPUR MIR'S, SINDH, PAKISTAN</t>
  </si>
  <si>
    <t>HIRA, SAJJAD</t>
  </si>
  <si>
    <t>AWAIS, MUJTABA</t>
  </si>
  <si>
    <t>FIRST CALL TO THE CUSTOMER, NEAR COMSAT UNIVERSITY, DHOKE JABBI, ARSHAID DISCOUNT SHOP ALIPUR FARASH ISLAMABAD</t>
  </si>
  <si>
    <t>Pack of 3 Polo t-shirts</t>
  </si>
  <si>
    <t>15/2/2016</t>
  </si>
  <si>
    <t>pack of two cotton jeans</t>
  </si>
  <si>
    <t>MATEEN, JAVED</t>
  </si>
  <si>
    <t>HOUSE NO E127 STREET NO 16 MADINA COLONY WALTON ROAD LAHORE CANTT</t>
  </si>
  <si>
    <t>NAEEM, ABBAS</t>
  </si>
  <si>
    <t>FIRST CALL TO THE CUSTOMER, RASHIDCOLANI POST OFICE ROOD RAJAN PUR</t>
  </si>
  <si>
    <t>rajanpur</t>
  </si>
  <si>
    <t>RASHID, MEO</t>
  </si>
  <si>
    <t>FIRST CALL TO THE CUSTOMER, DERA CH AKHTER HUSSAIN KAMAHAN ROAD LAHORE.</t>
  </si>
  <si>
    <t>WASIM, AKRAM</t>
  </si>
  <si>
    <t>ALHANIF JEWELLERS GALI NAWAB SHAH WALI SARAFA BAZAR PAKPATTAN SHARIF</t>
  </si>
  <si>
    <t>WWE t-shirts</t>
  </si>
  <si>
    <t>NABEEGH, CHOUDHARY</t>
  </si>
  <si>
    <t>MUSLIM TOWN STREET NO 25 AND HOUSE NO 12 BAHAWALPUR</t>
  </si>
  <si>
    <t>roman regin hoodies</t>
  </si>
  <si>
    <t>USMAN, ALI</t>
  </si>
  <si>
    <t>FIRST CALL TO THE CUSTOMER, STREET NO 2 DHOK GANGAAL MUHALLAH RABBANI ABAD NEAR FAZAIA COLONY RAWALPINDI</t>
  </si>
  <si>
    <t>Dua Khan</t>
  </si>
  <si>
    <t>pack of 3 polo and 3 lecoste</t>
  </si>
  <si>
    <t>karachi appartment fl 23 A8, kalaboard nipa karachi</t>
  </si>
  <si>
    <t>pack of 2 t-shirts printed</t>
  </si>
  <si>
    <t>House no L3, st 21, sector 4a surjani town karachi</t>
  </si>
  <si>
    <t>19/2/2016</t>
  </si>
  <si>
    <t>Shaheer faraz</t>
  </si>
  <si>
    <t>Rs35 rafi pride jamia millaya road malir city karachi</t>
  </si>
  <si>
    <t>Shoaib Ahmed</t>
  </si>
  <si>
    <t>R-1115 block 16 Fb area karachi</t>
  </si>
  <si>
    <t>SUALEHEEN, BIBI</t>
  </si>
  <si>
    <t>ABDUL GHUFOOR BHATTI HOUSE # 260 TULSA CANTT LALAZAR RAWALPINDI</t>
  </si>
  <si>
    <t>18/2/2016</t>
  </si>
  <si>
    <t>NAZISH, MEMON</t>
  </si>
  <si>
    <t>INSTITUTE OF ENGLISH LANGUAGE (ENGLISH DEPARTMENT) UNIVERSITY OF SINDH JAMSHORO</t>
  </si>
  <si>
    <t>jamshoro</t>
  </si>
  <si>
    <t>CK watch for women in golden</t>
  </si>
  <si>
    <t>17/2/2016</t>
  </si>
  <si>
    <t>MUZAMMIL, ABBAS</t>
  </si>
  <si>
    <t>HOUSE NO.1466, ST. 40, PHASE 4, BAHRIA TOWN, RAWALPINDI</t>
  </si>
  <si>
    <t>Tag heuer 36</t>
  </si>
  <si>
    <t>456-DD , PHASE-IV ,D.H.A. LAHORE</t>
  </si>
  <si>
    <t>ASIM, BHATTI</t>
  </si>
  <si>
    <t>MASTER ASGAR</t>
  </si>
  <si>
    <t>FIRST CALL TO THE CUSTOMER, P/O BOX ZAHOORA T/D SIALKOT</t>
  </si>
  <si>
    <t>pack of 5 PSL t-shirts</t>
  </si>
  <si>
    <t>LUBNA, NAVEED</t>
  </si>
  <si>
    <t>LUBNA NAVEED UBL MAIN BRANCH CODE 0524,D.L.K</t>
  </si>
  <si>
    <t>1 patyala shalwar, 1 plain cigarette pants and 1 embroidery</t>
  </si>
  <si>
    <t>MUHAMMAD ASFAND, ALI</t>
  </si>
  <si>
    <t>MODEL TOWN KAREEM STREET HOUSE NO 68</t>
  </si>
  <si>
    <t>Pack of 3 hunky hoodies</t>
  </si>
  <si>
    <t>20/2/2016</t>
  </si>
  <si>
    <t>black casio and Tag 16 in leather</t>
  </si>
  <si>
    <t>22/2/2016</t>
  </si>
  <si>
    <t>JUNAID KHAN</t>
  </si>
  <si>
    <t>RAYAN MEDICINE COMPANY DAHQ HOSPITAL TIPAK MEDICAL CENTER VILLG TIMERGRA DIR LOWER(INCASE DONT FOUND PLZ CALL)</t>
  </si>
  <si>
    <t>Dir</t>
  </si>
  <si>
    <t>Pack of 2 peshawar zalmi and being human shirt</t>
  </si>
  <si>
    <t>SHAHIDA, PERVEEN</t>
  </si>
  <si>
    <t>HAYAT ABAD ST#1 HOUSSE NO.16/A NEAR UNIQUE PUBLIC SCHOOL AND COLLEGE CHICHAWATNI DIST SAHIWAL</t>
  </si>
  <si>
    <t>MEHWISH, KHAN</t>
  </si>
  <si>
    <t>REENG ROAD RAWALPINDI , HOUSE NO : KH 496/502 . STREET NO :18 . MOHALLA : MILLAT ABAD AFSHAN COLONY.</t>
  </si>
  <si>
    <t>WAFA, QURESHI</t>
  </si>
  <si>
    <t>FIRST CALL TO THE CUSTOMER, WAZIR MUHAMMAD MEHTAAB BHATTI NEAR GOVT BOYS HIGHER SECONDARY SCHOOL DARYA KHAN</t>
  </si>
  <si>
    <t>IJAZ SENDI</t>
  </si>
  <si>
    <t>FIRST CALL TO THE CUSTOMER, M.A.O COLLEGE FERDOS SENIMA RAJGER JAVED CERGA</t>
  </si>
  <si>
    <t>Juliya</t>
  </si>
  <si>
    <t>Sea Rock Marine Resort Flat T_2 plot 2/3 Blick_1 Clifton</t>
  </si>
  <si>
    <t>Guess blue watch</t>
  </si>
  <si>
    <t>Ahmed</t>
  </si>
  <si>
    <t>H_FC 86 st 6 Dhani bux goth block-9A gulistan-e-johar khi</t>
  </si>
  <si>
    <t>Ayaz</t>
  </si>
  <si>
    <t>ZARA, PERVAIZ</t>
  </si>
  <si>
    <t>287-B , REVENUE EMPLOYEES COOPERATIVE HOUSING SOCIETY JOHAR TOWN, COLLEGE ROAD LAHORE NEAR UMT UNIVERSITY</t>
  </si>
  <si>
    <t>Brock lesner t-shirts</t>
  </si>
  <si>
    <t>26/2/2016</t>
  </si>
  <si>
    <t>ROHAMA, SOHAIL</t>
  </si>
  <si>
    <t>HOUSE 173 SECTOR B LANE 3 ASKARI 10</t>
  </si>
  <si>
    <t>John cena t-shirt</t>
  </si>
  <si>
    <t>RANA, AFFI</t>
  </si>
  <si>
    <t>UNIVERSITY OF AGRICULTURE FAISLABAD, HOSTEL QAZZAFI HALL ROOM # 20-D</t>
  </si>
  <si>
    <t>FAIQ, KHALID</t>
  </si>
  <si>
    <t>FALT NO 3. 1ST FLOOR. FAIZAN HIGHTS NEAR HAFIZ MOTORS WARIS ROAD LINK JAIL ROAD LAHORE</t>
  </si>
  <si>
    <t>SANA, KHAN</t>
  </si>
  <si>
    <t>GULISTAN SOCIETY A/74 STREET 2 BIN QASIM TOWN KARACHI</t>
  </si>
  <si>
    <t>28/2/2016</t>
  </si>
  <si>
    <t>SABA, ASLAM</t>
  </si>
  <si>
    <t>HOUSE 31 NEW CIVIL LINE SARGHODHA ROAD SHEIKHUPURA</t>
  </si>
  <si>
    <t>pack of 6 tights</t>
  </si>
  <si>
    <t>MUHAMMAD, UMER</t>
  </si>
  <si>
    <t>WAH CANTT, TAXILA,JAMILABAD,STREETNUMBER23 HOUSE NUMBER 1</t>
  </si>
  <si>
    <t>IMRAN, ASLAM</t>
  </si>
  <si>
    <t>Pack of 3 casio edifice silver in chain</t>
  </si>
  <si>
    <t>HOUSE#P82 MAIN ROAD CHIBBAN NEAR USMAN PAAN SHOP FAISALABAD</t>
  </si>
  <si>
    <t>abdul, basit</t>
  </si>
  <si>
    <t>albasit hotel kharadar liyari karachi</t>
  </si>
  <si>
    <t>IMRAN ARSHAD</t>
  </si>
  <si>
    <t>NEW UNITED MOTORS ALLAMA IQBAL ROAD SECTOR D/3 EAST MIRPUR AZAD KASHMIR</t>
  </si>
  <si>
    <t>U and ME t-shirt</t>
  </si>
  <si>
    <t>AHSAN, MAHMOOD</t>
  </si>
  <si>
    <t>FEROZ PUR ROAD MUSLIM TOWN MORE NEAR PUNJAB COLLAGE CAMPUS 8 HOUSE NUM 5A STREET NUM 5.</t>
  </si>
  <si>
    <t>ZAIN, SIAL</t>
  </si>
  <si>
    <t>FIRST CALL TO THE CUSTOMER, VILLAGE KHAMISO KHAN SIAL, PANNO AQIL ,SUKKUR</t>
  </si>
  <si>
    <t>IHSAN, ABID</t>
  </si>
  <si>
    <t>Jeans Pants</t>
  </si>
  <si>
    <t>FIRST CALL TO THE CUSTOMER, VILL. MALIKPUR, TEH:KHARIAN, DISTT:GUJRAT</t>
  </si>
  <si>
    <t>RIAZUL QADEER, ARSHAD</t>
  </si>
  <si>
    <t>H.NO.25-A, CIRCULAR ROAD EAST, PAKISTAN TOWN PHASE-1, ISLAMABAD</t>
  </si>
  <si>
    <t>M.WASEEM, MAYO</t>
  </si>
  <si>
    <t>FAZAL SWEETS OLD KAHNA NAU LAHORE MAIN FEROZ PUR ROAD LAHORE, OLD KAHNA NAU LAHORE</t>
  </si>
  <si>
    <t>USMAN ALI</t>
  </si>
  <si>
    <t>FIRST CALL TO THE CUSTOMER, PESHAWAR NESHTARABAD GOVT GIRLS COLLEGE</t>
  </si>
  <si>
    <t>G-5-G-6 Al khayam arcade block 2 p.e.c.h.s nursery karachi</t>
  </si>
  <si>
    <t>Baber qureshi</t>
  </si>
  <si>
    <t>AZIZ, ALI</t>
  </si>
  <si>
    <t>Count of Status</t>
  </si>
  <si>
    <t>Column Labels</t>
  </si>
  <si>
    <t>Maximum value</t>
  </si>
  <si>
    <t>RAJA, IMRAN</t>
  </si>
  <si>
    <t>CALL TO THE CUSTOMER, IF THE NUMBER IS OFF THEN CALL TO PTCL,  VILLAGE PO BKASH BLWAL GRBI THASIL SARAI ALAMGIR  DISTICT GUJRAT</t>
  </si>
  <si>
    <t>GULBAHAR NO 3 RASHEED TOWN NEAR BILAL STREET ZENITH PESHAWAR</t>
  </si>
  <si>
    <t>Sarai alamgir</t>
  </si>
  <si>
    <t>SHAHJAHAN, LARIK</t>
  </si>
  <si>
    <t>A 45, SINDHI MUSLIM SOCIETY AIRPORT ROAD SUKKUR</t>
  </si>
  <si>
    <t>sukkur</t>
  </si>
  <si>
    <t>Nida, Malik</t>
  </si>
  <si>
    <t>G2/12 Malir extension colony</t>
  </si>
  <si>
    <t>ALI AMMAR KHAN</t>
  </si>
  <si>
    <t>Flat no 4, Qasim block, asian heights near Alqamer hotel, Muree</t>
  </si>
  <si>
    <t>Murree</t>
  </si>
  <si>
    <t>Monaco 1st copy watch</t>
  </si>
  <si>
    <t>SAIF ALI</t>
  </si>
  <si>
    <t>House no E-257-3B Moh Satelite town rawalpindi</t>
  </si>
  <si>
    <t>Pack of 13 printed t-shirts</t>
  </si>
  <si>
    <t>MIRZA MAHMOOD AHMED</t>
  </si>
  <si>
    <t>(Call to the customer), MIRZA MAHMOOD AHMED mohallah hajee badar-u-din near government girls higher school tehsil sarai alamgir district gujrat</t>
  </si>
  <si>
    <t>Pack of 3 cartoon printed t-shirts</t>
  </si>
  <si>
    <t>Abdul Ali Jafri</t>
  </si>
  <si>
    <t>Office 311 park avenue block 6 PECHS Main  Shahre faisal karachi</t>
  </si>
  <si>
    <t>Pack of 2 psl t-shirts</t>
  </si>
  <si>
    <t>ZAIN BABAR</t>
  </si>
  <si>
    <t>CALL TO THE CUSTOMER, NEKA PURA SHUJA ABAD UMER FAROOQ STREET SIALKOT</t>
  </si>
  <si>
    <t>GHALIB YASEEN</t>
  </si>
  <si>
    <t>H NO 445/7 ALLAHBAD CHOHAR HARPAL RAWALPINDI</t>
  </si>
  <si>
    <t>Pack of 3 y-neck t-shirts</t>
  </si>
  <si>
    <t xml:space="preserve">Dr Beats </t>
  </si>
  <si>
    <t>Naveed &amp; CO</t>
  </si>
  <si>
    <t>Naz Plaza</t>
  </si>
  <si>
    <t>MUHAMMAD SHAREEF</t>
  </si>
  <si>
    <t>36 B STATE LIFE HOUSING SOCIETY LAHORE CANTT BESIDE KOMAHA VILLAGE</t>
  </si>
  <si>
    <t>RAHMAN, AHMAD</t>
  </si>
  <si>
    <t>THE ART VALLEY, NEAR RAVI RESTURANT, OPPOSITE TO SHELL, EXPO CENTE, JOHARTOWN, LAHORE</t>
  </si>
  <si>
    <t>September</t>
  </si>
  <si>
    <t>Muhammad, Naeem</t>
  </si>
  <si>
    <t>ATTIQ UR REHMAN</t>
  </si>
  <si>
    <t>C/O ATTIQ UR REHMAN TS 17/7 AMF COLONY KAMRA CANTT DISTT ATTOCK</t>
  </si>
  <si>
    <t>Pack of 3 trousers</t>
  </si>
  <si>
    <t>LUBNA RIAZ</t>
  </si>
  <si>
    <t>224-D PUNJAB SOCIETY PHASE 2 COLLEGE ROAD LAHORE</t>
  </si>
  <si>
    <t>Pack of 5 levis half t-shirts</t>
  </si>
  <si>
    <t>HAIDER, ALEEZ</t>
  </si>
  <si>
    <t>SWAT BAKERI, NEAR GRADE STATION, AMANKOT, MINGORA, SWAT,</t>
  </si>
  <si>
    <t>pack of 3 graphics t-shirts</t>
  </si>
  <si>
    <t>USMAN, SHAMIR</t>
  </si>
  <si>
    <t>H#4,LANE#30,PHASE-2,WAH MODEL TOWN WAH CANTT</t>
  </si>
  <si>
    <t>Cotton Jeans(36)</t>
  </si>
  <si>
    <t>M ATHER, SIBGHAT</t>
  </si>
  <si>
    <t>ALSERWER MANZAL BLOK NO A ZAHOR HAYAT COLONY HAYAT PUR CHOK DAIRY ROAD</t>
  </si>
  <si>
    <t>Bhalwal</t>
  </si>
  <si>
    <t>ABBAS ALI</t>
  </si>
  <si>
    <t>FIRST CALL TO THE CUSTOMER, SIALKOT CITY MUHALA GHAZI PUR</t>
  </si>
  <si>
    <t>Pack of PSL t-shirts, 2 other t-shirts</t>
  </si>
  <si>
    <t>LALEE,</t>
  </si>
  <si>
    <t>AHAD FUNTIER HOUSE NEAR CIVIC MASR MUHLLLA LALEE714</t>
  </si>
  <si>
    <t>14/3/2016</t>
  </si>
  <si>
    <t>ALI BIN, FAROOQ</t>
  </si>
  <si>
    <t>HOUSE NUMBER 124/14, LANE 4, SAFARI VILLAS BAHRIA TOWN LAHORE</t>
  </si>
  <si>
    <t>mohsin, chishti</t>
  </si>
  <si>
    <t>flat no c.36 al hamra avenue sector 5.k north karachi near to power house chorangi</t>
  </si>
  <si>
    <t>Love watch in white</t>
  </si>
  <si>
    <t>ARSALAN, ATIQ</t>
  </si>
  <si>
    <t>H#12 STREET#12 RAZA STREET LAHORE</t>
  </si>
  <si>
    <t>15/3/2016</t>
  </si>
  <si>
    <t>ABID, HUSSAIN</t>
  </si>
  <si>
    <t>CALL TO THE CUSTOMER, FGS COLONY SIBI ROAD SARYAB QUETTA BALOCHISTAN</t>
  </si>
  <si>
    <t>HABIB, AKH</t>
  </si>
  <si>
    <t>CALL TO THE CUSTOMER, I 10 1 ISLAMABAD CDA STOP 2 ISLAMABAD</t>
  </si>
  <si>
    <t>BASIT, JATT</t>
  </si>
  <si>
    <t>217-D STATE LIFE HOUSING SOCIETY</t>
  </si>
  <si>
    <t>kennedy, Ate </t>
  </si>
  <si>
    <t>105 AED, PAF Base Malir karachi</t>
  </si>
  <si>
    <t>17/3/2016</t>
  </si>
  <si>
    <t>KHUSH BAKHAT, RANA</t>
  </si>
  <si>
    <t>LAIBA GIRLS HOSTEL,REHBAR COLONY NEAR GATE NO 2,UET TAXILA,TAXILA</t>
  </si>
  <si>
    <t>SAEED, AHMAD</t>
  </si>
  <si>
    <t>COLLEGE ROAD NEAR KHOKRAN ADDA 168 STREET SHUJAABAD</t>
  </si>
  <si>
    <t>multan</t>
  </si>
  <si>
    <t>Atif, Raza</t>
  </si>
  <si>
    <t>House # 8. Street# 9 Block # B. Eden Value Homes. Thokar Niaz Baig, Multan Road,, Lahore</t>
  </si>
  <si>
    <t>20/3/2016</t>
  </si>
  <si>
    <t xml:space="preserve">SULEMAN, BUTT </t>
  </si>
  <si>
    <t>First Call to the customer, Street Abdullah Kolpur Tallianwala Tehsil &amp; Distt.Jhelum</t>
  </si>
  <si>
    <t xml:space="preserve">BARKAT, KHAN </t>
  </si>
  <si>
    <t xml:space="preserve">department of geological takatoo campus BUITEMS air port road quetta </t>
  </si>
  <si>
    <t>Feb Total Profit</t>
  </si>
  <si>
    <t>Ending Of Feb</t>
  </si>
  <si>
    <t>21/3/2016</t>
  </si>
  <si>
    <t>1 t-shirts and 1 sweatpants</t>
  </si>
  <si>
    <t>SHAKIR, NAWAX</t>
  </si>
  <si>
    <t>HOUSE NO 6 BLOCK NO B_6 PIMS COLONY G-8/3 ISLAMABAD</t>
  </si>
  <si>
    <t>ASAD ALI</t>
  </si>
  <si>
    <t>B2 SINDH HOMES NEAR GULISTANE SAJJAD QASIMABAD HYDERABAD</t>
  </si>
  <si>
    <t>cloths</t>
  </si>
  <si>
    <t>Bed sheet</t>
  </si>
  <si>
    <t>Naveed &amp; Co</t>
  </si>
  <si>
    <t>payment not done yet</t>
  </si>
  <si>
    <t>BABAR, EJAZ</t>
  </si>
  <si>
    <t>PARAGON LOGISTICS, FIRST FLOOR, PARAGON HEIGHTS NEAR RAILWAY CROSSING, DEFENCE ROAD, SIALKOT, PAKISTAN.</t>
  </si>
  <si>
    <t>Tissot silver dial</t>
  </si>
  <si>
    <t>AHMAD, NADEEM</t>
  </si>
  <si>
    <t>53E3 LIBERTY MARKET COMMERCIAL ZONE FLAT NO.4 GULBERG 3 ,LAHORE</t>
  </si>
  <si>
    <t>23/3/2016</t>
  </si>
  <si>
    <t>25/3/2016</t>
  </si>
  <si>
    <t>24/3/2016</t>
  </si>
  <si>
    <t>Noni khan</t>
  </si>
  <si>
    <t>Gulbahar peetal gali liyaqat chowk house 477 karachi</t>
  </si>
  <si>
    <t>One Polo t-shirts</t>
  </si>
  <si>
    <t>Flat 331 Grace residency gulshan-e-iqbal block 4 karachi</t>
  </si>
  <si>
    <t>IKRAM, GILLANI</t>
  </si>
  <si>
    <t>DHANI SYEDA WARD NO 3 MZD AJK NASIR KARYANA STORE DHANI SYEDA MZD AJK</t>
  </si>
  <si>
    <t>saad saleem</t>
  </si>
  <si>
    <t>STREET 91, SECTOR G-11/3, CROWN TOWERS, FLAT 7-A</t>
  </si>
  <si>
    <t xml:space="preserve">Muzaffarabad </t>
  </si>
  <si>
    <t>M.TAHIR</t>
  </si>
  <si>
    <t>Valansia town E1 block house no 34</t>
  </si>
  <si>
    <t>BASIT ALI</t>
  </si>
  <si>
    <t>HAFIZ MEDICAL STORE NAZD TOWN KAMEETI FORTABBAS</t>
  </si>
  <si>
    <t>bahawalnagar</t>
  </si>
  <si>
    <t>1 polo islamabad, 1 mask t-shirts</t>
  </si>
  <si>
    <t>ABDUL, REHMAN</t>
  </si>
  <si>
    <t>ABID BARTAN STORE ALLAH WALA CHOK</t>
  </si>
  <si>
    <t>Pirmahal</t>
  </si>
  <si>
    <t>NAEEM, BAKHS</t>
  </si>
  <si>
    <t>CHOINGE NUMBER 13 KAMBEER ROAD PAKPATTAN</t>
  </si>
  <si>
    <t>MEHAK SAHBAZ</t>
  </si>
  <si>
    <t>BARKI ROAD IMPIRYAL GARDAN ST 4R HOUSE 220 LAHORE</t>
  </si>
  <si>
    <t>Pack of minos and cartoon t-shirts</t>
  </si>
  <si>
    <t>NAWAB SANI, ABBASI</t>
  </si>
  <si>
    <t>KHAN CLOTH HOUSE RESHAM GALI NAUSHAHRO FEROZE</t>
  </si>
  <si>
    <t>Nowshero feroz</t>
  </si>
  <si>
    <t>HASSAN, KHAN</t>
  </si>
  <si>
    <t>46/C,BLOCK X,STREET NO 1,MODEL TOWN C,BAHAWALPUR</t>
  </si>
  <si>
    <t>Tag heuer 17 chain and leather both</t>
  </si>
  <si>
    <t>SARDAR, WAQAS BLOUCH</t>
  </si>
  <si>
    <t>BLOUCH HOUSE MADINA TOWN CANAL ROAD TANDLIANWALA DISTRICT FAISALABAD</t>
  </si>
  <si>
    <t>mustafa, kamal</t>
  </si>
  <si>
    <t>C-7 Sheet#25,Model Colony,Malir Town,Karachi</t>
  </si>
  <si>
    <t>29/3/2016</t>
  </si>
  <si>
    <t>Landhi 4A 33/4 Charag Hotel Landhi Town Karachi</t>
  </si>
  <si>
    <t>Abrar, Ahmed</t>
  </si>
  <si>
    <t>WALEED, RAZA</t>
  </si>
  <si>
    <t>B-197 PHASE-1 GULSHAN-E-HADEED MALIR KARACHI</t>
  </si>
  <si>
    <t>FAISAL, KHAN</t>
  </si>
  <si>
    <t>HAYATABAD,PHASE#1,SECTOR#E2,STREET#16, HOUSE#486</t>
  </si>
  <si>
    <t>Rolex daytone golden watch</t>
  </si>
  <si>
    <t>MOHMMAD RAMZAN, RIND</t>
  </si>
  <si>
    <t>G.N TRADERS. IBRAHIM SHAH COMPLEX MASJID ROAD KHUZDAR</t>
  </si>
  <si>
    <t>Khuzdar</t>
  </si>
  <si>
    <t>Pack of 2 White Armani watch</t>
  </si>
  <si>
    <t>GULISTAN HOMES QADIRPUR RAN MULTAN</t>
  </si>
  <si>
    <t>ASAR, IQBAL</t>
  </si>
  <si>
    <t>REHMAN SONS PETROLIUM SERVICE TAHSEL KABAL SWAT</t>
  </si>
  <si>
    <t>okay okay t-shirts</t>
  </si>
  <si>
    <t>DANISH</t>
  </si>
  <si>
    <t>BANGLOW159 SACHAL COLONY NEAR BALKEES MEDICAL STOR LARKANA</t>
  </si>
  <si>
    <t>larkana</t>
  </si>
  <si>
    <t>Done</t>
  </si>
  <si>
    <t>M SHAHRYAR, AZEEM</t>
  </si>
  <si>
    <t>HARLEY STREET,LANE NO.4, HOUSE NO.9 OPPT ROOTS GIRLS COLLAGE RAWALPINDI</t>
  </si>
  <si>
    <t>30/3/2016</t>
  </si>
  <si>
    <t>AAMIR</t>
  </si>
  <si>
    <t>MITHIANI CHANDIO PROTROL POPO SERIVE MITHIANI HALQA MORO</t>
  </si>
  <si>
    <t>Moro</t>
  </si>
  <si>
    <t>MUHAMMAD, IRFAN</t>
  </si>
  <si>
    <t>MEDIA CENTER, DAWA ACADEMY SHAH FAISAL MASJID, ISLAMABAD</t>
  </si>
  <si>
    <t>Pack of 2 casio edifice silver in chain</t>
  </si>
  <si>
    <t>31/3/2016</t>
  </si>
  <si>
    <t>SYED NAVEED, SHAH</t>
  </si>
  <si>
    <t>HOUSE NO 19, STREET NO 1,GUNJ SHAKAR COLONY SAHIWAL</t>
  </si>
  <si>
    <t>Rolex subminar in silver</t>
  </si>
  <si>
    <t>SALMAN, QASIR</t>
  </si>
  <si>
    <t>NEW MUSLIM TOWN HOUSE 7B1</t>
  </si>
  <si>
    <t>Saeed Qadri rehmani</t>
  </si>
  <si>
    <t>Flat b-206 block A omega heights gulistan-e-johar block 13 khi</t>
  </si>
  <si>
    <t>Pack of 5 levis half sleeve</t>
  </si>
  <si>
    <t>Samera Aamir</t>
  </si>
  <si>
    <t>H27 kda overseas society block 16 gulistan-e-johar khi</t>
  </si>
  <si>
    <t>pack of 3 addidas t-shirt</t>
  </si>
  <si>
    <t>tag heuer 17 in leather</t>
  </si>
  <si>
    <t>dawar, naveed</t>
  </si>
  <si>
    <t>C55block 13 d-1 gulshan-e-iqbal karachi</t>
  </si>
  <si>
    <t>Syed, Atif</t>
  </si>
  <si>
    <t>Cottage AA-23, Hunaid City, Block-17, Gulistan-johar, Karachi</t>
  </si>
  <si>
    <t>iftikhar durrani</t>
  </si>
  <si>
    <t>House no 278-AA block upper portion phase 4 DHA lahore</t>
  </si>
  <si>
    <t>Pack of 2 wwe t-shirts</t>
  </si>
  <si>
    <t>USMAN, KHALID</t>
  </si>
  <si>
    <t>NATIONAL MACHINERY CORPORATION 77-B,BRANDRETH ROAD LAHORE</t>
  </si>
  <si>
    <t>MIRZA ZUBAIR, AKHTAR</t>
  </si>
  <si>
    <t>PHASE 2, HOUSE 370 GUJRANWALA CANTT</t>
  </si>
  <si>
    <t>pack of 3 apple kids watch</t>
  </si>
  <si>
    <t>MIAN, WAQAS</t>
  </si>
  <si>
    <t>INSTITUTE OF COMMUNICATION STUDIES UNIVERSITY OF THE PUNJAB LAHORE</t>
  </si>
  <si>
    <t>Shaheer, Khan</t>
  </si>
  <si>
    <t>Shumail heights b 202 block 11 near afnan duplx gulistan-e-johar karachi</t>
  </si>
  <si>
    <t>Mejeeshe, Jabbar</t>
  </si>
  <si>
    <t>3F 10/21 nazimabad karachi</t>
  </si>
  <si>
    <t>Saira, Khan</t>
  </si>
  <si>
    <t>Sea Breeze Super Star Apartments C8 3rd floor Clifton block 7 Karachi</t>
  </si>
  <si>
    <t>MUHAMMAD ABSAR</t>
  </si>
  <si>
    <t>HOUSE NO 3 RIGHT LANE STREET NO 5 AL-NOOR PARK BADOO ROAD SHEIKHUPURA</t>
  </si>
  <si>
    <t>JAWAD ALI ABBASI</t>
  </si>
  <si>
    <t>D/13-B GULSHAN COLONY CPO 177 TAXILA</t>
  </si>
  <si>
    <t>taxila</t>
  </si>
  <si>
    <t>FAQIR KALY</t>
  </si>
  <si>
    <t>FAQIR KALY MONSAF MARKET ALI MBL ZONE PAJAGI ROAD PESHAWAR</t>
  </si>
  <si>
    <t>MUSHARAF IFFI</t>
  </si>
  <si>
    <t>MUSAWAR HOUSE, CB: 299-R, STREET NO 1, LANE 4, PESHAWAR ROAD, RAWALPINDI</t>
  </si>
  <si>
    <t>MOHSIN</t>
  </si>
  <si>
    <t>BAHAR SHAH ROAD JALAL STREET HOUSE 131 D BLOCK LAHORE. OPPOSITE JALA MOSQUE</t>
  </si>
  <si>
    <t>HABIB REHMAN</t>
  </si>
  <si>
    <t>E-9, Officers Housing PAF Base , Smungli, Quetta</t>
  </si>
  <si>
    <t>Pack of nike and addidas trousers</t>
  </si>
  <si>
    <t>AREEB ANWAR</t>
  </si>
  <si>
    <t>CB FLAT NO.1 , ABOVE NAZEER AUTOS, BACKSIDE OF SHAMA BAKERY</t>
  </si>
  <si>
    <t>MUDASIR KHICHI</t>
  </si>
  <si>
    <t>MAHBOOB JEWELLERS NEAR KOMI BACHAT BANK RESHAM GALI LARKAN</t>
  </si>
  <si>
    <t>AHSAN KHAN</t>
  </si>
  <si>
    <t>FIRST CALL TO THE CUSTOMER, KHUIRTTA LARI ADA MAIN OPTICAL CENTER MARHABA BAKERY</t>
  </si>
  <si>
    <t>kotli(A.K)</t>
  </si>
  <si>
    <t>AWAIS ALI</t>
  </si>
  <si>
    <t>44 ALAMGIR ROAD TIPU STREET ISLAMPURA LAHORE</t>
  </si>
  <si>
    <t>AISHA MUBARIK</t>
  </si>
  <si>
    <t>REHMAT MEDICAL CENTER RAJANA ROAD SAMUNDRI</t>
  </si>
  <si>
    <t>M.ASGHAR KHAN</t>
  </si>
  <si>
    <t>32 B HASHMI GARDEN BAHAWALPUR</t>
  </si>
  <si>
    <t>pack of 4 germany flag t-shirts</t>
  </si>
  <si>
    <t>Issue return but kaymu charged</t>
  </si>
  <si>
    <t>Fahad Rashid</t>
  </si>
  <si>
    <t>Ufone Tower, 12th Floor, Blue Area Islamaabd</t>
  </si>
  <si>
    <t>Guess jet ladies watch</t>
  </si>
  <si>
    <t>AHTASHAM ULHAQ</t>
  </si>
  <si>
    <t>Collage Road Noor Plaza Near Girls High School Taunsa Sharif</t>
  </si>
  <si>
    <t>Taunsa sharif</t>
  </si>
  <si>
    <t>habib afridi</t>
  </si>
  <si>
    <t>H no 15,sector 2 ,main road street ,near circuit house ,KDA KOHAT</t>
  </si>
  <si>
    <t xml:space="preserve">Tag heuer formula 1 </t>
  </si>
  <si>
    <t>SALEEM AHMED</t>
  </si>
  <si>
    <t>Khair pur meeru</t>
  </si>
  <si>
    <t>memon clinic dargah road pir jo goth taluka kingri dist khairpur mirs sindh pakistan.</t>
  </si>
  <si>
    <t>Usman Razzaq. Apartment 1, 1st Floor Taha Arcade Near Des Perdes E11/3 Islamabad</t>
  </si>
  <si>
    <t>USMAN RAZZAQ</t>
  </si>
  <si>
    <t>Wali Muhammad</t>
  </si>
  <si>
    <t>First Call to the customer, Aayan town near educator school &amp; college mina khel lakki Marwat</t>
  </si>
  <si>
    <t>lakki marwat</t>
  </si>
  <si>
    <t>Mujtaba Khan</t>
  </si>
  <si>
    <t>ph.2 (extension)-21st commercial street-building no. 28-c second floor. near ayaz masjid</t>
  </si>
  <si>
    <t>AHMAD BALOCH</t>
  </si>
  <si>
    <t>H.NO E-25/29 ST.NO 2 SHAHEEN CLY. WALTON ROAD LAHORE CANTT</t>
  </si>
  <si>
    <t>SYED HUSSNAIN ALI</t>
  </si>
  <si>
    <t>SHOP#149 AL-NOOR COLONY,KHANNA PUL,RAWALPINDI</t>
  </si>
  <si>
    <t>13/4/2016</t>
  </si>
  <si>
    <t>Muzzamil Usmani</t>
  </si>
  <si>
    <t>C-41 block D North Nazimabad,Karachi</t>
  </si>
  <si>
    <t>House A-163/1 gulistan-e-johar block 4 near mamdhi masjid karachi</t>
  </si>
  <si>
    <t>Mohammad Hazim Ali</t>
  </si>
  <si>
    <t>R-30, Sector:- 15A/3, Bufferzone, North Nazimabad, Karachi</t>
  </si>
  <si>
    <t xml:space="preserve">Light grey jeans </t>
  </si>
  <si>
    <t>Haseeb Ahmed</t>
  </si>
  <si>
    <t>114/1 27 STREET KHAYABANE MUHAFIZ PH 6 DHA,KARACHI</t>
  </si>
  <si>
    <t>Muhammad ismail</t>
  </si>
  <si>
    <t>gulistan colony madina masjid road near Sahara madical Center</t>
  </si>
  <si>
    <t>Muhammad okasha gabol</t>
  </si>
  <si>
    <t>Gabol house b10, block 4 gulistan-e-johar karachi</t>
  </si>
  <si>
    <t>14/4/2016</t>
  </si>
  <si>
    <t>MANSOOR KHATTAK</t>
  </si>
  <si>
    <t>GIS ASSOCIATE BITBRICKS ER SOLUTION SPU PMU LDA PLAZA JOHAR TOWN LAHORE .</t>
  </si>
  <si>
    <t>ASAD CHAUDHRY</t>
  </si>
  <si>
    <t>FLAT NO 4 MUBASHER PLAZA NEAR SILK PLAZA SUPPLY MANSEHRA ROAD ABBOTABAD KPK</t>
  </si>
  <si>
    <t>ZAHID HUSSAIN</t>
  </si>
  <si>
    <t>FIRST CALL TO THE CUSTOMER, PO JAHANPUR TEHSIL JATOI DISTRICT M.GARH</t>
  </si>
  <si>
    <t>Muzaffargarh</t>
  </si>
  <si>
    <t>NAWAZ</t>
  </si>
  <si>
    <t>FIRST CALL TO THE CUSTOMER, EDO(EDU) BAHAWLPUR OFFICE</t>
  </si>
  <si>
    <t>TALHA AHMAD</t>
  </si>
  <si>
    <t>house Number 194 b4 near jinnah city school and saleem advocate tahir colony vehari road hasilpur</t>
  </si>
  <si>
    <t>hasilpur</t>
  </si>
  <si>
    <t>15/4/2016</t>
  </si>
  <si>
    <t>KHUDA BUX LUND S/0 ghulam qasim lund saddar din sahtio kirana store setharja dist khair pur mirs</t>
  </si>
  <si>
    <t>KHUDA BUX LUND</t>
  </si>
  <si>
    <t>1 trouses, wwe t-shirts, smatch yellow t-shirts</t>
  </si>
  <si>
    <t>Abdul jabbar</t>
  </si>
  <si>
    <t>FIRST CALL TO THE CUSTOMER, T&amp;DISTRIC; SIALKOT P/O  BOX SIALKOT  VILLAGE JASPAL KOTLI</t>
  </si>
  <si>
    <t>Waleed Afaq</t>
  </si>
  <si>
    <t>39/1 12 street khayaban-e-mujahid DHA phase 5</t>
  </si>
  <si>
    <t>16/4/2016</t>
  </si>
  <si>
    <t>Ali Asif</t>
  </si>
  <si>
    <t>154/c Central Commercial Area B/2 P.E.C.H.S Karachi (Tariq Road)</t>
  </si>
  <si>
    <t>Aniba</t>
  </si>
  <si>
    <t>R310 chappal gardan abul hasan isphani road khi</t>
  </si>
  <si>
    <t>17/4/2016</t>
  </si>
  <si>
    <t>18/4/2016</t>
  </si>
  <si>
    <t>Pack of 5 full sleeves t-shirts, pack of 3 y-neck tshirts</t>
  </si>
  <si>
    <t>C41 block 8 opposite hakeem saeed park gulshan karachi</t>
  </si>
  <si>
    <t>ASAD SHAH</t>
  </si>
  <si>
    <t>HOUSE NO.44B/3 LALAZAR TULSA CHOWK ZAFAR AKBAR ROAD NEAR PSO PETROL PUMP RAWALPINDI.</t>
  </si>
  <si>
    <t>FAHIM</t>
  </si>
  <si>
    <t>MUHALLAH GARHI BEHRAM KHAN HOUSE NO T90 KOHAT</t>
  </si>
  <si>
    <t>3 polo addidas, 1 wwe, 4 reebook, 1 mix polo yellow and green</t>
  </si>
  <si>
    <t>MOHSIN ALI</t>
  </si>
  <si>
    <t>RECORD ROOM NEW JUDICIAL COMPLEX MATTI TAL ROAD MULTAN</t>
  </si>
  <si>
    <t>NASIR SHAHNAWAZ</t>
  </si>
  <si>
    <t>CIVIL LINES, COURT ROAD HOUSE C/4110 DERA ISMAIL KHAN</t>
  </si>
  <si>
    <t>EMRAN ZAHID</t>
  </si>
  <si>
    <t>HOUSE NUMBER 206 1ST AVENUE MANGLA CANTONMENT MANGLA</t>
  </si>
  <si>
    <t>Mangla cantt</t>
  </si>
  <si>
    <t>HASSAAN TARIQ</t>
  </si>
  <si>
    <t>FIRST CALL TO THE CUSTOMER, DARULSALAM COLONY, NIGHA STREET,NEAR MASJIDE TAQVA, ATTOCK</t>
  </si>
  <si>
    <t>TAUQEER AHMAD</t>
  </si>
  <si>
    <t>FIRST CALL TO THE CUSTOMER, CHICHAWATNI DIST SAHIWAL HYATA ABAD STREET NO 1</t>
  </si>
  <si>
    <t>SHAHZAD SIAL</t>
  </si>
  <si>
    <t>DESCON ENGINEERING LIMITED NEW HEAD KHANKI BARRAGE TAHSIL WAZIRANABAD DISTRICT, GUJARNWALA</t>
  </si>
  <si>
    <t>GHULAM MUJTABA</t>
  </si>
  <si>
    <t>QAZI GRAMMAR SCHOOL NADIRABAD NO 1 LAHORE CANTT</t>
  </si>
  <si>
    <t>AAMIR SOHAIL</t>
  </si>
  <si>
    <t>QUETTA BAROORI ROAD KILLI IBRAAIMZAI 2ND GAALI HOUSE NO 25</t>
  </si>
  <si>
    <t>pack of 3 printed t-shirts</t>
  </si>
  <si>
    <t>M.ASHRAF</t>
  </si>
  <si>
    <t>LYALLPUR COLD STORAGE SUSAN ROAD FAISALABAD</t>
  </si>
  <si>
    <t>KULSOOM FAYAZ</t>
  </si>
  <si>
    <t>GIRLS HOSTEL # 5 NEW CAMPUS PUNJAB UNIVERSITY LAHORE</t>
  </si>
  <si>
    <t>FAISAL AWAN</t>
  </si>
  <si>
    <t>SEAT NO 96 ZAKRIA BLOCK DISTRICTS COURTS MULTAN</t>
  </si>
  <si>
    <t>19/4/2016</t>
  </si>
  <si>
    <t>mobile</t>
  </si>
  <si>
    <t>Earphone and charger of iphone</t>
  </si>
  <si>
    <t>ARSALAN</t>
  </si>
  <si>
    <t>SIKANDAR PURA CHOWK NISTERABAD HOUSE NO 193 STREET 12 GULL HOUSE NEAR HEALTH CENTER</t>
  </si>
  <si>
    <t>hussain faraz khan</t>
  </si>
  <si>
    <t>Iphone 5 charger</t>
  </si>
  <si>
    <t xml:space="preserve">Carem board </t>
  </si>
  <si>
    <t>Sports</t>
  </si>
  <si>
    <t>D206, farhan tower opposite lasaniya hotel gulshan khi</t>
  </si>
  <si>
    <t>Imran khurshid</t>
  </si>
  <si>
    <t>52 B first floor makki mazil mahmoodabad no 1 opposite rehmat ull alamin khi</t>
  </si>
  <si>
    <t>Hasan Zaidi</t>
  </si>
  <si>
    <t>B4/23 johar square block 18 khi</t>
  </si>
  <si>
    <t>20/4/2016</t>
  </si>
  <si>
    <t>Total</t>
  </si>
  <si>
    <t>Shahzad</t>
  </si>
  <si>
    <t>22/4/2016</t>
  </si>
  <si>
    <t>MOHAMMAD IRFAN ZAHEERUDDIN</t>
  </si>
  <si>
    <t>HOUSE NO. 128, BLOCK - C, UNIT NO.2, LATIFABAD,</t>
  </si>
  <si>
    <t>iltefat ahmed</t>
  </si>
  <si>
    <t>numaish nizami road compound 1</t>
  </si>
  <si>
    <t>FAROOQ SHAH</t>
  </si>
  <si>
    <t>HOUSE NO 401 STREET 34 SECTOR I-8/2</t>
  </si>
  <si>
    <t>islamabad</t>
  </si>
  <si>
    <t>Puma watch</t>
  </si>
  <si>
    <t>DILAWAR AHMED ALI</t>
  </si>
  <si>
    <t>HBL SANGHAR NAWAB SHAH ROAD, HBL SANGHAR BRANCH</t>
  </si>
  <si>
    <t>nawab shah</t>
  </si>
  <si>
    <t>ADEEL MALIK</t>
  </si>
  <si>
    <t>FIRST CALL TO THE CUSTOMER, P/O HYDERABAD THALL DISTRICT BHAKKAR</t>
  </si>
  <si>
    <t>M.UMAR PERVIAZ</t>
  </si>
  <si>
    <t>HOUSE NO.1 STREET SHAH DIN FAREED TOWN GUJRANWALA</t>
  </si>
  <si>
    <t>Pack of 5 polo</t>
  </si>
  <si>
    <t>USAMA EJAZ</t>
  </si>
  <si>
    <t>HOUSE # 39,STREET # 8 ,MUZAMMIL TOWN ,NEAR KURI ROAD,SHKRIAL,RAWALPINDI KURI ROAD</t>
  </si>
  <si>
    <t>Silver Chain</t>
  </si>
  <si>
    <t>Needs</t>
  </si>
  <si>
    <t>FIRST CALL TO THE CUSTOMER, MUSKAN DECOR QUARRY ROAD HAJI KHALIL STREET QUETTA</t>
  </si>
  <si>
    <t>Ahmed khan</t>
  </si>
  <si>
    <t>saad khalique</t>
  </si>
  <si>
    <t>F#D-9,suleman plaza,rashid minhas road, block 10, gulshan iqbal</t>
  </si>
  <si>
    <t>25/4/2016</t>
  </si>
  <si>
    <t>IBRAHIM MASOOD</t>
  </si>
  <si>
    <t>MADINA MARKET WARD NO 19 MUZAFFARABAD RAHAT BAKERS</t>
  </si>
  <si>
    <t>muzaffarabad(Ak)</t>
  </si>
  <si>
    <t>pack of 5 tights</t>
  </si>
  <si>
    <t>HAMMAD FAROOQ</t>
  </si>
  <si>
    <t>MAKAN NMBR 329/12 MOHALA FATEH GARIHAN CITY BHERA TEHSIL BHALWAL DISTRICT SARGODHA</t>
  </si>
  <si>
    <t>sargodha</t>
  </si>
  <si>
    <t>HASNAIN MUKHTAR</t>
  </si>
  <si>
    <t>FIRST CALL TO THE CUSTOMER, NEAR JAMIA MASJID QILLA DIDAR SINGH GUJRAWALA</t>
  </si>
  <si>
    <t>23/4/2016</t>
  </si>
  <si>
    <t>27/4/2016</t>
  </si>
  <si>
    <t>dera ghazi khan</t>
  </si>
  <si>
    <t>BLOCK 9 HOUSE NUMBER 55</t>
  </si>
  <si>
    <t>ABDULLAH RAFI</t>
  </si>
  <si>
    <t>26/4/2016</t>
  </si>
  <si>
    <t>Not Found</t>
  </si>
  <si>
    <t>28/4/2016</t>
  </si>
  <si>
    <t>App 2, flat no 6C street 36 tauheed commercial dha phase 5 khi near abdullah shah ghazi</t>
  </si>
  <si>
    <t>Saaim Tahir</t>
  </si>
  <si>
    <t>MAHMOOD ALI</t>
  </si>
  <si>
    <t>43KM MULTAN ROAD MANGA MANDI LAHORE</t>
  </si>
  <si>
    <t>TAIMOOR GADHI</t>
  </si>
  <si>
    <t>OFFICER COLONY NUMBER 1 HOUSE NUMBER 5/17 TOBA TEK SINGH</t>
  </si>
  <si>
    <t>DANISH KHAN</t>
  </si>
  <si>
    <t>187-D-MODEL TOWN LAHORE</t>
  </si>
  <si>
    <t>29/4/2016</t>
  </si>
  <si>
    <t>A 226 block A north nazimabad Rangers public school</t>
  </si>
  <si>
    <t>Minal Zafar</t>
  </si>
  <si>
    <t>SHAHRUKH GONDAL</t>
  </si>
  <si>
    <t>FIRST CALL TO THE CUSTOMER, MOHALLAH KHUWAJA NAGAR RAILWAY STATION ROAD NEAR WASIF MARRIAGE HALL HASAN ABDAL</t>
  </si>
  <si>
    <t>hassan abdal</t>
  </si>
  <si>
    <t>FAHIM ABBAS</t>
  </si>
  <si>
    <t>ALLIED BANK LIMITED, CHOUR HARPAL, PESHAWAR ROAD, RAWALPINDI</t>
  </si>
  <si>
    <t>R31 Crystal homes gulistan-e-johar block 19 khi</t>
  </si>
  <si>
    <t>Power Bank</t>
  </si>
  <si>
    <t>30/4/2016</t>
  </si>
  <si>
    <t>Qasim Alvi</t>
  </si>
  <si>
    <t>Mander Jawad</t>
  </si>
  <si>
    <t>JIBRAN KHAN</t>
  </si>
  <si>
    <t>HOUSE 47,ST 8,SECTOR F-4,PHASE 6, HAYATABAD,PESHAWAR</t>
  </si>
  <si>
    <t>ANNIE SHEIKH</t>
  </si>
  <si>
    <t>FIRST CALL TO THE CUSTOMER, MUHAMMAD AFZAL JAWED LINK MURADIA ROAD MODEL TOWN SIALKOT</t>
  </si>
  <si>
    <t>pack of 4 addidas t-shirts</t>
  </si>
  <si>
    <t>MASOOD BUTT</t>
  </si>
  <si>
    <t>383 UMER BLOCK ALLAMA IQBAL TOWN LAHORE (UPPER PORTION), ALI MARKET</t>
  </si>
  <si>
    <t>HASEEB KHALIL</t>
  </si>
  <si>
    <t>ABDULLAH STATIONERS NEAR UNIVERSITY GATE CHEHLA BANDI MZD AJK</t>
  </si>
  <si>
    <t>Nasir Siddiqi</t>
  </si>
  <si>
    <t>B 313 Block 6 Gulshan e Iqbal Karachi Opposite Disco Bakery</t>
  </si>
  <si>
    <t>family mails</t>
  </si>
  <si>
    <t>flat no 5 block F(F-5) five star apartments near mashrique center civic center block 14 gulshan-e-iqbal karachi</t>
  </si>
  <si>
    <t>jahanzaib khan</t>
  </si>
  <si>
    <t>b6/1 f.b area sharifabad near liaqtabad railway colony near meena bazar</t>
  </si>
  <si>
    <t>Umair</t>
  </si>
  <si>
    <t>nibd hospital near farhan club karachi</t>
  </si>
  <si>
    <t>RANA ADNAN</t>
  </si>
  <si>
    <t>UMAR CHAUDHARY</t>
  </si>
  <si>
    <t>Haroonabad</t>
  </si>
  <si>
    <t>HOUSE 8 STREET 10 Y-BLOCK MADINA TOWN</t>
  </si>
  <si>
    <t>BRAND SHOES BALDIA ROAD HAROONABAD</t>
  </si>
  <si>
    <t>ZOHAIB AHMED</t>
  </si>
  <si>
    <t>FIRST CALL TO THE CUSTOMER, IRRIS COMMUNICATIONS 176 - Y BLOCK, 1ST FLOOR, COMMERCIAL AREA, PHASE-3, DHA, LAHORE</t>
  </si>
  <si>
    <t>MAAZ MEHMOOD</t>
  </si>
  <si>
    <t>FIRST CALL TO THE CUSTOMER, KHAWAJA GATTA HOUSE, PAPER MARKET O/S BOHAR GATE MULTAN, MASJID BUN LOHARAN</t>
  </si>
  <si>
    <t>ASIF SHAH</t>
  </si>
  <si>
    <t>ALQURASH STREET RASHEED ABAD KHAEWAL ROAD HOUSE NO.1893/3 BUKHARI HOUSE CITY PLAZA</t>
  </si>
  <si>
    <t>ABDUL KHAN</t>
  </si>
  <si>
    <t>FIRST CALL TO THE CUSTOMER, GILANI HOSPITAL SATELLITE TOWN</t>
  </si>
  <si>
    <t>MANSOOR MUGHAL</t>
  </si>
  <si>
    <t>FIRST CALL TO THE CUSTOMERS, TAJ CINESTAR QUEEN MARRY ROAD GARHI SHAHU LAHORE</t>
  </si>
  <si>
    <t>ALI MALIK</t>
  </si>
  <si>
    <t>FIRST CALL TO THE CUSTOMER, 9/44 LODHI STREET ALI MARKET CHOTA BAZAR LALAMUSA</t>
  </si>
  <si>
    <t>ZOHAIB HAIDER</t>
  </si>
  <si>
    <t>HOUSE #3 STREET#3 MEHMOOD COLONY SHAHDRA LHR. BISMILLAH CHOK KARACHI AUTO'S</t>
  </si>
  <si>
    <t>KASHIF NADEEM</t>
  </si>
  <si>
    <t>HOUSE# E-69 NEW COLONY CHASHMA DISTT MIANWALI TEHSIL PIPLAN MIANWAL</t>
  </si>
  <si>
    <t>Pack of 4 half sleeve levis</t>
  </si>
  <si>
    <t>SAMI ULLAH</t>
  </si>
  <si>
    <t>FIRST CALL TO THE CUSTOMER, MUHAMMAD PURA NEAR PARIS ROAD SIALKOT 51310 PAKISTAN PAKISTAN SURGICAL</t>
  </si>
  <si>
    <t>Pack of 2 rolex skeleton chain</t>
  </si>
  <si>
    <t>KHAWAR MUSHTAFA</t>
  </si>
  <si>
    <t>OFFICE NO. 10, 2ND FLOOR , SHALIMAR PLAZA , F-8 MARKAZ ,ISLAMABAD</t>
  </si>
  <si>
    <t>LABEED ASLAM</t>
  </si>
  <si>
    <t>RIVER GARDEN STREET#6 HOUSE#11 ISLAMABAD</t>
  </si>
  <si>
    <t>HAREER KHAN</t>
  </si>
  <si>
    <t>ISLAMABAD,DHA 2,SECTOR G,STREET 12,HOUSE 30</t>
  </si>
  <si>
    <t>ATHAR RAUF</t>
  </si>
  <si>
    <t>HOUSE # 872/ STREET # 21/ SECTOR G-15/1 ISLAMABAD MOTORWAY</t>
  </si>
  <si>
    <t>Pack of 4 full sleeve t-shirts</t>
  </si>
  <si>
    <t>13/5/2016</t>
  </si>
  <si>
    <t>MUNEEB ATTARI</t>
  </si>
  <si>
    <t>FIRST CALL TO THE CUSTOMER, 15 ROBERTS ROAD NOORANI SURGICAL LAHORE</t>
  </si>
  <si>
    <t>WASEEM` TAREEN</t>
  </si>
  <si>
    <t>FIRST CALL TO THE CUSTOMER, P/O TEHSIL &amp; DIST HATTIAN BALA NEAR MUZAFFARABAD AJK</t>
  </si>
  <si>
    <t>SABEEN AHMAD</t>
  </si>
  <si>
    <t>60/2-D AGHA KHAN ROAD F-6/1 ISLAMABAD</t>
  </si>
  <si>
    <t>ABDUL MOIZ</t>
  </si>
  <si>
    <t>AZAD KASHMIR, MUZAFFARABAD, SHAUKAT LINE, NEAR PYRAMIDS INTERNATIONAL SCHOOL, KHAN AND SONS SHOP</t>
  </si>
  <si>
    <t>YOUSUF KHAN</t>
  </si>
  <si>
    <t>HOUSE # 17, STREET #3, GULBERG TOWN, ALIPUR, ISLAMABAD</t>
  </si>
  <si>
    <t>Hunain Friend</t>
  </si>
  <si>
    <t>Khayaban-e-asfia gulshan khi</t>
  </si>
  <si>
    <t>pack of 4 printed trousers</t>
  </si>
  <si>
    <t>IQRA PERVAIZ</t>
  </si>
  <si>
    <t>HOUSE 4 STREET 4 AQILPURA DHOLANWAL LAHORE IQBAL TOWN</t>
  </si>
  <si>
    <t>Rado Jublie high quality watch</t>
  </si>
  <si>
    <t>MARWA RESHMEEN</t>
  </si>
  <si>
    <t>HOUSE NO 213 STREET 15 NEW DEFENCE SHAMI ROAD PESHAWAR CANTT</t>
  </si>
  <si>
    <t>boltan</t>
  </si>
  <si>
    <t>Combu</t>
  </si>
  <si>
    <t>ABDULLAH HAMID</t>
  </si>
  <si>
    <t>HOUSE NO 29 ASKARI 6, DRY PORT LINK ROAD CHAKLALA RAWALPINDI</t>
  </si>
  <si>
    <t>ammar wasim</t>
  </si>
  <si>
    <t>32-c mazinine floor sunset commercial street 2 dha phase 4 karachi k electric head offc</t>
  </si>
  <si>
    <t>pack of 2 printed trousers</t>
  </si>
  <si>
    <t>14/5/2016</t>
  </si>
  <si>
    <t>Danish mukhtar</t>
  </si>
  <si>
    <t>Bareeze Shop 3&amp;4 asif arcade bahadrabad karachi</t>
  </si>
  <si>
    <t>1 polo. 1 rado Deal</t>
  </si>
  <si>
    <t>SHAMS IQBAL</t>
  </si>
  <si>
    <t>SHAKOOR PARK HOUSE NO 76/A CHENAB NAGAR DIST CHINIOT</t>
  </si>
  <si>
    <t>pack of 5 puma t-shirts</t>
  </si>
  <si>
    <t>HAMMY KHAN IRSHAD KHAN</t>
  </si>
  <si>
    <t>296 HOUSE NUMBER , STREET 6 , B SECTOR , SHEIKH MALTOON TOWN MARDAN</t>
  </si>
  <si>
    <t>MOHAMMAD MOMAN</t>
  </si>
  <si>
    <t>HOUSE # P 333 ST# 2 MUHALLAH CIHBBAN FAISALABAD</t>
  </si>
  <si>
    <t>HABIBULLAH CHHAJRO</t>
  </si>
  <si>
    <t>First Call to the customer, tandojam post office DG house house number 1</t>
  </si>
  <si>
    <t>Tando Jam</t>
  </si>
  <si>
    <t>Rolex Skeleton in Chain</t>
  </si>
  <si>
    <t>16/5/2016</t>
  </si>
  <si>
    <t>ADEEL AKHTAR</t>
  </si>
  <si>
    <t>h:no10-4 f/13 akbarabad baloch colony brewery road akhtar</t>
  </si>
  <si>
    <t>Deal 3 trousers, 3 v-neck t-shirts</t>
  </si>
  <si>
    <t>SOHAIB IQBAL</t>
  </si>
  <si>
    <t>46/A Fateh Sher Colony</t>
  </si>
  <si>
    <t>ASHFAQ AHMAD</t>
  </si>
  <si>
    <t>1839/8 street:no:5 Farooq-e-Azam colony road Shamsabad Rawalpindi.</t>
  </si>
  <si>
    <t>USAMA AMEEN</t>
  </si>
  <si>
    <t>First Call to the customer, Vaniky road hafizabad opposite to hfc Madrassah qasim al alumh</t>
  </si>
  <si>
    <t>Hafizabad</t>
  </si>
  <si>
    <t>Pack of 5 super hero t-shirts</t>
  </si>
  <si>
    <t>sanan butt</t>
  </si>
  <si>
    <t>First Call to the customer, ahmad park shah bagh</t>
  </si>
  <si>
    <t>Pack of 5 funky hero t-shirts</t>
  </si>
  <si>
    <t>AMJAD KHAN</t>
  </si>
  <si>
    <t>Solution Travel &amp; Tours UG- 73 Decns Trade Center saddar road</t>
  </si>
  <si>
    <t>179 amynabad off Martin road PIB colony Karachi central jail</t>
  </si>
  <si>
    <t>Gulnar Malik</t>
  </si>
  <si>
    <t>Muhammad Minhas Khalid</t>
  </si>
  <si>
    <t>house number : AA-4,,Saima associates Hostel,,,Room Number 01,,near Iqra University,,Defence view Phase 2 Karachi</t>
  </si>
  <si>
    <t>Pack of Casio and tag 17 watch</t>
  </si>
  <si>
    <t>19/5/2016</t>
  </si>
  <si>
    <t>Guess Brown Watch</t>
  </si>
  <si>
    <t>ASAD Ullah</t>
  </si>
  <si>
    <t>jamrod road Peshawar board tajabad house no 03 street no 18</t>
  </si>
  <si>
    <t>Seven Friday watch</t>
  </si>
  <si>
    <t>SHAMS BALOCH</t>
  </si>
  <si>
    <t>Gadani House, Mohalla Gharibabad, Station Road, Ghotki.</t>
  </si>
  <si>
    <t>Curren watch</t>
  </si>
  <si>
    <t>WAHEED AHMED KHAN MUHAMMAD GHIYAS</t>
  </si>
  <si>
    <t>Mess no 3 Mall road Saddar Peshawar, PTV center</t>
  </si>
  <si>
    <t>Hammad</t>
  </si>
  <si>
    <t>Office 48 Business Arcade Sheraaton hotel saddar khi</t>
  </si>
  <si>
    <t>Pack of 3 Addidas t-shirt, 1 addidas trouser</t>
  </si>
  <si>
    <t>20/5/2016</t>
  </si>
  <si>
    <t>street 3 house 212 sector A pindy chowk akhter colony korangi road karach</t>
  </si>
  <si>
    <t>Qasim abbasi</t>
  </si>
  <si>
    <t>21/5/2016</t>
  </si>
  <si>
    <t>ARZ RIND</t>
  </si>
  <si>
    <t>FIRST CALL TO THE CUSTOMER, ARZ RIND O/0  PAKISTAN POST OFFICE CIVIC CENTER HUB BALOCHISTAN</t>
  </si>
  <si>
    <t>Hub Chowki</t>
  </si>
  <si>
    <t>Butterfly watch</t>
  </si>
  <si>
    <t>KHALID RAJA</t>
  </si>
  <si>
    <t>PANJAB SAPRAY SENTER ,PIRMAHAL ROAD RAJANA TOBA TEK SINGH</t>
  </si>
  <si>
    <t>Pack of 3 Checked trouser, 3 v-neck t-shirts</t>
  </si>
  <si>
    <t>JUNAID ZAHEEN</t>
  </si>
  <si>
    <t>H.NO 933 ST. 91 I-8/4 ISLAMABAD</t>
  </si>
  <si>
    <t>Ibrahim Adnan</t>
  </si>
  <si>
    <t>69-A abu bakar block garden town Lahore</t>
  </si>
  <si>
    <t>23/5/2016</t>
  </si>
  <si>
    <t>JAMSHED</t>
  </si>
  <si>
    <t>Pack of 2 roman region t-shirts</t>
  </si>
  <si>
    <t>24/5/2016</t>
  </si>
  <si>
    <t>Aftab Khan</t>
  </si>
  <si>
    <t>House#84.street#4.gulistan town bhagat pura lahore near gujar pura police station , near wapda stree near junaid almari wala</t>
  </si>
  <si>
    <t>MUHAMMAD HUSSAIN</t>
  </si>
  <si>
    <t>house no B 35 babloo manzil mohni bazar nawabshah</t>
  </si>
  <si>
    <t>ZIA UL QAMAR</t>
  </si>
  <si>
    <t>First Call to the customer, Kills m.hassani near SBK uni brewery road quetta</t>
  </si>
  <si>
    <t>AZAM KHAN</t>
  </si>
  <si>
    <t>house#1288,Street no 31,sector I-10/4 Islamabad</t>
  </si>
  <si>
    <t>House no 498/499 Block C Near Mosque Gulberg colony ,Kasur.</t>
  </si>
  <si>
    <t>ADIL MOHYUDIN</t>
  </si>
  <si>
    <t>MUHAMMAD OSAMA</t>
  </si>
  <si>
    <t>House number 30/ 5-A opposite to street number 11-A dhoke syedan road kamalabad rawalpindi</t>
  </si>
  <si>
    <t>Muhammad Zakaria</t>
  </si>
  <si>
    <t>B-12 Pak Tamir Plaza Block 14 Gulshan E Iqbal karachi</t>
  </si>
  <si>
    <t>ARSLAN MAGSI</t>
  </si>
  <si>
    <t>house no b 17 block 2 sindhi jamait cooperative housing society bin qasim town</t>
  </si>
  <si>
    <t>SARMAD IJAZ</t>
  </si>
  <si>
    <t>First Call to the customer, village and post office dheendah tehsil and district haripur</t>
  </si>
  <si>
    <t>ABDUL RAZZAQ</t>
  </si>
  <si>
    <t>HOUSE NO 166, A BLOCK GHULAM MUHAMMAD ABAD FAISALABAD (IF ADDRESS IS NOT FOUND KINDLY CALL TO THE CUSTOMER)</t>
  </si>
  <si>
    <t>2 polo, 2 addidas polo, 2 nike polo, 2 lecoste</t>
  </si>
  <si>
    <t>25/5/2016</t>
  </si>
  <si>
    <t>customer</t>
  </si>
  <si>
    <t>B3 Wajid square block 16 gulshan e iqbal khi</t>
  </si>
  <si>
    <t>Pack of 5 full sleeve t-shirts</t>
  </si>
  <si>
    <t>Aijaz Ahmad</t>
  </si>
  <si>
    <t>L-254, Area 48-C, Korangi 2.5 Coast Guard Chowrangi</t>
  </si>
  <si>
    <t>JAWAD KHAN</t>
  </si>
  <si>
    <t>H#529/2 INDUSTRIAL ROAD RISALPUR NOWSHERA</t>
  </si>
  <si>
    <t>30/5/2016</t>
  </si>
  <si>
    <t>SAAD KEYANI</t>
  </si>
  <si>
    <t>MOQADAS GARMENTS, FAROOQ PALAZA, ALIPUR NAIBADI, ISLAMABAD</t>
  </si>
  <si>
    <t>WASEEM YAQOOB</t>
  </si>
  <si>
    <t>HOUSE # C-249, STREET # 54, SECTOR, F-7/4, FRANCE COLONY, ISLAMABAD</t>
  </si>
  <si>
    <t>Pack of 2 Rolex skeleton watch</t>
  </si>
  <si>
    <t>JAMSHED PALH</t>
  </si>
  <si>
    <t>HOUSE NO.D.255 PHASE 2 QASIMABAD HYDERABAD SINDH NEAR SINDH GRAMMER HIGH SCHOOL PHASE 2 QASIMABAD HYDERABAD SINDH</t>
  </si>
  <si>
    <t>SHARJEEL ALI KHAN</t>
  </si>
  <si>
    <t>HOUSE NO. P-53/14 , KOT AMANULLAH ,NEAR EID GAH</t>
  </si>
  <si>
    <t>Gojra</t>
  </si>
  <si>
    <t>MAHPARA KHAN</t>
  </si>
  <si>
    <t>SARFARAZ AUTOS NEAR TAMEER BANK HYDERABAD ROAD TANDOALLAHYAR</t>
  </si>
  <si>
    <t>SH HAMZA</t>
  </si>
  <si>
    <t>FIRST CALL TO THE CUSTOMER, 5 RACE COURCE ROAD</t>
  </si>
  <si>
    <t>KIRAN</t>
  </si>
  <si>
    <t>FIRST CALL TO THE CUSTOMER, CHAKLALA SCHEME THREE.AFZAL TOWN NIAZI PLAZA BASEMENT MEHAK POLUAR RAZAPLAZA</t>
  </si>
  <si>
    <t>ANSS RAZA</t>
  </si>
  <si>
    <t>FIRST CALL TO THE CUSTOMER, CHAWINDA MOHALAH SHAH ALA DAD GIRLS HIGH SCHOOL CHAWINDA</t>
  </si>
  <si>
    <t>Pasrur</t>
  </si>
  <si>
    <t>Noman Butt</t>
  </si>
  <si>
    <t>CPO 1/1 Majeed SRE Dalmian Stadium Road Karachi</t>
  </si>
  <si>
    <t>ASFAND YAR</t>
  </si>
  <si>
    <t>114B CHARAK PARK,SHAD BAGH,LAHORE</t>
  </si>
  <si>
    <t>Pack of 4 addidas t-shirts</t>
  </si>
  <si>
    <t>Waqar iqbal</t>
  </si>
  <si>
    <t>House R-51, block 10 near kamran chowrangi johar khi</t>
  </si>
  <si>
    <t>MIRZA FAHAD</t>
  </si>
  <si>
    <t>2.W.8 MADINA TOWN FAISALABAD(IF NOT FOUND CALL TO THE CUSTOMER)</t>
  </si>
  <si>
    <t>SH. WAJID SUBHANI</t>
  </si>
  <si>
    <t>HONDA ATLAS CARS (PAKISTAN) LIMITED, 43 - KM MULTAN ROAD, MANGA MANDI, LAHORE</t>
  </si>
  <si>
    <t>UMAIR AKRAM</t>
  </si>
  <si>
    <t>HOUSE NO 40 STREET NO 6 BHOGIWAL JAHANGEER ROAD BAGHBANPURA LAHORE</t>
  </si>
  <si>
    <t>Pack of 3 hero t-shirts</t>
  </si>
  <si>
    <t>ASHIR HASSAN</t>
  </si>
  <si>
    <t>GULBAHAR NO 4 NEAR MAKKI MASJID ROAD STREET NO 2 HOUSE NO 895-A</t>
  </si>
  <si>
    <t>MUSTAFA HAIDER</t>
  </si>
  <si>
    <t>BARKI ROAD,PARAGON CITY,IMPERIAL BLOCK, HOUSE NUMBER 200R</t>
  </si>
  <si>
    <t>Rolex golden diamond</t>
  </si>
  <si>
    <t>Tabe Rasool</t>
  </si>
  <si>
    <t>j.block,Room no. 03 liaqat national hospital liaqat national hospital</t>
  </si>
  <si>
    <t>Shop no 19, Doleman mall tariq road khi</t>
  </si>
  <si>
    <t>Arbab Hussain</t>
  </si>
  <si>
    <t>20-b#/phase-1#/kanupp colony #/hawksbay road #/maripur #/karachi*</t>
  </si>
  <si>
    <t>Adal Rahman</t>
  </si>
  <si>
    <t>1 floor, sindh high court bar association, high court, near passport office, saddar, karachi Passport office</t>
  </si>
  <si>
    <t>ZARAK ZAMAN KHAN</t>
  </si>
  <si>
    <t>767-C Faisal Town Lahore</t>
  </si>
  <si>
    <t>Pack of 4 Roundneck full sleeve</t>
  </si>
  <si>
    <t>Seven Friday watch, Rolex Brown leather</t>
  </si>
  <si>
    <t>RAJA FATEH</t>
  </si>
  <si>
    <t>FARM NUM 8 UMAR CHOWK AKRAM ROAD BANI GALA ISLAMABAD</t>
  </si>
  <si>
    <t>Pack of 4 tights</t>
  </si>
  <si>
    <t>House no C72, block A North Nazimabad khi</t>
  </si>
  <si>
    <t>Maaz</t>
  </si>
  <si>
    <t>asif jutt</t>
  </si>
  <si>
    <t>251 d block street 5 fase 5 d h a lahore pakistan</t>
  </si>
  <si>
    <t>13/6/2016</t>
  </si>
  <si>
    <t>MOHIB AHMED MALIK</t>
  </si>
  <si>
    <t>New Fauji book depo Army and Police Genral store kotli Azad Kashmir</t>
  </si>
  <si>
    <t>SYED MEHDI</t>
  </si>
  <si>
    <t>Dy. Sr. Postmaster Syed Mazhar ul Hasnain.. Postol colony G. P. O dera Ismail Khan</t>
  </si>
  <si>
    <t>MUSTAFA SULTAN</t>
  </si>
  <si>
    <t>baldia town new saedabad block 9c, house no 699 (If not found call to the customer)</t>
  </si>
  <si>
    <t>Pack of 2 Hareem Trousers</t>
  </si>
  <si>
    <t>MURAAD MALIK</t>
  </si>
  <si>
    <t>First Call to the customer, Post office khanpur mahar district ghotki Sindh</t>
  </si>
  <si>
    <t>Pack of 2 Golden Tights</t>
  </si>
  <si>
    <t>FAHAD OMER</t>
  </si>
  <si>
    <t>HOUSE 29, HUNZA BLOCK, ALLAMA IQBAL TOWN LHR</t>
  </si>
  <si>
    <t>DANIYAL BHATTI</t>
  </si>
  <si>
    <t>HOUSE 237, F BLOCK, GULSHAN -E- RAVI LAHORE</t>
  </si>
  <si>
    <t>Pack of 12 Nike Polo T-shirts</t>
  </si>
  <si>
    <t>ADNAN MALIK</t>
  </si>
  <si>
    <t>M/O WATER &amp; POWER ISLAMABAD</t>
  </si>
  <si>
    <t>HAMZA FAROOQ</t>
  </si>
  <si>
    <t>HOUSE#479 GALI#76 G-8/1</t>
  </si>
  <si>
    <t>Pack of 2 Plazo</t>
  </si>
  <si>
    <t>15/6/2016</t>
  </si>
  <si>
    <t>ABDULLAH SHARIF</t>
  </si>
  <si>
    <t>HOUSE NO. 302 M/BLOCK ARIFWALA</t>
  </si>
  <si>
    <t>Arifwala</t>
  </si>
  <si>
    <t>Pack of 4 branded full sleeve t-shirts</t>
  </si>
  <si>
    <t>AKHTAR ALI BHATTI</t>
  </si>
  <si>
    <t>AKHTAR ALI BHATTI ASSITANT SUPERINTENDENT NADRA, NADRA OFFICE MODEL TOWN BAHAWALNAGAR</t>
  </si>
  <si>
    <t>website</t>
  </si>
  <si>
    <t>Pack of 5 check trousers</t>
  </si>
  <si>
    <t>NAEEM AHMAD</t>
  </si>
  <si>
    <t>H/NO 110 STREET 7-B ASAD ANWAR COLONY GULBAHAR NO 1 PESHAWAR</t>
  </si>
  <si>
    <t>SYED ALI MUHAMMAD SHAH</t>
  </si>
  <si>
    <t>Banglow No_ A/37 Naqash Villaz Phase-1 Near Sunny CNG Wadhu</t>
  </si>
  <si>
    <t>SHAKIL AHMAD</t>
  </si>
  <si>
    <t>house no 4434'st no7' ashraf pura mansoorabad mian pind road near hamza kariana store' faisalabad</t>
  </si>
  <si>
    <t>Pack of 2 sweatpants</t>
  </si>
  <si>
    <t>ASIF HUSSAIN</t>
  </si>
  <si>
    <t>Zeeruk International, 3rd Floor, Time Square Plaza, I-8 Markaz, Islamabad</t>
  </si>
  <si>
    <t>Shahzad kamdar</t>
  </si>
  <si>
    <t>Flat No 3. 2nd floor sharmeen tarace , plot no . RB 11/15, Ratan Talow Urdu Bazar Karachi</t>
  </si>
  <si>
    <t>KHURRAM SHAHZAD</t>
  </si>
  <si>
    <t>First Call to the customer, Village Dhair. P/o Bubak murali . Teh Dist Narowal</t>
  </si>
  <si>
    <t>Silver tight</t>
  </si>
  <si>
    <t>FAHAD ARIF</t>
  </si>
  <si>
    <t>House no E117 street no 4, immam bargha wali gali defence mor iqbal park lahore</t>
  </si>
  <si>
    <t>Pack of 5 half sleeve branded t-shirts</t>
  </si>
  <si>
    <t>19/6/2016</t>
  </si>
  <si>
    <t>18/6/2016</t>
  </si>
  <si>
    <t>hamza ali</t>
  </si>
  <si>
    <t>404 unity corner abul hasan isphani road opposite byco cng pum gulshan e iqbal karachi</t>
  </si>
  <si>
    <t>Emergency Dept, Civil Hospital khi</t>
  </si>
  <si>
    <t>Pack of 4 Levis Full sleeve t-shirts</t>
  </si>
  <si>
    <t>Raheel Shah</t>
  </si>
  <si>
    <t>House#148 sector 48C korangi #2 1/2 karachi</t>
  </si>
  <si>
    <t>WAQAS</t>
  </si>
  <si>
    <t>Call To the customer, Mirpur Colony near modern school system abbottabad</t>
  </si>
  <si>
    <t>21/6/2016</t>
  </si>
  <si>
    <t>Call to the customer, Maj Shahid 8 Cavalary, Jalalpur Jattan Cantt</t>
  </si>
  <si>
    <t>Maj Shahid Imran Tarar</t>
  </si>
  <si>
    <t>jalalpur jattan</t>
  </si>
  <si>
    <t>MUHAMMAD SUFYAN</t>
  </si>
  <si>
    <t>Nabeel Photo State near City Thana Tehsil Chishtian Distric Bahawalnagar</t>
  </si>
  <si>
    <t>House no 836 Street No 7b Makkah Colony Gulberg III Lahore</t>
  </si>
  <si>
    <t>RASHID ALI</t>
  </si>
  <si>
    <t>HASSAN TAHIR</t>
  </si>
  <si>
    <t>House#81, Railway Secheme3, Dhoke chiragh Din,Marir Hassan, Rawalpindi</t>
  </si>
  <si>
    <t>HOUSE NO#C249 STREET 54 F7/4 ISLAMABAD</t>
  </si>
  <si>
    <t>NOOR ZADA</t>
  </si>
  <si>
    <t>HOUSE NO 475D STREET NO 58A SECTOR I -8/3 ISLAMBAD</t>
  </si>
  <si>
    <t>TAUQEER ALI</t>
  </si>
  <si>
    <t>mirpru AJK sector F/1 house # 630 street no 2 MEGA BITE</t>
  </si>
  <si>
    <t>24/6/2016</t>
  </si>
  <si>
    <t>SALMAN REHMAN</t>
  </si>
  <si>
    <t>(CALL TO THE CUSTOMER)SRDC-L SUPARCO, ADJACENT TO PUCIT (OPPOSITE CAMB), SAMSANI ROAD, CANAL BANK, LAHORE. PUCIT (ADJACENT), CAMB (OPPOSITE)</t>
  </si>
  <si>
    <t>Rolex silver watch in chain</t>
  </si>
  <si>
    <t>HOUSE 140B ALI VIEW GARDEN BHATTA CHOWK LHR</t>
  </si>
  <si>
    <t>Abdullah Waseem</t>
  </si>
  <si>
    <t>Hassan Shahid</t>
  </si>
  <si>
    <t>A-53, Block A, K.D.A. Officers Society, Karachi National Stadium</t>
  </si>
  <si>
    <t>RANA RIZWAN JANI</t>
  </si>
  <si>
    <t>FIRST CALL TO THE CUSTOMER, IQBAL BOYS HOSTAL TARAMRI CHOKE ISLAMABAD</t>
  </si>
  <si>
    <t>26/6/2016</t>
  </si>
  <si>
    <t>FIRST CALL TO THE CUSTOMER, STRET NO 10 MUHALA DEBAR SHAREF PACKA GHARA SIALKOT ,DERBAR MANA</t>
  </si>
  <si>
    <t>RASHID MUSHTAQ</t>
  </si>
  <si>
    <t>HASAN TARIQ</t>
  </si>
  <si>
    <t>HOUSE NO 65A STREET2 AMIR TOWN FRONT OF TAJ BATH NEAR HARBANSPURA MAIN CANAL ROAD HARBANSPURA</t>
  </si>
  <si>
    <t>tag heuer 20000 + tag 17 chain</t>
  </si>
  <si>
    <t>R-401 Moh Shed Attock City near jammia mosque</t>
  </si>
  <si>
    <t>MUHAMMAD NAVEED</t>
  </si>
  <si>
    <t>Deal of 2 t-shirts, 2 Bermudas</t>
  </si>
  <si>
    <t>House no 24 St4 main bazaar rachna town shahdara</t>
  </si>
  <si>
    <t>MUJAHID ABBAS</t>
  </si>
  <si>
    <t>FARRUKH KHAN</t>
  </si>
  <si>
    <t>farman medicos near municipal committee DHQ hospital nowshera kalan mohallah dagi khel</t>
  </si>
  <si>
    <t>JAMAL GILLANI</t>
  </si>
  <si>
    <t>h.no.871. street .22. phase. 4 .bahria town islamabad</t>
  </si>
  <si>
    <t>Jinnah public girls high school and college rang pura sialkot Near hafiz Noor Muhammad darbar rang pura</t>
  </si>
  <si>
    <t>MUAAZ LIAQAT ALI</t>
  </si>
  <si>
    <t>Product</t>
  </si>
  <si>
    <t>Month</t>
  </si>
  <si>
    <t>Year</t>
  </si>
  <si>
    <t>Delivered</t>
  </si>
  <si>
    <t>Monthly Parcel Report</t>
  </si>
  <si>
    <t>Co Found in 21 Sept 2015</t>
  </si>
  <si>
    <t>B27 block 10 gulshan-e-iqbal khi</t>
  </si>
  <si>
    <t>Sept</t>
  </si>
  <si>
    <t>Orders Dispatched</t>
  </si>
  <si>
    <t>% Increase in order Ratio</t>
  </si>
  <si>
    <t>% Return</t>
  </si>
  <si>
    <t>Oct</t>
  </si>
  <si>
    <t>% Delivered</t>
  </si>
  <si>
    <t>Nov</t>
  </si>
  <si>
    <t>Dec</t>
  </si>
  <si>
    <t>Jan</t>
  </si>
  <si>
    <t>Feb</t>
  </si>
  <si>
    <t>Mar</t>
  </si>
  <si>
    <t>April</t>
  </si>
  <si>
    <t>May</t>
  </si>
  <si>
    <t>June</t>
  </si>
  <si>
    <t>July</t>
  </si>
  <si>
    <t>P5/2 main bazar ali town sargodha road FSD Munir clinic</t>
  </si>
  <si>
    <t>29/6/2016</t>
  </si>
  <si>
    <t>MUHAMMAD YASIR ALI</t>
  </si>
  <si>
    <t>Ferozsons Laboratories Limited, P.O Ferozsons Amangarh, Nowshera. K.P.K</t>
  </si>
  <si>
    <t>H #45, St#01, Sector G Sheikh Maltoon Town Mardan KPK</t>
  </si>
  <si>
    <t>GHAYAS MUHAMMAD KHAN</t>
  </si>
  <si>
    <t>CK plan watch</t>
  </si>
  <si>
    <t>ZAIB ALI</t>
  </si>
  <si>
    <t>K.A 66 khyber colony zarar shaheed road Lahore Cantt</t>
  </si>
  <si>
    <t>H no. 07, Ayub khalil street near malik ayub market, lalazar colony university campus peshawar</t>
  </si>
  <si>
    <t>Rolex Skeleton + 2 LED + 2 Guess blue watch</t>
  </si>
  <si>
    <t>BILAL BUTT</t>
  </si>
  <si>
    <t>house#9 block#818 near railway stadium ghari shahu lahore railway stadium ground</t>
  </si>
  <si>
    <t>SAMEER AHMED</t>
  </si>
  <si>
    <t>489-N BLOCK PHASE1 DHA,LAHORE MASJID CHOWK</t>
  </si>
  <si>
    <t>ASAD ABBASI</t>
  </si>
  <si>
    <t>House-132, Street-9, Ghouri Town Phase -1, Khanna East, Islamabad, Ghouri Career School</t>
  </si>
  <si>
    <t>MUHAMMAD ZUBAIR</t>
  </si>
  <si>
    <t>fIRST Call to the customer, mohallah sumbullan near highschool no 2 fateh jang attock masjad sumbullan wali</t>
  </si>
  <si>
    <t>Fateh Jang</t>
  </si>
  <si>
    <t>Pack of 3 Puma T-shirts</t>
  </si>
  <si>
    <t>ALISHAN MAKHDUM</t>
  </si>
  <si>
    <t>house # 858, street 4, Usmania Masjid Road, Dheri Hassanabad, Rawalpindi Pakistan</t>
  </si>
  <si>
    <t>MALIK IBRAR</t>
  </si>
  <si>
    <t>FIRST CALL TO THE CUSTOMER, BUCHAR KHANA SIALKOT</t>
  </si>
  <si>
    <t>azhar tayyab</t>
  </si>
  <si>
    <t>c-37, block-6, gulshan-e-iqbal, karachi, 75300, pakistan Aero Club</t>
  </si>
  <si>
    <t>3 t-shirts, 3 bermudas</t>
  </si>
  <si>
    <t>faheem taji</t>
  </si>
  <si>
    <t>korangi 5. 1/2 house no G365</t>
  </si>
  <si>
    <t>3 trousers</t>
  </si>
  <si>
    <t>Fahad Noor</t>
  </si>
  <si>
    <t>1 h 9/21 nazimabad no 1 khi</t>
  </si>
  <si>
    <t>hassam majeed</t>
  </si>
  <si>
    <t>main m.a jinnah road mirza khalij baig road parsi colony soldier bazar no#3 near nishter park parsi colony j-j appartment ground floor g2 602</t>
  </si>
  <si>
    <t>Hassan &amp; CO</t>
  </si>
  <si>
    <t>najam us saqib</t>
  </si>
  <si>
    <t>hussain treaders wafa road quetta mds super market</t>
  </si>
  <si>
    <t>Rolex skeleton automatic watch</t>
  </si>
  <si>
    <t>pending</t>
  </si>
  <si>
    <t>Yasir Saleem</t>
  </si>
  <si>
    <t>Bank of AJK Main Branch Rawalakot</t>
  </si>
  <si>
    <t>rawalakot</t>
  </si>
  <si>
    <t>Mubhasir</t>
  </si>
  <si>
    <t xml:space="preserve">2 Rolex Skeleton + 2 Box </t>
  </si>
  <si>
    <t>Profit</t>
  </si>
  <si>
    <t>waqas abbasi</t>
  </si>
  <si>
    <t>R 116 block 5 f b area karachi</t>
  </si>
  <si>
    <t>Petrol &amp; Delivery Expenses</t>
  </si>
  <si>
    <t>Flyers</t>
  </si>
  <si>
    <t>Payment</t>
  </si>
  <si>
    <t>Received</t>
  </si>
  <si>
    <t>Purchase and Payment Record</t>
  </si>
  <si>
    <t>Sales or Profit List</t>
  </si>
  <si>
    <t>Rolex Skeleton</t>
  </si>
  <si>
    <t>Syed Zain</t>
  </si>
  <si>
    <t>POB chak Abdul khaliq teh.dina dist.jhelum Dina</t>
  </si>
  <si>
    <t>Faryal Maryam</t>
  </si>
  <si>
    <t>House D150, Baraily colony road gulnar basti, drig road, near muhammadi masjid shah faisal colony 5 khi</t>
  </si>
  <si>
    <t>1 Rolex Skeleton+ 1 Casio+ 3 Polo</t>
  </si>
  <si>
    <t>Other</t>
  </si>
  <si>
    <t>2 Bermudas</t>
  </si>
  <si>
    <t>Paid</t>
  </si>
  <si>
    <t>Sales</t>
  </si>
  <si>
    <t>Expenses</t>
  </si>
  <si>
    <t>Cash at Hand</t>
  </si>
  <si>
    <t>Karachi Sales</t>
  </si>
  <si>
    <t>Bermudas + Petrol+ Taip</t>
  </si>
  <si>
    <t>subhan tariq</t>
  </si>
  <si>
    <t>lahore samanabad near first round about hot chilli street house no 6-E-BLOCK B</t>
  </si>
  <si>
    <t>Delivery Expense</t>
  </si>
  <si>
    <t>13/7/2016</t>
  </si>
  <si>
    <t>2 Charger</t>
  </si>
  <si>
    <t>14/7/2016</t>
  </si>
  <si>
    <t>TALHA ALI</t>
  </si>
  <si>
    <t>Top Floor Al Rehman Plaza Gulberg Rd Lalamusa</t>
  </si>
  <si>
    <t>15/7/2016</t>
  </si>
  <si>
    <t>SAOOD PERVEZ</t>
  </si>
  <si>
    <t>135- A model town lahore</t>
  </si>
  <si>
    <t>ERAD ALI</t>
  </si>
  <si>
    <t>house no.1/sher plaza/block no.14 khushi mart</t>
  </si>
  <si>
    <t>khanewal</t>
  </si>
  <si>
    <t>pack of 3 Round Printed T-shirts</t>
  </si>
  <si>
    <t>house # 726 kamesri baagh darya road kotri</t>
  </si>
  <si>
    <t>kotri</t>
  </si>
  <si>
    <t>ADIL BAIG</t>
  </si>
  <si>
    <t>Seven Black Friday</t>
  </si>
  <si>
    <t>16/7/2016</t>
  </si>
  <si>
    <t>1 Rolex Skeleton+ Seven Friday+3 POLO + 3 roundneck</t>
  </si>
  <si>
    <t>Petrol+ Paid to Hassan(650)+Food+Print+Print on Shirts</t>
  </si>
  <si>
    <t>Purchases Computer</t>
  </si>
  <si>
    <t>17/7/2016</t>
  </si>
  <si>
    <t>Note 1 Battery</t>
  </si>
  <si>
    <t>Gohar Malik</t>
  </si>
  <si>
    <t>House no A-122 near sirjee collegiate 13A khi</t>
  </si>
  <si>
    <t>Mobile</t>
  </si>
  <si>
    <t>ZAHID JAVED</t>
  </si>
  <si>
    <t>Allama Iqbal Town House no 142 Bahawalpur Dewan pulli</t>
  </si>
  <si>
    <t>19/7/2016</t>
  </si>
  <si>
    <t>Muhammad Bilal Tahir</t>
  </si>
  <si>
    <t>H#27-G/167, gadwal wahCantt District Rawalpindi</t>
  </si>
  <si>
    <t>18/7/2016</t>
  </si>
  <si>
    <t>Petrol+Watch</t>
  </si>
  <si>
    <t>Extra Expenses Of Petrol &amp; Misselenious</t>
  </si>
  <si>
    <t>Petrol Expenses</t>
  </si>
  <si>
    <t>New Computer</t>
  </si>
  <si>
    <t>Payment Received</t>
  </si>
  <si>
    <t>denzil dsilva</t>
  </si>
  <si>
    <t>house#189 Street 12 phase 1 bahria town rawalpindi</t>
  </si>
  <si>
    <t>Petrol+print+Food</t>
  </si>
  <si>
    <t>3 Round Neck, 1 Rolex skeleton</t>
  </si>
  <si>
    <t>New Investment bY Bank</t>
  </si>
  <si>
    <t>okara</t>
  </si>
  <si>
    <t>shamshad tratders, ghalaandi, haveli lalha. sshop no. 6</t>
  </si>
  <si>
    <t>Waqas Ali</t>
  </si>
  <si>
    <t>Capt Kashif RAzeem</t>
  </si>
  <si>
    <t>Capt Kashif RAzeem Army aviation officer mess rahwali cantt Gurjanwala</t>
  </si>
  <si>
    <t>Pack of 5 round neck t-shirts</t>
  </si>
  <si>
    <t>Flyers Expenses</t>
  </si>
  <si>
    <t>20/7/2016</t>
  </si>
  <si>
    <t>5 Round Neck</t>
  </si>
  <si>
    <t>Cash Payment</t>
  </si>
  <si>
    <t>MUHAMMAD UZAIR</t>
  </si>
  <si>
    <t>First Call to the customer, Gujarkhan (Ward no#5)muslim school or Mc boys high school, house no 324</t>
  </si>
  <si>
    <t>Gujar Khan</t>
  </si>
  <si>
    <t>GHULAM NABI AWAN</t>
  </si>
  <si>
    <t xml:space="preserve">Printer Wire </t>
  </si>
  <si>
    <t>Paid Loan</t>
  </si>
  <si>
    <t>Petrol+Printer wire</t>
  </si>
  <si>
    <t>21/7/2016</t>
  </si>
  <si>
    <t>Charger</t>
  </si>
  <si>
    <t>UNION COUNCIL AZAKHEL PAYAN AAKHEL PAYAN, NEAR AZAKHEL POLICE STATION MAIN GT ROAD AXAKHEL PAYAN DISTRIT NOWSHERA</t>
  </si>
  <si>
    <t>M.Bilal</t>
  </si>
  <si>
    <t>2c/54 moria khan goth near karachi public school star gate karachi</t>
  </si>
  <si>
    <t>Casio</t>
  </si>
  <si>
    <t>22/7/2016</t>
  </si>
  <si>
    <t>Practical Journal</t>
  </si>
  <si>
    <t>Deal</t>
  </si>
  <si>
    <t>Petrol</t>
  </si>
  <si>
    <t>Physics Reg</t>
  </si>
  <si>
    <t>6 Polo T-shitrs</t>
  </si>
  <si>
    <t>c/o Dr. Abdul Khaliq (SMO), THQ hospital Dargai Bazaar, Tehsil Dargai, District Malakand</t>
  </si>
  <si>
    <t>Malakand</t>
  </si>
  <si>
    <t>ATHAL KHAN</t>
  </si>
  <si>
    <t>Description</t>
  </si>
  <si>
    <t>Receieved From Stallion (712+1617)</t>
  </si>
  <si>
    <t>Amount</t>
  </si>
  <si>
    <t>Bank Statement</t>
  </si>
  <si>
    <t>Opening</t>
  </si>
  <si>
    <t>Paid To Mubhasir</t>
  </si>
  <si>
    <t>Bank Cash Balance</t>
  </si>
  <si>
    <t>Fahad</t>
  </si>
  <si>
    <t>Zafeer Fakhar</t>
  </si>
  <si>
    <t>Mackranhouse1 Sariab road Quetta</t>
  </si>
  <si>
    <t>Black Casio in Chain</t>
  </si>
  <si>
    <t>24/7/2016</t>
  </si>
  <si>
    <t>25/7/2016</t>
  </si>
  <si>
    <t>Print+Petrol</t>
  </si>
  <si>
    <t>Debit</t>
  </si>
  <si>
    <t>Credit</t>
  </si>
  <si>
    <t>Paid To Hasan</t>
  </si>
  <si>
    <t>2 Super Hero T-shirts</t>
  </si>
  <si>
    <t>2 Casio, 5 round neck</t>
  </si>
  <si>
    <t>paid</t>
  </si>
  <si>
    <t>M.Shoaib</t>
  </si>
  <si>
    <t>Tower Self Delivered</t>
  </si>
  <si>
    <t>Waseem Yaqoob</t>
  </si>
  <si>
    <t>H#C-249, St#-54, Sector,F-7/4, France Colony Islamabad</t>
  </si>
  <si>
    <t>Received Payment From leopard and Stallion (11328+751)</t>
  </si>
  <si>
    <t>Balance</t>
  </si>
  <si>
    <t>WithDraw</t>
  </si>
  <si>
    <t>3 polo</t>
  </si>
  <si>
    <t>3 round</t>
  </si>
  <si>
    <t>seven Friday watch</t>
  </si>
  <si>
    <t>Computer Expenses</t>
  </si>
  <si>
    <t>Petrol &amp; Misselionus Expenses</t>
  </si>
  <si>
    <t>26/7/2016</t>
  </si>
  <si>
    <t>Deposit</t>
  </si>
  <si>
    <t>AFRAZ AHMED</t>
  </si>
  <si>
    <t>Davis Pharma Plot# 121, Industrial Triangle Area Kahuta Road, Islamabad.</t>
  </si>
  <si>
    <t>faiqua munir</t>
  </si>
  <si>
    <t>House 16 B rafiquee road civil lines sheikhupura</t>
  </si>
  <si>
    <t>2 Trousers</t>
  </si>
  <si>
    <t>Petrol, Ram, Chalan, Food</t>
  </si>
  <si>
    <t>petrol+Food+Trousers+Chalen+Ram+other expenses</t>
  </si>
  <si>
    <t>27/7/2016</t>
  </si>
  <si>
    <t>Abuzar Kafaiat</t>
  </si>
  <si>
    <t>Kashmir Colony number 2, Oppsite hayatian tika shop, near chanda qila</t>
  </si>
  <si>
    <t>4 long trousers</t>
  </si>
  <si>
    <t>27/6/2016</t>
  </si>
  <si>
    <t>4 Trousers</t>
  </si>
  <si>
    <t>WithDram From Bank</t>
  </si>
  <si>
    <t>WithDraw For Trouser Payment</t>
  </si>
  <si>
    <t>Petrol, Food</t>
  </si>
  <si>
    <t>UZAIR TAHIR</t>
  </si>
  <si>
    <t>Dha Phase 8 sector Q house # 43</t>
  </si>
  <si>
    <t>Pack of 10 logo t-shirts</t>
  </si>
  <si>
    <t>28/7/2016</t>
  </si>
  <si>
    <t>RABI BUTT</t>
  </si>
  <si>
    <t>House#G_11 iqbal colony gazi pur road sialkot</t>
  </si>
  <si>
    <t>MUNEEB SHAH</t>
  </si>
  <si>
    <t>Sheikh Maltoon Town Mardan Sector 'J' Street '5' House no. 244</t>
  </si>
  <si>
    <t>Casio+ Dw Pack</t>
  </si>
  <si>
    <t>29/7/2016</t>
  </si>
  <si>
    <t>With Draw for Paid to Mubhasir &amp; Hasan(2370+1930)</t>
  </si>
  <si>
    <t>From Bank</t>
  </si>
  <si>
    <t>Petrol+ Print</t>
  </si>
  <si>
    <t>Casio+Dw, 3 Polo, 10 Roundneck</t>
  </si>
  <si>
    <t>RAYED NASEER</t>
  </si>
  <si>
    <t>First Call to the customer, Leopard Branch Rasheed Chowk Samanabad Faisalabad</t>
  </si>
  <si>
    <t>Ck 3 underwear</t>
  </si>
  <si>
    <t>ALI MIRZA</t>
  </si>
  <si>
    <t>39/1-A civil lines jauharabad khushab</t>
  </si>
  <si>
    <t>Khushab</t>
  </si>
  <si>
    <t>ASIF RAZA SHAH</t>
  </si>
  <si>
    <t>House no 195, street no 3, gulshan-e-fatima colony near palace chowk okara</t>
  </si>
  <si>
    <t>QAMAR GAUHAR</t>
  </si>
  <si>
    <t>H.267 BLOCK E PUNJAB GOVT EMPLOYEES COOPERATIVE HOUSING SOCIETY PHASE 2, COLLEGE ROAD LAHORE</t>
  </si>
  <si>
    <t>Received Payment From Stallion</t>
  </si>
  <si>
    <t>WithDraw for Personal Use</t>
  </si>
  <si>
    <t>Casio, 4 tourser+ 3 underwear, 10 t-shirts</t>
  </si>
  <si>
    <t>Petrol+ Print+ 4 trouser+ 2 underwear</t>
  </si>
  <si>
    <t>Cash</t>
  </si>
  <si>
    <t>raja bilawal</t>
  </si>
  <si>
    <t>house num 231 street num 4b ghoritown phase 5 islamabad</t>
  </si>
  <si>
    <t>farhan jawaid</t>
  </si>
  <si>
    <t>house # 59/3-A,Al syed street # 1,javed town,gulbahar # 4,peahawar</t>
  </si>
  <si>
    <t>3 Round neck t-shirts</t>
  </si>
  <si>
    <t>Moazzam Khan</t>
  </si>
  <si>
    <t>Flat No 401, 4th Floor , Makkah Appartment , Street No 5, Masjid Road,Bihar Colony Lyari KARACHI</t>
  </si>
  <si>
    <t>3 Casio</t>
  </si>
  <si>
    <t>Mudassar Hanif</t>
  </si>
  <si>
    <t>House no G 155 defence view DHA phase 2 near iqra university karachi</t>
  </si>
  <si>
    <t>1 rolex, 2 casio, 1 butterfly</t>
  </si>
  <si>
    <t>KHOZEMA LODHI</t>
  </si>
  <si>
    <t>SAYMOON HASSAN</t>
  </si>
  <si>
    <t>House # 478A Muhala Akram Abad Colony Block 18 Dera Ghazi Khan</t>
  </si>
  <si>
    <t>HOUSE NO.17 , BLOCK H-2 , WAPDA TOWN , LAHORE</t>
  </si>
  <si>
    <t>Butterfly</t>
  </si>
  <si>
    <t>Petrol &amp; Food</t>
  </si>
  <si>
    <t>Food &amp; Petrol</t>
  </si>
  <si>
    <t>Paid To Ami</t>
  </si>
  <si>
    <t>Paid Cash to Mubhasir</t>
  </si>
  <si>
    <t>50 Short</t>
  </si>
  <si>
    <t>Nafeed Rehman</t>
  </si>
  <si>
    <t>1A 2/16 Naziamabad No. 1 Near Qadri house and Sir Syed Marriege Lawn Qadri House</t>
  </si>
  <si>
    <t>Cheque From leopard</t>
  </si>
  <si>
    <t>10 roundneck</t>
  </si>
  <si>
    <t>Net Loss return nd GST (=280+320+195)</t>
  </si>
  <si>
    <t>Farhan Mirza</t>
  </si>
  <si>
    <t>Crystal Tower Top Floor Liberty market Gulberg III Variety Books</t>
  </si>
  <si>
    <t>Pack of 4 T-shirts</t>
  </si>
  <si>
    <t>Shariq Nisar</t>
  </si>
  <si>
    <t>Office D-6 4th Floor Descon Plaza near PSO Pump Main Nursery Bus Stop Shahra e Faisal PSO Petrol Pump and KFC nursery</t>
  </si>
  <si>
    <t>Watch, Food, petrol, Print</t>
  </si>
  <si>
    <t>Loan From Ami</t>
  </si>
  <si>
    <t>Net Profit</t>
  </si>
  <si>
    <t>Receieved From Customer</t>
  </si>
  <si>
    <t>Stallion Parcel Cheque(1589+999)</t>
  </si>
  <si>
    <t>4 trousers</t>
  </si>
  <si>
    <t>butterfly, 3 round, 4 V-neck Half</t>
  </si>
  <si>
    <t>HINA KHADIJA HINA</t>
  </si>
  <si>
    <t>house 330 block D street 11 Pchs gazi road near dha lahore</t>
  </si>
  <si>
    <t>Paid to hassan</t>
  </si>
  <si>
    <t>Trousers</t>
  </si>
  <si>
    <t>7 casio, 1 Rolex, 2 Bermudas, 6 round neck</t>
  </si>
  <si>
    <t>3 round neck</t>
  </si>
  <si>
    <t>Print</t>
  </si>
  <si>
    <t>Closed on 5/8/2016</t>
  </si>
  <si>
    <t>SHOAIB AHMAD</t>
  </si>
  <si>
    <t>Rabwah</t>
  </si>
  <si>
    <t>First Call to the customer, Darul Nasar Gharbi ,Rabwah</t>
  </si>
  <si>
    <t>Sardar Ali C/o Mudassir Wahab Ali</t>
  </si>
  <si>
    <t>F-251/2, Basement, Street # 26, Officers Colony,</t>
  </si>
  <si>
    <t>Rolex Subminar Blue</t>
  </si>
  <si>
    <t>RAZA IRSHAD</t>
  </si>
  <si>
    <t>210k, X Block, kashmir road, peoples colony gujranwala</t>
  </si>
  <si>
    <t>Battery</t>
  </si>
  <si>
    <t>Arbab</t>
  </si>
  <si>
    <t>Self</t>
  </si>
  <si>
    <t>Bermuda</t>
  </si>
  <si>
    <t>Profit Distribution</t>
  </si>
  <si>
    <t>Profit Distributed</t>
  </si>
  <si>
    <t>Company Balance</t>
  </si>
  <si>
    <t>Farooq Zaffar</t>
  </si>
  <si>
    <t>House number 60/Gulshan-e-wahid phase 2/school road/1.5 km off bosan road/multan Fort Avenue Housing Scheme</t>
  </si>
  <si>
    <t>aqsa javed</t>
  </si>
  <si>
    <t>street#05house#D362 bohar bazar rawalpini</t>
  </si>
  <si>
    <t>Kamal Ahmad</t>
  </si>
  <si>
    <t>63 Raniya Mall Bank Road Rwp</t>
  </si>
  <si>
    <t>MALIK RIZWAN AKHTAR</t>
  </si>
  <si>
    <t>lillah town mohalah saleem pura Awan house mandi bahauddin</t>
  </si>
  <si>
    <t>mandi Bahauddin</t>
  </si>
  <si>
    <t>Tauseef Ali</t>
  </si>
  <si>
    <t>Glamour tower flat 603 near rufi appartment gulshan 13 d 2 karachi</t>
  </si>
  <si>
    <t>AADI MUGHAL</t>
  </si>
  <si>
    <t>Al asim houe 888/42-k-86/XEX street num 21 usman abad colony Multan near Eid gah</t>
  </si>
  <si>
    <t>MOID ABBAS</t>
  </si>
  <si>
    <t>Sheikh Jee - Home Fashions.113 Ferozepur Road</t>
  </si>
  <si>
    <t>SHEHRYAR KHAN</t>
  </si>
  <si>
    <t>425-N DHA Ph.1 (EXT) Lahore</t>
  </si>
  <si>
    <t>TALHA MEHMOOD</t>
  </si>
  <si>
    <t>Home#516 , block j, johar town,lahore.</t>
  </si>
  <si>
    <t>2 Casio Chain, Casio Leather,2 Curren</t>
  </si>
  <si>
    <t>KHAWAR JATOI</t>
  </si>
  <si>
    <t>kotla road ward no.8 subhan Allah Street Jatoi House Dist Rajanpur, Tehsil Jampur</t>
  </si>
  <si>
    <t>Rajanpur</t>
  </si>
  <si>
    <t>(Call to the customer,) Village Rajo Nizamani Taluka And District Tando Muhammad khan, Tando Muhammad khan</t>
  </si>
  <si>
    <t>AHTSHAM KHAN</t>
  </si>
  <si>
    <t>Tando Mhd Khan</t>
  </si>
  <si>
    <t>Casio Blue Leather</t>
  </si>
  <si>
    <t>RANA IMRAN</t>
  </si>
  <si>
    <t>st/01,house/03,gulshan colony near ithad street road sahiwal</t>
  </si>
  <si>
    <t>BILAL ARSHAD</t>
  </si>
  <si>
    <t>Call to the customer, aslam town street 1 water course tehsil sadiq abad district rahim yar khan</t>
  </si>
  <si>
    <t>Printer Paper</t>
  </si>
  <si>
    <t>Super Card Load</t>
  </si>
  <si>
    <t>mobile card+printer paper</t>
  </si>
  <si>
    <t>Paid To hasan(3500) (1000 Cash, 2500 From Bank)</t>
  </si>
  <si>
    <t>WithDraw (5000)Paid Mubhasir (4000)+1000 Cash Payment For Trousers</t>
  </si>
  <si>
    <t>Hasan Balance</t>
  </si>
  <si>
    <t>Pre Balance</t>
  </si>
  <si>
    <t>=</t>
  </si>
  <si>
    <t>8/82016</t>
  </si>
  <si>
    <t xml:space="preserve">6 Round, 4 Full Sleeve V, 1 pakistani, </t>
  </si>
  <si>
    <t>Mubhasir Balance</t>
  </si>
  <si>
    <t>5 casio, 2 curren, 4 trouser, 6 roundneck, 4 full, 1 pakistani</t>
  </si>
  <si>
    <t>Mubhasir Paid</t>
  </si>
  <si>
    <t>Trousers expenses</t>
  </si>
  <si>
    <t>Print and Petrol</t>
  </si>
  <si>
    <t>210K, X BLOCK, KASHMIR ROAD, PEOPLES COLONY GUJRANWALA</t>
  </si>
  <si>
    <t>TARIQ SHAH</t>
  </si>
  <si>
    <t>H NO. G.K 13 JEEWAN JEE STEART NEAR KPT MARRIAGE HALL KEMARI KARACHI</t>
  </si>
  <si>
    <t>Pakistani t-shirts</t>
  </si>
  <si>
    <t>muntaha arif</t>
  </si>
  <si>
    <t>house no 41 near city police office muzaffarabad</t>
  </si>
  <si>
    <t>Muzaffarabad</t>
  </si>
  <si>
    <t>Ubaid Raza</t>
  </si>
  <si>
    <t>A-13 Al hilal socity opp Askari park Sabzimandi Karachi,</t>
  </si>
  <si>
    <t>4 Full sleeve</t>
  </si>
  <si>
    <t>Deduct Charges For SMS Bank Services</t>
  </si>
  <si>
    <t>Personal Use</t>
  </si>
  <si>
    <t>2 trousers</t>
  </si>
  <si>
    <t>5 round t-shirts</t>
  </si>
  <si>
    <t>SMS Services Charges</t>
  </si>
  <si>
    <t>Petrol &amp; Print &amp; Food</t>
  </si>
  <si>
    <t>Pack of 5 Pakistani T-shirts</t>
  </si>
  <si>
    <t>Waqas Siddiqui</t>
  </si>
  <si>
    <t>House no 49/C Block A latifabad hyderabad Latifabad 6</t>
  </si>
  <si>
    <t>3 y-Neck American T-shirts</t>
  </si>
  <si>
    <t>A 201, street 5, block 3 Gulistan E Johar Karachi Shadi Qila</t>
  </si>
  <si>
    <t>Mubashir Haider</t>
  </si>
  <si>
    <t>5 pakistani shirts</t>
  </si>
  <si>
    <t>American 3 t-shirts</t>
  </si>
  <si>
    <t>ISRAR AHMAD</t>
  </si>
  <si>
    <t>flat no 1 near chaudhry service station nasirabad janubi</t>
  </si>
  <si>
    <t>6 Basic round, 1 Rolex Subminar, american 3 t shirts</t>
  </si>
  <si>
    <t>13/8/2016</t>
  </si>
  <si>
    <t>3 Jeans pants</t>
  </si>
  <si>
    <t>Kaymu Commission Expenses</t>
  </si>
  <si>
    <t>Pants</t>
  </si>
  <si>
    <t>With Draw For kaymu</t>
  </si>
  <si>
    <t>Kaymu Extra Commission</t>
  </si>
  <si>
    <t>2 Pants</t>
  </si>
  <si>
    <t>15/8/2016</t>
  </si>
  <si>
    <t>skeleton, 2 subminar, white armani, 1 yneck, 5 tights( 16, casio, subminar)</t>
  </si>
  <si>
    <t>adnan mir mughal</t>
  </si>
  <si>
    <t>dsl room ptcl defence exchange link avenue road dha phase 2 karachi karachi</t>
  </si>
  <si>
    <t>Pant</t>
  </si>
  <si>
    <t>Rolex Subminar</t>
  </si>
  <si>
    <t>4 t-shirts</t>
  </si>
  <si>
    <t>Engine Oil</t>
  </si>
  <si>
    <t>Withdraw for payment nd Personal(Hasan to 2000)</t>
  </si>
  <si>
    <t>Payment t0 hasan nd pants and Tithgts</t>
  </si>
  <si>
    <t>Return to customer</t>
  </si>
  <si>
    <t>ADILA RASHEED</t>
  </si>
  <si>
    <t>House 436/B street#6 new islam pura toba tek singh</t>
  </si>
  <si>
    <t>MOHAMMAD AHSAN</t>
  </si>
  <si>
    <t>First Call to the customer, sattlite town</t>
  </si>
  <si>
    <t>Rolex Blue Subminar</t>
  </si>
  <si>
    <t>TALHA KHAN</t>
  </si>
  <si>
    <t>15 shiraz park, ittahad colony, iqbal town, lahore, Scheme mor</t>
  </si>
  <si>
    <t>White Armani</t>
  </si>
  <si>
    <t>Saad Danish</t>
  </si>
  <si>
    <t>House 124, street 2, sector D , sheikh maltoon town mardan</t>
  </si>
  <si>
    <t>Agha Aurangzeb</t>
  </si>
  <si>
    <t>Office no. 304, 3rd floor, Kashif Center, Shar-e-Faisal Karachi Mehran Hotel</t>
  </si>
  <si>
    <t>ARIF HUSSAIN</t>
  </si>
  <si>
    <t>Block No: new 4 Nishter Muhalla Murad ALi shah Shoping Centre, Murad ALi shah Shoping Centre</t>
  </si>
  <si>
    <t>Kandiaro</t>
  </si>
  <si>
    <t>16/8/2016</t>
  </si>
  <si>
    <t>17/8/2016</t>
  </si>
  <si>
    <t>rolex Skeleton, puma</t>
  </si>
  <si>
    <t>Bike Repairring</t>
  </si>
  <si>
    <t>Petrol &amp; Food &amp; Bike Puncture</t>
  </si>
  <si>
    <t>WAQAS KHAN</t>
  </si>
  <si>
    <t>HOUSE # 497A, PHASE # 1, ARMOUR COLONY MANKI ROAD</t>
  </si>
  <si>
    <t>Fozia Urooje</t>
  </si>
  <si>
    <t>Bashir Ahmad Iqbal street 15 house 99 mahjir colony Sadiq abad</t>
  </si>
  <si>
    <t>Sadiqabad</t>
  </si>
  <si>
    <t>18/8/2016</t>
  </si>
  <si>
    <t>Casio + DW</t>
  </si>
  <si>
    <t>3 Underwear</t>
  </si>
  <si>
    <t>10 t-shirts</t>
  </si>
  <si>
    <t>3 t-shirts</t>
  </si>
  <si>
    <t>deal of watches</t>
  </si>
  <si>
    <t>pakistani shirts</t>
  </si>
  <si>
    <t>Receieved From Leopard</t>
  </si>
  <si>
    <t>With Draw For Profit and Use</t>
  </si>
  <si>
    <t>Petrol &amp; Print</t>
  </si>
  <si>
    <t>to noman</t>
  </si>
  <si>
    <t>Hassan</t>
  </si>
  <si>
    <t>GST &amp; Net loss</t>
  </si>
  <si>
    <t>Revenue</t>
  </si>
  <si>
    <t>CLOSEd on 18/8/2016</t>
  </si>
  <si>
    <t>6 shirts</t>
  </si>
  <si>
    <t>Maria Kamal</t>
  </si>
  <si>
    <t>Askari_4, block#9 , flat#(F) Rawalpindi. Cannt</t>
  </si>
  <si>
    <t>Pack of 4 shirts</t>
  </si>
  <si>
    <t>ZARAQ KHAN</t>
  </si>
  <si>
    <t>P/O Box Chirah Islamabad nazd atamicenagy nilor isb &amp; nazd HBL Bank Chirah Choke</t>
  </si>
  <si>
    <t>NISAR SALEH MOHAMMAD</t>
  </si>
  <si>
    <t>First Call to the customer, dashti market lakim shop</t>
  </si>
  <si>
    <t>Nofal wadood BUTT</t>
  </si>
  <si>
    <t>House no1sultan house haider street Murray college road MURRAYCOLLEGEROAD</t>
  </si>
  <si>
    <t>FATIMA ZIA</t>
  </si>
  <si>
    <t>HOUSE NO. 112-C STREET NO. 66 ILM DIN STREET ARIF CHOWK PAKI THATI NEAR IQBAL TOWN SAMANABAD LHR.</t>
  </si>
  <si>
    <t>Iqbal</t>
  </si>
  <si>
    <t>Kurti AGHA NOOR</t>
  </si>
  <si>
    <t>19/8/2016</t>
  </si>
  <si>
    <t>KHIZAR GURMANI</t>
  </si>
  <si>
    <t>HOUSE NAME SUBHAN MANZIL, DILAWAR COLONY STREET NO 5, YAZMAN ROAD BAHAWALPUR</t>
  </si>
  <si>
    <t>Kurti, 5 round neck shirts</t>
  </si>
  <si>
    <t>WithDraw For Kurti Payment</t>
  </si>
  <si>
    <t xml:space="preserve">New </t>
  </si>
  <si>
    <t>Kurti Expenses</t>
  </si>
  <si>
    <t>20/8/2016</t>
  </si>
  <si>
    <t>Mubhasir Remaining</t>
  </si>
  <si>
    <t>Paid to mubhasir</t>
  </si>
  <si>
    <t>Paid to Mubhasir(10900, 100 Cash)</t>
  </si>
  <si>
    <t>Aurangzeb Ismail</t>
  </si>
  <si>
    <t>H.No.:SD-204 Falcon Complex Malir Cantt Karachi</t>
  </si>
  <si>
    <t>21/8/2016</t>
  </si>
  <si>
    <t>SYED HASEEB SHAH</t>
  </si>
  <si>
    <t>Chak Pindi dakhana haas tehsil o zelaah Gujrat</t>
  </si>
  <si>
    <t>Gujrat</t>
  </si>
  <si>
    <t>Zainab Chotani Suit</t>
  </si>
  <si>
    <t>CH USAMA</t>
  </si>
  <si>
    <t>52A/A Nawab town main Raiwind road lhr</t>
  </si>
  <si>
    <t>22/8/2016</t>
  </si>
  <si>
    <t>Payment Received from stallion</t>
  </si>
  <si>
    <t>WWE T-shirts</t>
  </si>
  <si>
    <t>White Armani, Zainab Suit</t>
  </si>
  <si>
    <t>ALI RAZA</t>
  </si>
  <si>
    <t>HOUSE NO# /79A STREET# 104/ G7/4G7</t>
  </si>
  <si>
    <t>Pack of 10 Round neck t-shirts</t>
  </si>
  <si>
    <t>24/8/2016</t>
  </si>
  <si>
    <t>Noman Commission</t>
  </si>
  <si>
    <t>SIRAJ AHMED</t>
  </si>
  <si>
    <t>NATONAL BANK OF PAKISTAN MILITARY ROAD SUKKUR REDCARPET HOTEL</t>
  </si>
  <si>
    <t>Sukkur</t>
  </si>
  <si>
    <t>FAIZAN UNAR</t>
  </si>
  <si>
    <t>HOUSE #217 GHARIBABAD MUHALLA JACOBABAD RAILWAY STATION JACOBABAD</t>
  </si>
  <si>
    <t>Jacobabad</t>
  </si>
  <si>
    <t>BISAX BAXX</t>
  </si>
  <si>
    <t>FIRST CALL TO THE CUSTOMER, RAIVAND LAHORE</t>
  </si>
  <si>
    <t>HAMZA WALEED</t>
  </si>
  <si>
    <t>ADVANCE MOBILE CENTER, KOTLA ROAD GULYANA TEHSIL KHARIAN DISTRICT GUJRAT</t>
  </si>
  <si>
    <t>Pack of 4 branded t-shirts</t>
  </si>
  <si>
    <t>23/8/2016</t>
  </si>
  <si>
    <t>4 Trousers, 19 shirts</t>
  </si>
  <si>
    <t>CK watch</t>
  </si>
  <si>
    <t>Payment Received from stallion (Paid Hasan 4400) Cash Used</t>
  </si>
  <si>
    <t>petrol</t>
  </si>
  <si>
    <t>Ami Loan</t>
  </si>
  <si>
    <t>expenses</t>
  </si>
  <si>
    <t>Sabirs' Poultary Manga Mandi, Opposite Police Station Manga Mandi</t>
  </si>
  <si>
    <t>ARFAN ALI</t>
  </si>
  <si>
    <t>25/8/2016</t>
  </si>
  <si>
    <t>26/8/2016</t>
  </si>
  <si>
    <t>Ali Ahsan</t>
  </si>
  <si>
    <t>410 G 4 Johar town Lahore</t>
  </si>
  <si>
    <t>Glass Protector</t>
  </si>
  <si>
    <t>Kashif Altaf</t>
  </si>
  <si>
    <t>House no 72 A fateh sher colony sahiwal Sahiwal</t>
  </si>
  <si>
    <t>Pack of 3 t-shirts, 3 Bermuda</t>
  </si>
  <si>
    <t>SONU SHEZI</t>
  </si>
  <si>
    <t>CALL TO THE CUSTOMER, CHOWK GARI KHANA INSIDE LAHORI GATE PESHAWAR</t>
  </si>
  <si>
    <t>Boltan</t>
  </si>
  <si>
    <t>Rayan Glasses</t>
  </si>
  <si>
    <t>SHARJEEL MEMON</t>
  </si>
  <si>
    <t>ALI MUHAMMAD MADICAL STORE TALUKA BULRI SHAH KARIM DISTT TANDO MUHAMMAD KHAN</t>
  </si>
  <si>
    <t>USB data Cable</t>
  </si>
  <si>
    <t>NOMI BALOCH</t>
  </si>
  <si>
    <t>1ST FLOOR SHOP # 36/37 AMIN ASLAM PLAZA ,FAWARA CHOWK</t>
  </si>
  <si>
    <t>Attock</t>
  </si>
  <si>
    <t>Pack of 3 Bermuda</t>
  </si>
  <si>
    <t>2 trousers, 6 bermuda, 3 roundneck, 1 polo</t>
  </si>
  <si>
    <t>26/8/3016</t>
  </si>
  <si>
    <t>Trouser payment</t>
  </si>
  <si>
    <t>Glasses</t>
  </si>
  <si>
    <t>Food</t>
  </si>
  <si>
    <t>Umer Arbab</t>
  </si>
  <si>
    <t>Seaview apartments block 18 SF1</t>
  </si>
  <si>
    <t>Polo Ferrari t-shirts</t>
  </si>
  <si>
    <t>27/8/2016</t>
  </si>
  <si>
    <t>Ferrari t-shirts</t>
  </si>
  <si>
    <t>28/9/2016</t>
  </si>
  <si>
    <t>OM PARKASH PUNSHI</t>
  </si>
  <si>
    <t>Raja clinic near mahar house Doctors area</t>
  </si>
  <si>
    <t>Mirpur mathelo</t>
  </si>
  <si>
    <t>29/8/2016</t>
  </si>
  <si>
    <t>FARJAD RAFAY</t>
  </si>
  <si>
    <t>Block no. 10-C flat no 6, sector g-9/2 islamabad</t>
  </si>
  <si>
    <t>Tag Heuer Monaco</t>
  </si>
  <si>
    <t>bilal ahmed</t>
  </si>
  <si>
    <t>First Call to the customer, diplomatic encalve g-5 islamabad near secretrait police station</t>
  </si>
  <si>
    <t>30/8/2016</t>
  </si>
  <si>
    <t>Muhammad Noman</t>
  </si>
  <si>
    <t>Soorty Enterprises pvt Ltd, spinning unit no. 11 bin Qasim town Karachi fast University</t>
  </si>
  <si>
    <t>SHAHARYAR BAJWA</t>
  </si>
  <si>
    <t>Darbarpulli house no 22 , Bahawalpur</t>
  </si>
  <si>
    <t>imran rao</t>
  </si>
  <si>
    <t>house#36 st,3 paf road liaqat colony sargodha</t>
  </si>
  <si>
    <t>Pack of 2 pants</t>
  </si>
  <si>
    <t>RAZI LILLA</t>
  </si>
  <si>
    <t>First Call to the Customer, Leopard Courier Office 9 No. Chungi Near happy time marriage hall sargodha</t>
  </si>
  <si>
    <t>SHAHBAZ</t>
  </si>
  <si>
    <t>Hafiz Super store behind govt elementry school chak 48/3.r Haroonabad</t>
  </si>
  <si>
    <t>NAVEED ORDER</t>
  </si>
  <si>
    <t>Casio &amp; Tag Monaco</t>
  </si>
  <si>
    <t>Not Paid</t>
  </si>
  <si>
    <t>Hasan Remaining</t>
  </si>
  <si>
    <t>4 trousers, 2 pants, 9 round neck</t>
  </si>
  <si>
    <t>29/9/2016</t>
  </si>
  <si>
    <t>Food Expenses</t>
  </si>
  <si>
    <t>Received Payment From Stallion (2634+1025)</t>
  </si>
  <si>
    <t>Received Payment From  Leopard</t>
  </si>
  <si>
    <t>With Draw for payment to hasan(3000)trouser(1300)pant &amp; other expenses</t>
  </si>
  <si>
    <t>Petrol &amp; food</t>
  </si>
  <si>
    <t xml:space="preserve">Puma </t>
  </si>
  <si>
    <t>4 shirts</t>
  </si>
  <si>
    <t>3 shirts</t>
  </si>
  <si>
    <t>2 pants</t>
  </si>
  <si>
    <t>5 tights</t>
  </si>
  <si>
    <t>3 yneck</t>
  </si>
  <si>
    <t>Rolex</t>
  </si>
  <si>
    <t>armani</t>
  </si>
  <si>
    <t>Kurti</t>
  </si>
  <si>
    <t>5 shirts</t>
  </si>
  <si>
    <t>CLOSEd on 30/8/2016</t>
  </si>
  <si>
    <t>Petrol, Food, Print</t>
  </si>
  <si>
    <t>Super Card</t>
  </si>
  <si>
    <t>saher fatima</t>
  </si>
  <si>
    <t>Bahria town lahore safari villas house no 423/6 lane 12</t>
  </si>
  <si>
    <t>ZARINA NAZIR</t>
  </si>
  <si>
    <t>HOUSE NO C132, WARD NO 4 NEAR BILAL MASJID</t>
  </si>
  <si>
    <t>Pack of 4 kurti</t>
  </si>
  <si>
    <t>NAEEM ZAHID</t>
  </si>
  <si>
    <t>regional meteorological centre 46 jail road lahore, IF NOT FOUND CALL TO THE CUSTOMER</t>
  </si>
  <si>
    <t>31/8/2016</t>
  </si>
  <si>
    <t>AMEEN KHAN KHILJI</t>
  </si>
  <si>
    <t>al siraj communication opp helper eye hospital sariab road quetta</t>
  </si>
  <si>
    <t>shoukat khan</t>
  </si>
  <si>
    <t>fancy kabab house shop number 1 sakina arcade opposite mubarak masjid main gizri road clifton town karachi total petrol pump main gizri road</t>
  </si>
  <si>
    <t>Paid to Ami</t>
  </si>
  <si>
    <t>Balance Remaining For Ami</t>
  </si>
  <si>
    <t>ZULFIQAR ALI</t>
  </si>
  <si>
    <t>First Call to the customer, Moza jandraka p.o.box jandraka teh &amp; disst okara Jazz tower</t>
  </si>
  <si>
    <t>suhail ahmed</t>
  </si>
  <si>
    <t>(self collection) Multan Cantt</t>
  </si>
  <si>
    <t>Pack of 2 Hareem Pants</t>
  </si>
  <si>
    <t>House # MC 77 Mohallah Nogazi Mansehra Amir Kiryana Store</t>
  </si>
  <si>
    <t>TAIMUR SHAHZAD</t>
  </si>
  <si>
    <t>Manshera</t>
  </si>
  <si>
    <t>MATI SHEIKH</t>
  </si>
  <si>
    <t>First Call to the customer, lala zar coloney khalil showk mandi bahouddin received person name : mati ur rehman</t>
  </si>
  <si>
    <t>ALAMKHAN NOORI</t>
  </si>
  <si>
    <t xml:space="preserve">Gul Communication shahpoor hotel tcs main road turbat </t>
  </si>
  <si>
    <t>AHMED NAWAZ</t>
  </si>
  <si>
    <t>First Call to the customer, Pasrur Road Near Amna Mart Sialkot,Punjab</t>
  </si>
  <si>
    <t>DW Watch</t>
  </si>
  <si>
    <t>Hareem pants</t>
  </si>
  <si>
    <t>With Draw For Hareem payment</t>
  </si>
  <si>
    <t>Casio &amp; DW, 4 trouser, 4 round neck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</si>
</sst>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666666"/>
      <name val="Arial"/>
      <family val="2"/>
    </font>
    <font>
      <sz val="11"/>
      <color theme="0"/>
      <name val="Calibri"/>
      <family val="2"/>
      <scheme val="minor"/>
    </font>
    <font>
      <b/>
      <sz val="9"/>
      <color rgb="FF666666"/>
      <name val="Arial"/>
      <family val="2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rgb="FF414141"/>
      <name val="Arial"/>
      <family val="2"/>
    </font>
    <font>
      <sz val="11"/>
      <color rgb="FFFF0000"/>
      <name val="Calibri"/>
      <family val="2"/>
      <scheme val="minor"/>
    </font>
    <font>
      <sz val="11"/>
      <color rgb="FF414141"/>
      <name val="Calibri"/>
      <family val="2"/>
      <scheme val="minor"/>
    </font>
    <font>
      <sz val="9"/>
      <color rgb="FF373E4D"/>
      <name val="Arial"/>
      <family val="2"/>
    </font>
    <font>
      <sz val="9"/>
      <color rgb="FF4B4F56"/>
      <name val="Arial"/>
      <family val="2"/>
    </font>
    <font>
      <b/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9"/>
      <color rgb="FF414141"/>
      <name val="Inherit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theme="0"/>
      <name val="Arial"/>
      <family val="2"/>
    </font>
    <font>
      <sz val="48"/>
      <color theme="0"/>
      <name val="Calibri"/>
      <family val="2"/>
      <scheme val="minor"/>
    </font>
    <font>
      <sz val="9"/>
      <color rgb="FF333333"/>
      <name val="Arial"/>
      <family val="2"/>
    </font>
    <font>
      <sz val="9"/>
      <color rgb="FF68676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rgb="FFE6E6E6"/>
      </top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729EA5"/>
      </left>
      <right style="medium">
        <color rgb="FF729EA5"/>
      </right>
      <top style="medium">
        <color rgb="FF729EA5"/>
      </top>
      <bottom style="medium">
        <color rgb="FF729EA5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7" borderId="3" applyNumberFormat="0" applyAlignment="0" applyProtection="0"/>
  </cellStyleXfs>
  <cellXfs count="170">
    <xf numFmtId="0" fontId="0" fillId="0" borderId="0" xfId="0"/>
    <xf numFmtId="0" fontId="1" fillId="3" borderId="0" xfId="0" applyFont="1" applyFill="1" applyAlignment="1"/>
    <xf numFmtId="0" fontId="1" fillId="0" borderId="0" xfId="0" applyFont="1" applyFill="1" applyAlignment="1"/>
    <xf numFmtId="0" fontId="1" fillId="3" borderId="0" xfId="0" applyFont="1" applyFill="1" applyBorder="1" applyAlignment="1"/>
    <xf numFmtId="0" fontId="1" fillId="5" borderId="0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left"/>
    </xf>
    <xf numFmtId="3" fontId="1" fillId="0" borderId="0" xfId="0" applyNumberFormat="1" applyFont="1" applyFill="1" applyAlignment="1">
      <alignment horizontal="right"/>
    </xf>
    <xf numFmtId="0" fontId="1" fillId="0" borderId="1" xfId="0" applyFont="1" applyFill="1" applyBorder="1" applyAlignme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ill="1"/>
    <xf numFmtId="14" fontId="1" fillId="0" borderId="0" xfId="0" applyNumberFormat="1" applyFont="1" applyFill="1" applyAlignment="1">
      <alignment horizontal="right"/>
    </xf>
    <xf numFmtId="14" fontId="1" fillId="0" borderId="0" xfId="0" applyNumberFormat="1" applyFont="1" applyFill="1" applyBorder="1" applyAlignment="1">
      <alignment horizontal="right"/>
    </xf>
    <xf numFmtId="14" fontId="1" fillId="5" borderId="0" xfId="0" applyNumberFormat="1" applyFont="1" applyFill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1" fillId="0" borderId="0" xfId="0" applyFont="1" applyFill="1" applyAlignment="1">
      <alignment horizontal="right"/>
    </xf>
    <xf numFmtId="0" fontId="1" fillId="0" borderId="0" xfId="0" applyFont="1" applyAlignment="1"/>
    <xf numFmtId="0" fontId="1" fillId="5" borderId="0" xfId="0" applyFont="1" applyFill="1" applyAlignment="1"/>
    <xf numFmtId="3" fontId="1" fillId="0" borderId="0" xfId="0" applyNumberFormat="1" applyFont="1" applyFill="1" applyAlignment="1"/>
    <xf numFmtId="0" fontId="1" fillId="0" borderId="0" xfId="1" applyFont="1" applyFill="1" applyBorder="1" applyAlignment="1"/>
    <xf numFmtId="14" fontId="1" fillId="3" borderId="0" xfId="0" applyNumberFormat="1" applyFont="1" applyFill="1" applyAlignment="1"/>
    <xf numFmtId="14" fontId="1" fillId="0" borderId="0" xfId="0" applyNumberFormat="1" applyFont="1" applyFill="1" applyAlignment="1"/>
    <xf numFmtId="0" fontId="1" fillId="0" borderId="0" xfId="0" applyFont="1" applyFill="1" applyAlignment="1">
      <alignment horizontal="left"/>
    </xf>
    <xf numFmtId="1" fontId="1" fillId="0" borderId="0" xfId="0" applyNumberFormat="1" applyFont="1" applyFill="1" applyBorder="1" applyAlignment="1"/>
    <xf numFmtId="1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5" fillId="4" borderId="0" xfId="0" applyFont="1" applyFill="1" applyAlignment="1"/>
    <xf numFmtId="0" fontId="5" fillId="4" borderId="0" xfId="0" applyFont="1" applyFill="1" applyBorder="1" applyAlignment="1"/>
    <xf numFmtId="14" fontId="5" fillId="4" borderId="0" xfId="0" applyNumberFormat="1" applyFont="1" applyFill="1" applyBorder="1" applyAlignment="1">
      <alignment horizontal="right"/>
    </xf>
    <xf numFmtId="0" fontId="4" fillId="0" borderId="0" xfId="0" applyFont="1" applyFill="1"/>
    <xf numFmtId="14" fontId="5" fillId="4" borderId="0" xfId="0" applyNumberFormat="1" applyFont="1" applyFill="1" applyAlignment="1"/>
    <xf numFmtId="0" fontId="4" fillId="0" borderId="0" xfId="0" applyFont="1"/>
    <xf numFmtId="14" fontId="5" fillId="4" borderId="0" xfId="0" applyNumberFormat="1" applyFont="1" applyFill="1" applyAlignment="1">
      <alignment horizontal="right"/>
    </xf>
    <xf numFmtId="0" fontId="5" fillId="4" borderId="0" xfId="0" applyFont="1" applyFill="1" applyAlignment="1">
      <alignment horizontal="right"/>
    </xf>
    <xf numFmtId="14" fontId="0" fillId="0" borderId="0" xfId="0" applyNumberFormat="1"/>
    <xf numFmtId="14" fontId="0" fillId="0" borderId="0" xfId="0" applyNumberFormat="1" applyFill="1"/>
    <xf numFmtId="0" fontId="5" fillId="4" borderId="0" xfId="0" applyFont="1" applyFill="1"/>
    <xf numFmtId="0" fontId="6" fillId="0" borderId="0" xfId="0" applyFont="1"/>
    <xf numFmtId="14" fontId="5" fillId="4" borderId="0" xfId="0" applyNumberFormat="1" applyFont="1" applyFill="1"/>
    <xf numFmtId="0" fontId="1" fillId="2" borderId="0" xfId="0" applyFont="1" applyFill="1"/>
    <xf numFmtId="0" fontId="1" fillId="0" borderId="0" xfId="0" applyFont="1" applyFill="1"/>
    <xf numFmtId="14" fontId="1" fillId="0" borderId="0" xfId="0" applyNumberFormat="1" applyFont="1" applyFill="1"/>
    <xf numFmtId="0" fontId="1" fillId="7" borderId="3" xfId="3" applyFont="1"/>
    <xf numFmtId="0" fontId="0" fillId="0" borderId="0" xfId="0" applyFill="1" applyAlignment="1">
      <alignment horizontal="right"/>
    </xf>
    <xf numFmtId="0" fontId="9" fillId="0" borderId="0" xfId="0" applyFont="1"/>
    <xf numFmtId="0" fontId="0" fillId="0" borderId="0" xfId="0" applyAlignment="1">
      <alignment horizontal="left" indent="1"/>
    </xf>
    <xf numFmtId="0" fontId="11" fillId="0" borderId="0" xfId="0" applyFont="1" applyFill="1"/>
    <xf numFmtId="0" fontId="0" fillId="0" borderId="0" xfId="0" applyAlignment="1">
      <alignment wrapText="1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5" fillId="0" borderId="0" xfId="0" applyFont="1"/>
    <xf numFmtId="0" fontId="0" fillId="4" borderId="0" xfId="0" applyFill="1"/>
    <xf numFmtId="14" fontId="0" fillId="4" borderId="0" xfId="0" applyNumberFormat="1" applyFill="1"/>
    <xf numFmtId="0" fontId="1" fillId="4" borderId="0" xfId="0" applyFont="1" applyFill="1"/>
    <xf numFmtId="14" fontId="1" fillId="4" borderId="0" xfId="0" applyNumberFormat="1" applyFont="1" applyFill="1"/>
    <xf numFmtId="0" fontId="9" fillId="0" borderId="0" xfId="0" applyFont="1" applyFill="1"/>
    <xf numFmtId="0" fontId="0" fillId="0" borderId="4" xfId="0" applyFill="1" applyBorder="1"/>
    <xf numFmtId="0" fontId="0" fillId="0" borderId="5" xfId="0" applyFill="1" applyBorder="1"/>
    <xf numFmtId="0" fontId="10" fillId="0" borderId="5" xfId="0" applyFont="1" applyFill="1" applyBorder="1"/>
    <xf numFmtId="0" fontId="0" fillId="4" borderId="0" xfId="0" applyFill="1" applyAlignment="1">
      <alignment horizontal="right"/>
    </xf>
    <xf numFmtId="0" fontId="9" fillId="0" borderId="0" xfId="0" applyFont="1" applyFill="1" applyAlignment="1">
      <alignment vertical="center" wrapText="1"/>
    </xf>
    <xf numFmtId="0" fontId="0" fillId="0" borderId="0" xfId="0" applyFill="1" applyAlignment="1">
      <alignment horizontal="left"/>
    </xf>
    <xf numFmtId="0" fontId="9" fillId="0" borderId="0" xfId="0" applyFont="1" applyFill="1" applyAlignment="1"/>
    <xf numFmtId="0" fontId="0" fillId="0" borderId="0" xfId="0" applyFill="1" applyAlignment="1"/>
    <xf numFmtId="14" fontId="0" fillId="0" borderId="0" xfId="0" applyNumberFormat="1" applyFill="1" applyAlignment="1"/>
    <xf numFmtId="0" fontId="0" fillId="4" borderId="0" xfId="0" applyFill="1" applyAlignment="1">
      <alignment horizontal="left"/>
    </xf>
    <xf numFmtId="0" fontId="9" fillId="4" borderId="0" xfId="0" applyFont="1" applyFill="1"/>
    <xf numFmtId="0" fontId="0" fillId="4" borderId="0" xfId="0" applyFill="1" applyAlignment="1"/>
    <xf numFmtId="14" fontId="0" fillId="4" borderId="0" xfId="0" applyNumberFormat="1" applyFill="1" applyAlignment="1"/>
    <xf numFmtId="0" fontId="12" fillId="0" borderId="0" xfId="0" applyFont="1"/>
    <xf numFmtId="0" fontId="0" fillId="0" borderId="6" xfId="0" applyBorder="1"/>
    <xf numFmtId="0" fontId="1" fillId="4" borderId="0" xfId="0" applyFont="1" applyFill="1" applyAlignment="1">
      <alignment horizontal="right"/>
    </xf>
    <xf numFmtId="14" fontId="0" fillId="0" borderId="0" xfId="0" applyNumberFormat="1" applyFill="1" applyAlignment="1">
      <alignment horizontal="right"/>
    </xf>
    <xf numFmtId="0" fontId="9" fillId="0" borderId="0" xfId="0" applyFont="1" applyAlignment="1">
      <alignment vertical="center" wrapText="1"/>
    </xf>
    <xf numFmtId="0" fontId="13" fillId="0" borderId="0" xfId="0" applyFont="1" applyFill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4" fontId="0" fillId="0" borderId="6" xfId="0" applyNumberFormat="1" applyBorder="1"/>
    <xf numFmtId="0" fontId="0" fillId="0" borderId="12" xfId="0" applyFill="1" applyBorder="1"/>
    <xf numFmtId="0" fontId="0" fillId="4" borderId="6" xfId="0" applyFill="1" applyBorder="1" applyAlignment="1">
      <alignment horizontal="center" vertical="center"/>
    </xf>
    <xf numFmtId="0" fontId="0" fillId="4" borderId="6" xfId="0" applyFill="1" applyBorder="1"/>
    <xf numFmtId="0" fontId="14" fillId="8" borderId="8" xfId="0" applyFont="1" applyFill="1" applyBorder="1" applyAlignment="1">
      <alignment vertical="center"/>
    </xf>
    <xf numFmtId="0" fontId="14" fillId="8" borderId="0" xfId="0" applyFont="1" applyFill="1" applyBorder="1" applyAlignment="1">
      <alignment vertical="center"/>
    </xf>
    <xf numFmtId="0" fontId="14" fillId="8" borderId="11" xfId="0" applyFont="1" applyFill="1" applyBorder="1" applyAlignment="1">
      <alignment vertical="center"/>
    </xf>
    <xf numFmtId="0" fontId="0" fillId="0" borderId="13" xfId="0" applyBorder="1"/>
    <xf numFmtId="0" fontId="0" fillId="0" borderId="13" xfId="0" applyFill="1" applyBorder="1"/>
    <xf numFmtId="0" fontId="0" fillId="0" borderId="6" xfId="0" applyNumberFormat="1" applyBorder="1"/>
    <xf numFmtId="0" fontId="2" fillId="0" borderId="6" xfId="0" applyNumberFormat="1" applyFont="1" applyBorder="1" applyAlignment="1">
      <alignment horizontal="center"/>
    </xf>
    <xf numFmtId="0" fontId="0" fillId="4" borderId="6" xfId="0" applyNumberFormat="1" applyFill="1" applyBorder="1"/>
    <xf numFmtId="0" fontId="0" fillId="0" borderId="14" xfId="0" applyBorder="1"/>
    <xf numFmtId="0" fontId="0" fillId="0" borderId="6" xfId="0" applyFill="1" applyBorder="1"/>
    <xf numFmtId="0" fontId="9" fillId="0" borderId="0" xfId="0" applyFont="1" applyFill="1" applyAlignment="1">
      <alignment vertical="center"/>
    </xf>
    <xf numFmtId="0" fontId="20" fillId="0" borderId="0" xfId="0" applyFont="1" applyFill="1" applyAlignment="1">
      <alignment vertical="center"/>
    </xf>
    <xf numFmtId="0" fontId="1" fillId="0" borderId="6" xfId="0" applyNumberFormat="1" applyFont="1" applyFill="1" applyBorder="1"/>
    <xf numFmtId="0" fontId="0" fillId="0" borderId="6" xfId="0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/>
    </xf>
    <xf numFmtId="0" fontId="0" fillId="0" borderId="6" xfId="0" applyNumberFormat="1" applyFill="1" applyBorder="1"/>
    <xf numFmtId="0" fontId="0" fillId="0" borderId="0" xfId="0" applyNumberFormat="1" applyFill="1"/>
    <xf numFmtId="14" fontId="0" fillId="0" borderId="6" xfId="0" applyNumberFormat="1" applyFill="1" applyBorder="1"/>
    <xf numFmtId="0" fontId="0" fillId="0" borderId="15" xfId="0" applyBorder="1"/>
    <xf numFmtId="0" fontId="2" fillId="0" borderId="6" xfId="0" applyFont="1" applyBorder="1"/>
    <xf numFmtId="0" fontId="5" fillId="8" borderId="6" xfId="0" applyFont="1" applyFill="1" applyBorder="1"/>
    <xf numFmtId="0" fontId="5" fillId="8" borderId="13" xfId="0" applyFont="1" applyFill="1" applyBorder="1"/>
    <xf numFmtId="0" fontId="0" fillId="0" borderId="20" xfId="0" applyBorder="1"/>
    <xf numFmtId="0" fontId="0" fillId="0" borderId="21" xfId="0" applyBorder="1"/>
    <xf numFmtId="0" fontId="0" fillId="0" borderId="22" xfId="0" applyFill="1" applyBorder="1"/>
    <xf numFmtId="0" fontId="0" fillId="0" borderId="19" xfId="0" applyFont="1" applyFill="1" applyBorder="1"/>
    <xf numFmtId="0" fontId="25" fillId="4" borderId="0" xfId="0" applyFont="1" applyFill="1"/>
    <xf numFmtId="14" fontId="2" fillId="0" borderId="6" xfId="0" applyNumberFormat="1" applyFont="1" applyBorder="1"/>
    <xf numFmtId="14" fontId="0" fillId="0" borderId="0" xfId="0" applyNumberFormat="1" applyFill="1" applyAlignment="1">
      <alignment horizontal="left"/>
    </xf>
    <xf numFmtId="0" fontId="0" fillId="0" borderId="0" xfId="0" applyBorder="1"/>
    <xf numFmtId="14" fontId="0" fillId="2" borderId="6" xfId="0" applyNumberFormat="1" applyFill="1" applyBorder="1"/>
    <xf numFmtId="0" fontId="0" fillId="2" borderId="6" xfId="0" applyFill="1" applyBorder="1"/>
    <xf numFmtId="0" fontId="0" fillId="0" borderId="6" xfId="0" applyFont="1" applyBorder="1"/>
    <xf numFmtId="0" fontId="2" fillId="0" borderId="0" xfId="0" applyFont="1"/>
    <xf numFmtId="0" fontId="27" fillId="2" borderId="24" xfId="0" applyFont="1" applyFill="1" applyBorder="1" applyAlignment="1">
      <alignment vertical="center"/>
    </xf>
    <xf numFmtId="0" fontId="0" fillId="0" borderId="0" xfId="0" applyFill="1" applyBorder="1"/>
    <xf numFmtId="0" fontId="9" fillId="2" borderId="0" xfId="0" applyFont="1" applyFill="1" applyAlignment="1">
      <alignment vertical="center"/>
    </xf>
    <xf numFmtId="0" fontId="28" fillId="2" borderId="0" xfId="0" applyFont="1" applyFill="1"/>
    <xf numFmtId="0" fontId="0" fillId="5" borderId="6" xfId="0" applyFill="1" applyBorder="1"/>
    <xf numFmtId="0" fontId="0" fillId="5" borderId="6" xfId="0" applyFill="1" applyBorder="1" applyAlignment="1">
      <alignment horizontal="center" vertical="center"/>
    </xf>
    <xf numFmtId="3" fontId="0" fillId="0" borderId="6" xfId="0" applyNumberFormat="1" applyBorder="1"/>
    <xf numFmtId="14" fontId="0" fillId="2" borderId="0" xfId="0" applyNumberFormat="1" applyFill="1" applyAlignment="1">
      <alignment horizontal="left"/>
    </xf>
    <xf numFmtId="0" fontId="9" fillId="2" borderId="0" xfId="0" applyFont="1" applyFill="1" applyAlignment="1">
      <alignment vertical="center" wrapText="1"/>
    </xf>
    <xf numFmtId="0" fontId="7" fillId="6" borderId="2" xfId="2" applyFill="1" applyAlignment="1">
      <alignment horizontal="center" wrapText="1"/>
    </xf>
    <xf numFmtId="0" fontId="19" fillId="0" borderId="0" xfId="0" applyFont="1" applyAlignment="1">
      <alignment horizontal="center"/>
    </xf>
    <xf numFmtId="0" fontId="14" fillId="8" borderId="7" xfId="0" applyFont="1" applyFill="1" applyBorder="1" applyAlignment="1">
      <alignment horizontal="center" vertical="center"/>
    </xf>
    <xf numFmtId="0" fontId="14" fillId="8" borderId="8" xfId="0" applyFont="1" applyFill="1" applyBorder="1" applyAlignment="1">
      <alignment horizontal="center" vertical="center"/>
    </xf>
    <xf numFmtId="0" fontId="14" fillId="8" borderId="9" xfId="0" applyFont="1" applyFill="1" applyBorder="1" applyAlignment="1">
      <alignment horizontal="center" vertical="center"/>
    </xf>
    <xf numFmtId="0" fontId="14" fillId="8" borderId="0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8" borderId="1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5" fillId="8" borderId="16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6" fillId="8" borderId="13" xfId="0" applyFont="1" applyFill="1" applyBorder="1" applyAlignment="1">
      <alignment horizontal="center"/>
    </xf>
    <xf numFmtId="0" fontId="26" fillId="8" borderId="23" xfId="0" applyFont="1" applyFill="1" applyBorder="1" applyAlignment="1">
      <alignment horizontal="center"/>
    </xf>
    <xf numFmtId="0" fontId="26" fillId="8" borderId="20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8" xfId="0" applyBorder="1" applyAlignment="1">
      <alignment horizontal="center"/>
    </xf>
    <xf numFmtId="0" fontId="15" fillId="9" borderId="0" xfId="0" applyFont="1" applyFill="1" applyAlignment="1">
      <alignment horizontal="center"/>
    </xf>
    <xf numFmtId="0" fontId="0" fillId="4" borderId="6" xfId="0" applyFill="1" applyBorder="1" applyAlignment="1">
      <alignment horizontal="center"/>
    </xf>
  </cellXfs>
  <cellStyles count="4">
    <cellStyle name="Heading 1" xfId="2" builtinId="16"/>
    <cellStyle name="Hyperlink" xfId="1" builtinId="8"/>
    <cellStyle name="Input" xfId="3" builtinId="20"/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X" refreshedDate="42517.771562037036" createdVersion="4" refreshedVersion="4" minRefreshableVersion="3" recordCount="297">
  <cacheSource type="worksheet">
    <worksheetSource ref="A1:J298" sheet="Customer sale sheet"/>
  </cacheSource>
  <cacheFields count="10">
    <cacheField name="Name of the customers" numFmtId="0">
      <sharedItems/>
    </cacheField>
    <cacheField name="Number" numFmtId="0">
      <sharedItems containsBlank="1" containsMixedTypes="1" containsNumber="1" containsInteger="1" minValue="3000570683" maxValue="3487699561"/>
    </cacheField>
    <cacheField name="Price" numFmtId="0">
      <sharedItems containsSemiMixedTypes="0" containsString="0" containsNumber="1" containsInteger="1" minValue="250" maxValue="5150" count="70">
        <n v="1450"/>
        <n v="1350"/>
        <n v="1150"/>
        <n v="1250"/>
        <n v="1400"/>
        <n v="1050"/>
        <n v="1300"/>
        <n v="1700"/>
        <n v="1500"/>
        <n v="680"/>
        <n v="1530"/>
        <n v="1900"/>
        <n v="1800"/>
        <n v="1100"/>
        <n v="1130"/>
        <n v="2400"/>
        <n v="750"/>
        <n v="700"/>
        <n v="1000"/>
        <n v="3100"/>
        <n v="2000"/>
        <n v="710"/>
        <n v="850"/>
        <n v="1430"/>
        <n v="2550"/>
        <n v="1170"/>
        <n v="1600"/>
        <n v="900"/>
        <n v="2200"/>
        <n v="1850"/>
        <n v="950"/>
        <n v="1200"/>
        <n v="1290"/>
        <n v="2450"/>
        <n v="800"/>
        <n v="1020"/>
        <n v="1260"/>
        <n v="2250"/>
        <n v="1220"/>
        <n v="1120"/>
        <n v="600"/>
        <n v="2150"/>
        <n v="1550"/>
        <n v="1380"/>
        <n v="1070"/>
        <n v="1460"/>
        <n v="1140"/>
        <n v="1230"/>
        <n v="5150"/>
        <n v="2900"/>
        <n v="4000"/>
        <n v="650"/>
        <n v="1080"/>
        <n v="660"/>
        <n v="550"/>
        <n v="620"/>
        <n v="870"/>
        <n v="810"/>
        <n v="1280"/>
        <n v="1030"/>
        <n v="1750"/>
        <n v="5000"/>
        <n v="930"/>
        <n v="830"/>
        <n v="2600"/>
        <n v="960"/>
        <n v="1110"/>
        <n v="2950"/>
        <n v="1470"/>
        <n v="250"/>
      </sharedItems>
    </cacheField>
    <cacheField name="Address" numFmtId="0">
      <sharedItems/>
    </cacheField>
    <cacheField name="Location" numFmtId="0">
      <sharedItems count="56">
        <s v="Rawalpindi"/>
        <s v="Islamabad"/>
        <s v="Lahore"/>
        <s v="Rawalakot(A.z)"/>
        <s v="Gujranwala"/>
        <s v="Peshawar"/>
        <s v="Mandi Bahudin"/>
        <s v="Gujarkhan"/>
        <s v="Karachi"/>
        <s v="Faisalabad"/>
        <s v="Kasur"/>
        <s v="ABBOTTABAD"/>
        <s v="Ghotki"/>
        <s v="sialkot"/>
        <s v="hyderabad"/>
        <s v="pakpattan"/>
        <s v="Larkana"/>
        <s v="Khairpur"/>
        <s v="quetta"/>
        <s v="kohat"/>
        <s v="Mirpur Azad kashmir"/>
        <s v="Toba Tek Singh"/>
        <s v="Dina"/>
        <s v="Mardan"/>
        <s v="Chiniot"/>
        <s v="Okara"/>
        <s v="Sheikhupura"/>
        <s v="BAHAWALNAGAR"/>
        <s v="Bahawalpur"/>
        <s v="Nawabshah"/>
        <s v="Bhakkar"/>
        <s v="Shikarpur"/>
        <s v="Khanewal"/>
        <s v="Turbat"/>
        <s v="Sargodha"/>
        <s v="Dadu"/>
        <s v="Layyah"/>
        <s v="Lakki Marwat"/>
        <s v="wah cantt"/>
        <s v="Multan"/>
        <s v="lalamusa"/>
        <s v="sadiqabad"/>
        <s v="nowshera"/>
        <s v="Narowal"/>
        <s v="Tando Allahyar"/>
        <s v="gujrat"/>
        <s v="depalpur"/>
        <s v="Muzaffarabad(ak)"/>
        <s v="JACOBABAD"/>
        <s v="haripur"/>
        <s v="Kharian"/>
        <s v="khanpur"/>
        <s v="talagang"/>
        <s v="gojra"/>
        <s v="jhelum"/>
        <s v="Charsadda"/>
      </sharedItems>
    </cacheField>
    <cacheField name="Purchase" numFmtId="0">
      <sharedItems/>
    </cacheField>
    <cacheField name="Products" numFmtId="0">
      <sharedItems containsBlank="1"/>
    </cacheField>
    <cacheField name="Feedback" numFmtId="0">
      <sharedItems/>
    </cacheField>
    <cacheField name="Status" numFmtId="0">
      <sharedItems count="3">
        <s v="deliver"/>
        <s v="Return"/>
        <s v="pending" u="1"/>
      </sharedItems>
    </cacheField>
    <cacheField name="Date" numFmtId="14">
      <sharedItems containsDate="1" containsMixedTypes="1" minDate="2015-01-10T00:00:00" maxDate="2105-03-1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7">
  <r>
    <s v="AYESHA CHAUDHARY"/>
    <n v="3475052949"/>
    <x v="0"/>
    <s v="H#245 STREET #1B JUDICIAL COLONY   GULZAR E QUAID AIRPORT LINK ROAD RAWALPINDI"/>
    <x v="0"/>
    <s v="Talha"/>
    <s v="Pack of 4 cigarette pants Plain"/>
    <s v="Kaymu"/>
    <x v="0"/>
    <s v="21/09/2015"/>
  </r>
  <r>
    <s v="ADNAN, BUTT"/>
    <n v="3135501222"/>
    <x v="1"/>
    <s v="HOUSE OF BEER MUHAMMAD SHAKRIAL, ISLAMABAD"/>
    <x v="1"/>
    <s v="Talha"/>
    <s v="Pack of 4 cigarette pants Embriodery"/>
    <s v="Kaymu"/>
    <x v="0"/>
    <s v="21/09/2015"/>
  </r>
  <r>
    <s v="ATIF ATTA"/>
    <n v="3004282632"/>
    <x v="2"/>
    <s v="HOUSE NO.139-C GREEN CITY HOUSING SCHEME,BARKI ROAD,LAHORE"/>
    <x v="2"/>
    <s v="Mubashir"/>
    <s v="Tag Heuer Mikrogender 2000"/>
    <s v="Kaymu"/>
    <x v="0"/>
    <s v="21/09/2015"/>
  </r>
  <r>
    <s v="UMAR, PERVAIZ"/>
    <n v="3432082407"/>
    <x v="2"/>
    <s v="MOTOR VEHICLE EXAMINER OFFICE RAWLAKOT AZAD KASHMIR"/>
    <x v="3"/>
    <s v="Mubashir"/>
    <s v="Tag Heuer Mikrogender 2000"/>
    <s v="Kaymu"/>
    <x v="0"/>
    <s v="21/09/2015"/>
  </r>
  <r>
    <s v="KHIZAR, IFTIKHAR"/>
    <n v="3222228676"/>
    <x v="3"/>
    <s v="House no. 127, Street 39 sector 4 canal view housing society near wapda town, Gujranwala"/>
    <x v="4"/>
    <s v="Hasan"/>
    <s v="Pack of 4 german flag shirts"/>
    <s v="Kaymu"/>
    <x v="0"/>
    <s v="22/09/2015"/>
  </r>
  <r>
    <s v="TAYYAB SHINWARI"/>
    <n v="3339127895"/>
    <x v="4"/>
    <s v="FAISAL TOWN SHINWARI KORONA NAASAR BAGH ROAD PESHAWAR"/>
    <x v="5"/>
    <s v="Own"/>
    <s v="Tag Heuer Calibre 17"/>
    <s v="Kaymu"/>
    <x v="0"/>
    <s v="22/09/2015"/>
  </r>
  <r>
    <s v="SAAD, SAGHIR"/>
    <n v="3327550332"/>
    <x v="5"/>
    <s v="AMBALA HOUSE NEAR MASJID MUHAJREEN PHALIA, DISTRICT MANDI BUHAWALDIN, PUNJAB"/>
    <x v="6"/>
    <s v="Own"/>
    <s v="Tag Heuer Mikrogender 2000"/>
    <s v="olx"/>
    <x v="0"/>
    <s v="23/09/2015"/>
  </r>
  <r>
    <s v="QAZI, AZAZ"/>
    <n v="3009504813"/>
    <x v="6"/>
    <s v="FIRST CALL TO THE CUSTOMER MAIN RAWALPINDI TEHSIL GUJARKHAN CITY PALACE RESTURANT"/>
    <x v="7"/>
    <s v="Hasan"/>
    <s v="Pack of 4 full sleeves shirts"/>
    <s v="Kaymu"/>
    <x v="0"/>
    <s v="23/09/2015"/>
  </r>
  <r>
    <s v="Kumail Rizvi"/>
    <n v="3310288116"/>
    <x v="3"/>
    <s v="House no. B-99, gulshan-e-iqbal abbas town abdul hasan isphani road"/>
    <x v="8"/>
    <s v="Hasan"/>
    <s v="Pack of 3 Ralph Leuer"/>
    <s v="olx"/>
    <x v="0"/>
    <s v="23/09/2015"/>
  </r>
  <r>
    <s v="Qamar ul ishtiaq"/>
    <n v="3360200470"/>
    <x v="7"/>
    <s v="House no. A498, street no.9 block n north nazimabad karachi"/>
    <x v="8"/>
    <s v="Hasan"/>
    <s v="Pack of 4 printed t-shirts"/>
    <s v="olx"/>
    <x v="0"/>
    <s v="23/09/2015"/>
  </r>
  <r>
    <s v="SAMEER, AIJAZ"/>
    <n v="3018668802"/>
    <x v="2"/>
    <s v="House no. P314 hamza street khayaban colony no 2 kashmir road madina town faisalabad"/>
    <x v="9"/>
    <s v="Mubashir"/>
    <s v="Tag Heuer Mikrogender 2000"/>
    <s v="Kaymu"/>
    <x v="0"/>
    <s v="28/09/2015"/>
  </r>
  <r>
    <s v="DR. MASOOD ZIA"/>
    <n v="3007711632"/>
    <x v="2"/>
    <s v="HOUSE NO. A-348, HAMZA BLOCK -GREEN VIEW COLONY FAISALABAD"/>
    <x v="9"/>
    <s v="Mubashir"/>
    <s v="Tag Heuer Mikrogender 2000"/>
    <s v="Kaymu"/>
    <x v="0"/>
    <s v="28/09/2015"/>
  </r>
  <r>
    <s v="AZEEM, BURHAN SHEIKH"/>
    <n v="3034080363"/>
    <x v="2"/>
    <s v="SHEIKH BURHAN UD DIN HOME KOT SANDRAS GILLANWALA TEHSIL CHUNIAN DISTRICT KASUR"/>
    <x v="10"/>
    <s v="Mubashir"/>
    <s v="Tag Heuer Mikrogender 2000"/>
    <s v="Kaymu"/>
    <x v="0"/>
    <s v="28/09/2015"/>
  </r>
  <r>
    <s v="EMRAN, JAVED"/>
    <n v="3154047321"/>
    <x v="2"/>
    <s v="FIRST CALL TO THE CUSTOMER, HOUSE NO. 37 ALI BLOCK AWANTOWN LAHORE"/>
    <x v="2"/>
    <s v="Mubashir"/>
    <s v="Tag Heuer Mikrogender 2000"/>
    <s v="Kaymu"/>
    <x v="0"/>
    <s v="28/09/2015"/>
  </r>
  <r>
    <s v="EHTISHAM, UL HAQ"/>
    <n v="3139445328"/>
    <x v="2"/>
    <s v="FLAT NO #408 ALMUSTAFA APARTMENTS G-8 MARKAZ ISLAMABAD"/>
    <x v="1"/>
    <s v="Mubashir"/>
    <s v="Tag Heuer Mikrogender 2000"/>
    <s v="Kaymu"/>
    <x v="0"/>
    <s v="28/09/2015"/>
  </r>
  <r>
    <s v="SHOAIB, KHAN"/>
    <n v="3449790116"/>
    <x v="2"/>
    <s v="H.NO 496, STREET 16, PHASE 1,SECTOR E2 , HAYATABAD PESHAWAR"/>
    <x v="5"/>
    <s v="Mubashir"/>
    <s v="Tag Heuer Mikrogender 2000"/>
    <s v="Kaymu"/>
    <x v="0"/>
    <s v="28/09/2015"/>
  </r>
  <r>
    <s v="SALMAN, KHAN"/>
    <n v="3439110000"/>
    <x v="2"/>
    <s v="HOUSE NO 576/1 FRONTIER MOTORS MANSEHRA ROAD ABBOTTABAD"/>
    <x v="11"/>
    <s v="Mubashir"/>
    <s v="Tag Heuer Mikrogender 2000"/>
    <s v="Kaymu"/>
    <x v="0"/>
    <s v="28/09/2015"/>
  </r>
  <r>
    <s v="MUHAMMAD, IKRAM"/>
    <n v="3361757517"/>
    <x v="2"/>
    <s v="DISTRICT KASUR TEHSILE PATOKI CITY HABIBABAD HOUSE RANA AFZAL ADVOCATE NEAR PHATAK"/>
    <x v="10"/>
    <s v="Mubashir"/>
    <s v="Tag Heuer Mikrogender 2000"/>
    <s v="Kaymu"/>
    <x v="1"/>
    <s v="28/09/2015"/>
  </r>
  <r>
    <s v="MUHAMMAD, ASHRAF"/>
    <n v="3332116015"/>
    <x v="2"/>
    <s v="HOUSE NO 123, OLD CLIFTON KARACHI"/>
    <x v="8"/>
    <s v="Mubashir"/>
    <s v="Tag Heuer Mikrogender 2000"/>
    <s v="Kaymu"/>
    <x v="0"/>
    <s v="28/09/2015"/>
  </r>
  <r>
    <s v="AMAAN, SHAUKAT"/>
    <n v="3462579579"/>
    <x v="8"/>
    <s v="HOUSE NO. M-208 MOLLA RAM COMPOUND MALIR CITY KARACHI"/>
    <x v="8"/>
    <s v="Mubashir"/>
    <s v="Casio Edifice blue strap"/>
    <s v="Kaymu"/>
    <x v="0"/>
    <s v="28/09/2015"/>
  </r>
  <r>
    <s v="ELLAHI, BUX"/>
    <n v="3343808400"/>
    <x v="2"/>
    <s v="HOUSE 18, F11 (ONE), ISLAMABAD"/>
    <x v="1"/>
    <s v="Mubashir"/>
    <s v="Tag Heuer Mikrogender 2000"/>
    <s v="Kaymu"/>
    <x v="0"/>
    <s v="28/09/2015"/>
  </r>
  <r>
    <s v="Mati, Rehman Qazi"/>
    <n v="3345466101"/>
    <x v="5"/>
    <s v="House no.DV 66, Dinna Hardo, Near F-Block and Hotel Mid City, IJP Road, Rawalpindi"/>
    <x v="0"/>
    <s v="Mubashir"/>
    <s v="Tag Heuer Mikrogender 2000"/>
    <s v="Kaymu"/>
    <x v="0"/>
    <s v="29/09/2015"/>
  </r>
  <r>
    <s v="JAHANGIR, GHAFOOR"/>
    <n v="3313890188"/>
    <x v="5"/>
    <s v="HOUSE # B-10, WAPDA THERMAL POWER STATION GUDDU, DIST.KASHMORE(SINDH)"/>
    <x v="12"/>
    <s v="Mubashir"/>
    <s v="1 rado nd 1 ralph ruler"/>
    <s v="Kaymu"/>
    <x v="0"/>
    <s v="29/09/2015"/>
  </r>
  <r>
    <s v="Abdullah"/>
    <n v="3072771611"/>
    <x v="4"/>
    <s v="Pizza point hasan square self delivered"/>
    <x v="8"/>
    <s v="Mubashir"/>
    <s v="Tissot Golden dial"/>
    <s v="olx"/>
    <x v="0"/>
    <s v="30/09/2015"/>
  </r>
  <r>
    <s v="Adeel, qureshi"/>
    <n v="3035210796"/>
    <x v="9"/>
    <s v="house no zb440, street no. 26, Mohallah alam abad dhoke hessu RAWALPINDI_x000a_"/>
    <x v="0"/>
    <s v="Mubashir"/>
    <s v="Rado Date just watch"/>
    <s v="Kaymu"/>
    <x v="0"/>
    <d v="2015-01-10T00:00:00"/>
  </r>
  <r>
    <s v="sardar, shah"/>
    <n v="3139120912"/>
    <x v="0"/>
    <s v="shahi palace wedding hall warsak road peshawar"/>
    <x v="5"/>
    <s v="Talha"/>
    <s v="Pack of 7 tights"/>
    <s v="Kaymu"/>
    <x v="0"/>
    <d v="2015-01-10T00:00:00"/>
  </r>
  <r>
    <s v="Abu, ibraheem"/>
    <n v="3227220585"/>
    <x v="10"/>
    <s v="house no. 141 block h dha eme sector near multan road lahore"/>
    <x v="2"/>
    <s v="Mubashir"/>
    <s v="Tag Heuer Calibre 16 Formula 1"/>
    <s v="Kaymu"/>
    <x v="0"/>
    <d v="2015-01-10T00:00:00"/>
  </r>
  <r>
    <s v="zafar, fani"/>
    <n v="3004113225"/>
    <x v="2"/>
    <s v="adgroup advertising rizwan plaza 9 west ,2 floor blue area isalamabad"/>
    <x v="1"/>
    <s v="Mubashir"/>
    <s v="Rolex Subminar Golden"/>
    <s v="Kaymu"/>
    <x v="0"/>
    <d v="2015-01-10T00:00:00"/>
  </r>
  <r>
    <s v="M.Iftikhar but"/>
    <n v="3249495181"/>
    <x v="11"/>
    <s v="Lumbs univeristy v block gaala chatri chowk punjab small housing society e block house no. 110/1"/>
    <x v="2"/>
    <s v="Mubashir"/>
    <s v="Pack of 2 Rolex subminar"/>
    <s v="Kaymu"/>
    <x v="1"/>
    <d v="2015-01-10T00:00:00"/>
  </r>
  <r>
    <s v="ABDUL QADEER"/>
    <n v="3030533041"/>
    <x v="4"/>
    <s v="ITALIAN PIZZA SHOP NO 5, MUZAFIR CHANBER PLAZA, FAZLE HUQ ROAD BLOCK F ISLAMABAD BLUE AREA"/>
    <x v="1"/>
    <s v="Hasan"/>
    <s v="Pack 0f 4 printed T-Shirts"/>
    <s v="olx"/>
    <x v="0"/>
    <d v="2015-02-10T00:00:00"/>
  </r>
  <r>
    <s v="Paragon saloon"/>
    <n v="3332182155"/>
    <x v="4"/>
    <s v="The Gap gulshan self delivered"/>
    <x v="8"/>
    <s v="Mubashir"/>
    <s v="Pack of 2 genava"/>
    <s v="olx"/>
    <x v="0"/>
    <d v="2105-03-10T00:00:00"/>
  </r>
  <r>
    <s v="Moin khan"/>
    <n v="3135974447"/>
    <x v="12"/>
    <s v="House no 243, block 14 Fb area karachi"/>
    <x v="8"/>
    <s v="Talha"/>
    <s v="pack of 4 plaza pants"/>
    <s v="olx"/>
    <x v="0"/>
    <d v="2015-05-10T00:00:00"/>
  </r>
  <r>
    <s v="Humrah, Iqbal"/>
    <n v="3322215251"/>
    <x v="0"/>
    <s v="R 72 Gulshan-e-Amin banglows"/>
    <x v="8"/>
    <s v="Talha"/>
    <s v="pack of 4 cigarette pants"/>
    <s v="Kaymu"/>
    <x v="0"/>
    <d v="2015-05-10T00:00:00"/>
  </r>
  <r>
    <s v="Arfa Khawaja"/>
    <n v="3338628258"/>
    <x v="1"/>
    <s v="House no. 37 brigadier colony khawaja safdar road sialkot"/>
    <x v="13"/>
    <s v="Hasan"/>
    <s v="pack of 5 v-neck shirts"/>
    <s v="olx"/>
    <x v="0"/>
    <d v="2015-05-10T00:00:00"/>
  </r>
  <r>
    <s v="JAVED AHMED"/>
    <n v="3073310592"/>
    <x v="8"/>
    <s v="RIVER VIEW PLAZA MAZANINE FLOOR A3 NEAR STATE LIFE BUILDING THANDI SARAK"/>
    <x v="14"/>
    <s v="Hasan"/>
    <s v="pack of 5 round neck t-shirts"/>
    <s v="olx"/>
    <x v="0"/>
    <d v="2015-05-10T00:00:00"/>
  </r>
  <r>
    <s v="FARHAN"/>
    <n v="3111681317"/>
    <x v="13"/>
    <s v="SERVRIS SHOW STORE FAWRA CHOKE PAKPATTAN"/>
    <x v="15"/>
    <s v="Hasan"/>
    <s v="Pack of 4 german flag shirts"/>
    <s v="Kaymu"/>
    <x v="0"/>
    <d v="2015-05-10T00:00:00"/>
  </r>
  <r>
    <s v="Anique, Ahmed"/>
    <n v="3212371775"/>
    <x v="13"/>
    <s v="House number q5 sheet 27 model colony karachi"/>
    <x v="8"/>
    <s v="jewellery"/>
    <s v="1 ring"/>
    <s v="Kaymu"/>
    <x v="0"/>
    <d v="2015-06-10T00:00:00"/>
  </r>
  <r>
    <s v="fatima, afzal"/>
    <n v="3207366457"/>
    <x v="11"/>
    <s v="house no. p-153 Rahmania town, jhang road FSD"/>
    <x v="9"/>
    <s v="jewellery"/>
    <s v="5 rings and 1 t-shirts"/>
    <s v="Kaymu"/>
    <x v="0"/>
    <d v="2015-06-10T00:00:00"/>
  </r>
  <r>
    <s v="ABDUL, QADEER"/>
    <n v="3411484525"/>
    <x v="3"/>
    <s v="FIRST CALL TO THE CUSTOMER, KALHORO HOTEL NEAR CHANDKAPUL LARKANA SINDH"/>
    <x v="16"/>
    <s v="Mubashir"/>
    <s v="Tissot Golden dial"/>
    <s v="Kaymu"/>
    <x v="0"/>
    <d v="2015-06-10T00:00:00"/>
  </r>
  <r>
    <s v="AQEEL, AHMED MEMON"/>
    <n v="3133149408"/>
    <x v="14"/>
    <s v="CALL TO THE CUSTOMER, AQEEL, AHMED MEMON, NEAR GOVT. HIGH SCHOOL, MOHALLA LOHAR, THERHI DISTRICT KHAIRPUR MIRS"/>
    <x v="17"/>
    <s v="jewellery"/>
    <s v="1 ring"/>
    <s v="Kaymu"/>
    <x v="0"/>
    <d v="2015-06-10T00:00:00"/>
  </r>
  <r>
    <s v="ALI, HAIDER"/>
    <n v="3218823930"/>
    <x v="10"/>
    <s v="349 S QUAID-E-AZAM INDUSTRIAL ESTATE TOWNSHIP LAHORE"/>
    <x v="2"/>
    <s v="Mubashir"/>
    <s v="tag heuer formula 1"/>
    <s v="Kaymu"/>
    <x v="0"/>
    <d v="2015-06-10T00:00:00"/>
  </r>
  <r>
    <s v="QADRA"/>
    <n v="3133426091"/>
    <x v="15"/>
    <s v="NEW ALNOOR MEDICAL STORE SHOP NO: 7-8 KHILJI MARKET AALAMOO CHOWK AIRPORT ROAD NEAR F.C CHEKPOST"/>
    <x v="18"/>
    <s v="Mubashir"/>
    <s v="love watch, new watch, handmade, 4 cigarette pants embriodery"/>
    <s v="facebook"/>
    <x v="0"/>
    <d v="2015-06-10T00:00:00"/>
  </r>
  <r>
    <s v="NOUMAN AZHAR"/>
    <n v="3119462795"/>
    <x v="16"/>
    <s v="NOUMAN AZHAR MOHALLAH GULLAH KHAIL, TALWASA BEAUTY PALOUR STREET, BEHZADI CHIKKARKOT KOHAT"/>
    <x v="19"/>
    <s v="memon masjid"/>
    <s v="1 formal Shirts"/>
    <s v="olx"/>
    <x v="1"/>
    <d v="2015-06-10T00:00:00"/>
  </r>
  <r>
    <s v="Mubasher, Hassan"/>
    <n v="3315301911"/>
    <x v="14"/>
    <s v="al-wadood institute of professional studies bara khau near bhera pull islamabad"/>
    <x v="1"/>
    <s v="Hasan"/>
    <s v="Pack of 3 WWE HIGH QUALITY T SHIRTS"/>
    <s v="Kaymu"/>
    <x v="0"/>
    <d v="2015-08-10T00:00:00"/>
  </r>
  <r>
    <s v="hussain"/>
    <n v="3322244123"/>
    <x v="17"/>
    <s v="Flat no.a5 block 3 asad appartment pchs karachi"/>
    <x v="8"/>
    <s v="Hasan"/>
    <s v="pack of 2 Minos T-Shirts"/>
    <s v="olx"/>
    <x v="0"/>
    <d v="2015-09-10T00:00:00"/>
  </r>
  <r>
    <s v="Shahid "/>
    <n v="3222141820"/>
    <x v="18"/>
    <s v="Flat c-40 block 12 combine cng sana avenue gulistan-e-johar karachi"/>
    <x v="8"/>
    <s v="Mubashir"/>
    <s v="1 rolex subminar"/>
    <s v="Kaymu"/>
    <x v="0"/>
    <d v="2015-09-10T00:00:00"/>
  </r>
  <r>
    <s v="RAMEEN, AKHTAR"/>
    <n v="3245400004"/>
    <x v="4"/>
    <s v="AKHTAR CHILDREN HOSPITAL, LALAZAR COLONY, THANA ROAD, MANDI BAHAUDDIN,PUNJAB, PAKISTAN"/>
    <x v="6"/>
    <s v="jewellery"/>
    <s v="5 rings"/>
    <s v="Kaymu"/>
    <x v="0"/>
    <d v="2015-09-10T00:00:00"/>
  </r>
  <r>
    <s v="SHAHZAIB RAJA"/>
    <n v="3475564903"/>
    <x v="8"/>
    <s v="HOUSE NO, 23, GAALI NUM 2, SECTOR C4 MIRPUR AZAD KASHMIR"/>
    <x v="20"/>
    <s v="Hasan"/>
    <s v="pack of 5 printed t-shirts"/>
    <s v="Kaymu"/>
    <x v="0"/>
    <d v="2015-09-10T00:00:00"/>
  </r>
  <r>
    <s v="Asad ali"/>
    <n v="3070614559"/>
    <x v="6"/>
    <s v="muhla qazi near by telephone exchange, Toba Tek Singh"/>
    <x v="21"/>
    <s v="Hasan"/>
    <s v="Pack of 4 full sleeves shirts"/>
    <s v="Kaymu"/>
    <x v="0"/>
    <d v="2015-10-10T00:00:00"/>
  </r>
  <r>
    <s v="ummad, sultan"/>
    <n v="3151880753"/>
    <x v="5"/>
    <s v="chaudary plaza orange mobiles g.t road dina"/>
    <x v="22"/>
    <s v="Mubashir"/>
    <s v="Tag heuer calibre 17 in chain"/>
    <s v="Kaymu"/>
    <x v="0"/>
    <d v="2015-10-10T00:00:00"/>
  </r>
  <r>
    <s v="Rizwan siddique"/>
    <n v="3462220229"/>
    <x v="18"/>
    <s v="Globe Company kimaari karachi"/>
    <x v="8"/>
    <s v="Talha"/>
    <s v="Pack of 3 Cigarette pants"/>
    <s v="olx"/>
    <x v="0"/>
    <d v="2015-11-10T00:00:00"/>
  </r>
  <r>
    <s v="Hansraj"/>
    <n v="3102879934"/>
    <x v="17"/>
    <s v="port grand Karachi"/>
    <x v="8"/>
    <s v="Hasan"/>
    <s v="Pack of 2 german T-shirts"/>
    <s v="olx"/>
    <x v="0"/>
    <d v="2015-11-10T00:00:00"/>
  </r>
  <r>
    <s v="Nadeem baloch"/>
    <n v="3218383567"/>
    <x v="13"/>
    <s v="Hasan laskhary wallave gaale num 15, garden west block 3 near rehmani masjid karachi"/>
    <x v="8"/>
    <s v="Mubashir"/>
    <s v="Casio Edifice in Chain"/>
    <s v="olx"/>
    <x v="0"/>
    <d v="2015-11-10T00:00:00"/>
  </r>
  <r>
    <s v="Sadiq hayat lodhi"/>
    <n v="3217555548"/>
    <x v="19"/>
    <s v="sadiq hayat lodhi 5 temple road lahore"/>
    <x v="2"/>
    <s v="Hasan"/>
    <s v="pack of 4 wwe shirts and 4 polo"/>
    <s v="olx"/>
    <x v="0"/>
    <d v="2015-11-10T00:00:00"/>
  </r>
  <r>
    <s v="M.IFTIKHAR BUT"/>
    <n v="3214226230"/>
    <x v="20"/>
    <s v="LUMBS UNIVERISTY V BLOCK GAALA CHATRI CHOWK PUNJAB SMALL HOUSING SOCIETY E BLOCK HOUSE NO. 110/1"/>
    <x v="2"/>
    <s v="Mubashir"/>
    <s v="Pack of 2 Rolex subminar"/>
    <s v="Kaymu"/>
    <x v="0"/>
    <d v="2015-11-10T00:00:00"/>
  </r>
  <r>
    <s v="Awais"/>
    <n v="3460337677"/>
    <x v="0"/>
    <s v="B27, ishaqabad, sir suleman road liaquabad karachi"/>
    <x v="8"/>
    <s v="Hasan"/>
    <s v="Pack of 4 full sleeves shirts"/>
    <s v="olx"/>
    <x v="0"/>
    <d v="2015-12-10T00:00:00"/>
  </r>
  <r>
    <s v="Ubaid, Ismail"/>
    <n v="3127095434"/>
    <x v="2"/>
    <s v="A 282 2nd floor Block L North Nazimabad Karachi"/>
    <x v="8"/>
    <s v="Hasan"/>
    <s v="pack of 4 t-shirts"/>
    <s v="Kaymu"/>
    <x v="0"/>
    <d v="2015-12-10T00:00:00"/>
  </r>
  <r>
    <s v="QADAR, KHAN"/>
    <n v="3349195544"/>
    <x v="3"/>
    <s v="CALL TO THE CUSTOMER,  MARDAN KHYBER PUKHTOON KHWA"/>
    <x v="23"/>
    <s v="Mubashir"/>
    <s v="1 rolex subminar"/>
    <s v="Kaymu"/>
    <x v="0"/>
    <d v="2015-12-10T00:00:00"/>
  </r>
  <r>
    <s v="BASHIR AHMED"/>
    <n v="3337546833"/>
    <x v="6"/>
    <s v="CALL TO THE CUSTOMER, BASHIR AHMED BALOCH CARE OF ASHFAQ HUSSAIN SANGHI TA/A TO DC OFFICE LARKANA"/>
    <x v="16"/>
    <s v="Mubashir"/>
    <s v="Casio Edifice in silver"/>
    <s v="Kaymu"/>
    <x v="1"/>
    <s v="13/10/2015"/>
  </r>
  <r>
    <s v="KANWAL, ABBAS"/>
    <n v="3064451812"/>
    <x v="6"/>
    <s v="CALL TO THE CUSTOMER, RESCUE 1122 CHINIOT NEAR DHQ HOSPITAL SGD ROAD"/>
    <x v="24"/>
    <s v="Mubashir"/>
    <s v="Casio Edifice in silver"/>
    <s v="Kaymu"/>
    <x v="0"/>
    <s v="13/10/2015"/>
  </r>
  <r>
    <s v="SAJJAD ALI"/>
    <n v="3114790647"/>
    <x v="21"/>
    <s v="CALL TO THE CUSTOMER, VILLAGE GAVAYA BALOCH, HAVELILAKHA, DISTT OKARA TEHSIL DEPALPUR"/>
    <x v="25"/>
    <s v="Mubashir"/>
    <s v="Tag Heuer Calibre 17"/>
    <s v="Kaymu"/>
    <x v="0"/>
    <s v="13/10/2015"/>
  </r>
  <r>
    <s v="Ali"/>
    <n v="3131015717"/>
    <x v="4"/>
    <s v="Bait ul mukarram, self received"/>
    <x v="8"/>
    <s v="Hasan"/>
    <s v="Pack of 5 full sleeves t-shirts"/>
    <s v="olx"/>
    <x v="0"/>
    <s v="13/10/2015"/>
  </r>
  <r>
    <s v="shahbaz, chishti"/>
    <n v="3217279170"/>
    <x v="22"/>
    <s v="House no. P-6165 Street #6 Roza Park Mansoorabad Faisalabad"/>
    <x v="9"/>
    <s v="Own"/>
    <s v="Tag Heuer Mikrogender 2000"/>
    <s v="Kaymu"/>
    <x v="0"/>
    <s v="14/10/2015"/>
  </r>
  <r>
    <s v="Malik, Sachal"/>
    <n v="3319614452"/>
    <x v="23"/>
    <s v="House no 617, college block phase 2, Gujrawala cantt"/>
    <x v="4"/>
    <s v="Own"/>
    <s v="Casio Edifice in blue strap"/>
    <s v="Kaymu"/>
    <x v="0"/>
    <s v="14/10/2015"/>
  </r>
  <r>
    <s v="ShahNawaz, KIani"/>
    <n v="3455281827"/>
    <x v="20"/>
    <s v="apartment no 15, Bahria Heights II, Phase 4, Bahria Town"/>
    <x v="0"/>
    <s v="electronic"/>
    <s v="Philips Trimmer"/>
    <s v="Kaymu"/>
    <x v="0"/>
    <s v="14/10/2015"/>
  </r>
  <r>
    <s v="Sadiq hayat lodhi"/>
    <n v="3217555548"/>
    <x v="24"/>
    <s v="sadiq hayat lodhi 5 temple road lahore"/>
    <x v="2"/>
    <s v="Hasan"/>
    <s v="pack of 2 wwe 4 polo 2 heros"/>
    <s v="olx"/>
    <x v="0"/>
    <s v="14/10/2015"/>
  </r>
  <r>
    <s v="Ali, Shaikh"/>
    <n v="3151316294"/>
    <x v="25"/>
    <s v="pakistan qasimabad hyderabad phase=1 near becon house school c: 346"/>
    <x v="14"/>
    <s v="Hasan"/>
    <s v="pack of 4 v-neck full t-shirts"/>
    <s v="Kaymu"/>
    <x v="0"/>
    <s v="14/10/2015"/>
  </r>
  <r>
    <s v="AUN, RAA"/>
    <n v="3227264703"/>
    <x v="26"/>
    <s v="BATI CHOWK, HABIB COLONY, NEAR BARAH BARI HOUSE, BACK SIDE OF BANKOK KHYBER, SHEIKHUPURA BATI CHOWK HABIB COLONY BARAH DARI HOUSE"/>
    <x v="26"/>
    <s v="Mubashir"/>
    <s v="pack of 2 armani watch"/>
    <s v="Kaymu"/>
    <x v="0"/>
    <s v="14/10/2015"/>
  </r>
  <r>
    <s v="SHEHROZ REHMAN"/>
    <n v="3015141428"/>
    <x v="3"/>
    <s v="AL REHMAN PRINTING PRESS DAHRANWALA DISTRICT BAHAWALNAGAR"/>
    <x v="27"/>
    <s v="Hasan"/>
    <s v="Pack of 3 Lecoste t-shirts"/>
    <s v="olx"/>
    <x v="0"/>
    <s v="14/10/2015"/>
  </r>
  <r>
    <s v="Adnan, Abbasi"/>
    <n v="3360067883"/>
    <x v="18"/>
    <s v="Salman Abbasi House shakrial Haroon chock Sadiqabad Rawalpindi"/>
    <x v="0"/>
    <s v="jewellery"/>
    <s v="1 ring"/>
    <s v="Kaymu"/>
    <x v="0"/>
    <s v="15/10/2015"/>
  </r>
  <r>
    <s v="Mrs.Shazia, Tariq"/>
    <n v="3232052231"/>
    <x v="11"/>
    <s v="Flat no. 107 marryview apartment Mohammed Ali Bogra Road BathIsland road"/>
    <x v="8"/>
    <s v="Mubashir"/>
    <s v="2 21 strap watch"/>
    <s v="Kaymu"/>
    <x v="0"/>
    <s v="15/10/2015"/>
  </r>
  <r>
    <s v="MANI, KHAN"/>
    <n v="3452492689"/>
    <x v="13"/>
    <s v="HOUSE# L-534,BLOCK 1, METROVILLE III, ABUL HASSUN ISPHANI ROAD"/>
    <x v="8"/>
    <s v="Hasan"/>
    <s v="Pack of 4 round neck hero shirts"/>
    <s v="Kaymu"/>
    <x v="0"/>
    <s v="17/10/2015"/>
  </r>
  <r>
    <s v="MUNEEB, HASSAN"/>
    <n v="3354941966"/>
    <x v="27"/>
    <s v="HOUSE NO. 19-FAISAL STREET SHAH KAMAL COLONY, NEAR WAHDAT ROAD"/>
    <x v="2"/>
    <s v="Mubashir"/>
    <s v="Tag heuer calibre 17 in chain"/>
    <s v="Kaymu"/>
    <x v="0"/>
    <s v="17/10/2015"/>
  </r>
  <r>
    <s v="MOMENA, TARIQ"/>
    <n v="3355976801"/>
    <x v="27"/>
    <s v="ALSAFDAR HOUSE NO 45, STREET NO:2 NEAR MEEZAN BANK. GULBAHAR NO:1 PESHAWAR"/>
    <x v="5"/>
    <s v="Mubashir"/>
    <s v="Tag heuer calibre 17 in chain"/>
    <s v="Kaymu"/>
    <x v="0"/>
    <s v="17/10/2015"/>
  </r>
  <r>
    <s v="MOHSIN KHAN"/>
    <n v="3465317632"/>
    <x v="3"/>
    <s v="HOUSE NO 23, STREET 25, SECTOR A, DHA PHASE 2 ISLAMABAD"/>
    <x v="1"/>
    <s v="Hasan"/>
    <s v="pack of 3 polo"/>
    <s v="olx"/>
    <x v="0"/>
    <s v="17/10/2015"/>
  </r>
  <r>
    <s v="humayun, masroor ahmed"/>
    <n v="3122124938"/>
    <x v="6"/>
    <s v="R-55 block B. Millat garden society near kalaboard malir karachi"/>
    <x v="8"/>
    <s v="Mubashir"/>
    <s v="casio edifice ib blue strap"/>
    <s v="Kaymu"/>
    <x v="0"/>
    <s v="19/10/2015"/>
  </r>
  <r>
    <s v="ali, faraz"/>
    <n v="3414002096"/>
    <x v="21"/>
    <s v="HOUSE 13, STREET 9, CHOHAN ROAD ISLAMPURA LAHORE"/>
    <x v="2"/>
    <s v="Mubashir"/>
    <s v="tag heuer calibre 17 in leather"/>
    <s v="Kaymu"/>
    <x v="0"/>
    <s v="19/10/2015"/>
  </r>
  <r>
    <s v="Zanib Ayan Faisal, Changezi"/>
    <n v="3243372882"/>
    <x v="18"/>
    <s v="B16 falak naz view appt, near star gate karachi"/>
    <x v="8"/>
    <s v="Mubashir"/>
    <s v="Rolex Diamond golden watch"/>
    <s v="Kaymu"/>
    <x v="0"/>
    <s v="19/10/2015"/>
  </r>
  <r>
    <s v="WAJAHAT, ALI"/>
    <n v="3329216611"/>
    <x v="8"/>
    <s v="HOUSE 195 STREET 14 SECTOR F5 PHASE 06 HAYATABAD PESHAWAR."/>
    <x v="5"/>
    <s v="Mubashir"/>
    <s v="pack of 2 armani watch"/>
    <s v="Kaymu"/>
    <x v="0"/>
    <s v="20/10/2015"/>
  </r>
  <r>
    <s v="ZAKIR, ULLAH"/>
    <n v="3358407040"/>
    <x v="6"/>
    <s v="PESHAWAR HAYATABAD PHASE 2 J4, STREET5, HOUSE NO 48,"/>
    <x v="5"/>
    <s v="Hasan"/>
    <s v="pack of 3 v-neck t-shirts full new product"/>
    <s v="Kaymu"/>
    <x v="0"/>
    <s v="20/10/2015"/>
  </r>
  <r>
    <s v="FAIZAN, RATHOOR"/>
    <n v="3318200117"/>
    <x v="5"/>
    <s v="MILLER'S HOUSE, B/VI-1298, LINK RAILWAY ROAD, SHAHDRAH, BAHAWALPUR"/>
    <x v="28"/>
    <s v="Mubashir"/>
    <s v="Tag heuer calibre 17 in chain"/>
    <s v="Kaymu"/>
    <x v="0"/>
    <s v="20/10/2015"/>
  </r>
  <r>
    <s v="syed zafar, ali shah"/>
    <n v="3101828048"/>
    <x v="28"/>
    <s v="farman medical centre qadirpur road ghotki"/>
    <x v="12"/>
    <s v="Mubashir"/>
    <s v="Pack of 2 Rolex Diamond"/>
    <s v="Kaymu"/>
    <x v="0"/>
    <s v="21/10/2015"/>
  </r>
  <r>
    <s v="Rizwan, Ali"/>
    <n v="3337028705"/>
    <x v="25"/>
    <s v="House no 348 2nd B Mohallah Esserpura Nawabshah sindh"/>
    <x v="29"/>
    <s v="Mubashir"/>
    <s v="Tissot Golden dial"/>
    <s v="Kaymu"/>
    <x v="0"/>
    <s v="21/10/2015"/>
  </r>
  <r>
    <s v="Ali Raza"/>
    <n v="3432778874"/>
    <x v="6"/>
    <s v="House no. B-99, street 16, near teen talwar nana feroz road bath island karachi"/>
    <x v="8"/>
    <s v="Hasan"/>
    <s v="pack of 5 v-neck shirts"/>
    <s v="olx(anus)"/>
    <x v="0"/>
    <s v="21/10/2015"/>
  </r>
  <r>
    <s v="idrees, khalid"/>
    <n v="3330514491"/>
    <x v="25"/>
    <s v="house M585 street 16 mohalla amar pura Rawalpindi"/>
    <x v="0"/>
    <s v="Hasan"/>
    <s v="Pack of 4 full sleeves shirts"/>
    <s v="Kaymu"/>
    <x v="0"/>
    <s v="21/10/2015"/>
  </r>
  <r>
    <s v="SYED ZAFAR, ALI SHAH"/>
    <n v="3101828048"/>
    <x v="28"/>
    <s v="FARMAN MEDICAL CENTRE QADIRPUR ROAD GHOTKI"/>
    <x v="12"/>
    <s v="Mubashir"/>
    <s v="Pack of 2 Rolex Diamond"/>
    <s v="Kaymu"/>
    <x v="0"/>
    <s v="22/10/2015"/>
  </r>
  <r>
    <s v="SAQIB, MALIK"/>
    <n v="3417580739"/>
    <x v="29"/>
    <s v="NEW STAR GRAPHICS MILL MOR DARYA KHAN TEHSIL DARYA KHAN DISTRICT BHAKKAR"/>
    <x v="30"/>
    <s v="Mubashir"/>
    <s v="Pack of 2 tag heuer 20000 mikrogender"/>
    <s v="Kaymu"/>
    <x v="0"/>
    <s v="22/10/2015"/>
  </r>
  <r>
    <s v="RIZWAN, ALI"/>
    <n v="3337028705"/>
    <x v="25"/>
    <s v="HOUSE NO 348 2ND B MOHALLAH ESSERPURA NAWABSHAH SINDH"/>
    <x v="29"/>
    <s v="Mubashir"/>
    <s v="Tissot Golden dial"/>
    <s v="Kaymu"/>
    <x v="0"/>
    <s v="22/10/2015"/>
  </r>
  <r>
    <s v="Faizan, Anwer"/>
    <n v="3412589950"/>
    <x v="30"/>
    <s v="k.A.E.C.H.S block 8 House no. A257 1st floor"/>
    <x v="8"/>
    <s v="Mubashir"/>
    <s v="Tag Heuer Mikrogender 2000"/>
    <s v="Kaymu"/>
    <x v="0"/>
    <s v="22/10/2015"/>
  </r>
  <r>
    <s v="Asmat, Khan"/>
    <n v="3145858090"/>
    <x v="31"/>
    <s v="Lahore hotel nearest cakes&amp;bakes gulistan hotel wali gali atock sarie"/>
    <x v="2"/>
    <s v="jewellery"/>
    <s v="pearl Ring"/>
    <s v="Kaymu"/>
    <x v="0"/>
    <s v="26/10/2015"/>
  </r>
  <r>
    <s v="ZEESHAN"/>
    <n v="3322588749"/>
    <x v="32"/>
    <s v="HAJI LATIF SHAH NEAR SHER MUHAMMAD HAKRO MADARSA SHIKARPUR"/>
    <x v="31"/>
    <s v="Mubashir"/>
    <s v="Casio edifice silver in chain"/>
    <s v="Kaymu"/>
    <x v="0"/>
    <s v="26/10/2015"/>
  </r>
  <r>
    <s v="HAIDER, ALI"/>
    <n v="3314409501"/>
    <x v="25"/>
    <s v="HOUSE NO. 4-B WAQAR STREET CLIFTON COLONY WAHDAT COLONY LAHORE"/>
    <x v="2"/>
    <s v="Hasan"/>
    <s v="pack of 4 v-neck full t-shirts"/>
    <s v="Kaymu"/>
    <x v="0"/>
    <s v="29/10/2015"/>
  </r>
  <r>
    <s v="Faisal"/>
    <n v="3343400800"/>
    <x v="6"/>
    <s v="al-hamd gravure dp-19 sector 12-d north karachi industrial area karachi"/>
    <x v="8"/>
    <s v="Mubashir"/>
    <s v="Ck Watch in black"/>
    <s v="olx"/>
    <x v="0"/>
    <s v="26/10/2015"/>
  </r>
  <r>
    <s v="Shahzad hussain"/>
    <n v="3324000084"/>
    <x v="33"/>
    <s v="Hina View House no. A-204 main university road karachi near mosamyat chock"/>
    <x v="8"/>
    <s v="Hasan"/>
    <s v="Pack of 3 Lecoste t-shirts; pack of 4 v-neck half sleeves"/>
    <s v="olx"/>
    <x v="0"/>
    <s v="26/10/2015"/>
  </r>
  <r>
    <s v="Rashid Abbasi"/>
    <s v="03166001174; 03442572260"/>
    <x v="28"/>
    <s v="house no. l/854 sector 48/b korangi no. 2 karachi"/>
    <x v="8"/>
    <s v="Hasan"/>
    <s v="Pack of 6 hero t-shirts"/>
    <s v="olx"/>
    <x v="0"/>
    <s v="26/10/2015"/>
  </r>
  <r>
    <s v="talha sajjad"/>
    <n v="3212885297"/>
    <x v="34"/>
    <s v="House no. L1-17, block B gulshan-e-millat bagh-e-korangi karachi near abdullah masjid"/>
    <x v="8"/>
    <s v="Mubashir"/>
    <s v="Curren Business watch"/>
    <s v="Kaymu"/>
    <x v="0"/>
    <s v="26/10/2015"/>
  </r>
  <r>
    <s v="jamal"/>
    <n v="3242444067"/>
    <x v="6"/>
    <s v="House no. 14, street 12, sector 2, haroon bahria naval colony karachi"/>
    <x v="8"/>
    <s v="Hasan"/>
    <s v="pack of 4 t-shirts"/>
    <s v="olx"/>
    <x v="0"/>
    <s v="26/10/2015"/>
  </r>
  <r>
    <s v="ABDUL BASIT SHEIKH"/>
    <n v="3368284355"/>
    <x v="8"/>
    <s v="FLAT NO. T-1/4 BIN QASIM STEEL TOWN KARACHI"/>
    <x v="8"/>
    <s v="Hasan"/>
    <s v="Pack of 5 full sleeves t-shirts"/>
    <s v="olx"/>
    <x v="0"/>
    <s v="27/10/2015"/>
  </r>
  <r>
    <s v="ABDIL JAMEEL"/>
    <n v="3073265414"/>
    <x v="31"/>
    <s v="HOUSE NO B-8, M.T.M ROAD NEAR WAPDA OFFICER TANDO JAM"/>
    <x v="14"/>
    <s v="Hasan"/>
    <s v="Pack of 4 full sleeves shirts"/>
    <s v="olx"/>
    <x v="0"/>
    <s v="27/10/2015"/>
  </r>
  <r>
    <s v="hasan"/>
    <m/>
    <x v="18"/>
    <s v="petal hospital karachi"/>
    <x v="8"/>
    <s v="Hasan"/>
    <s v="1 trouser; 1 shirts"/>
    <s v="olx"/>
    <x v="0"/>
    <s v="27/10/2015"/>
  </r>
  <r>
    <s v="Afnan, Khan"/>
    <n v="3332191203"/>
    <x v="18"/>
    <s v="Compuaids, Jilani Khan Plaza,Patel Road, Quetta"/>
    <x v="18"/>
    <s v="Mubashir"/>
    <s v="Tag Heuer Mikrogender 2000"/>
    <s v="Kaymu"/>
    <x v="0"/>
    <s v="29/10/2015"/>
  </r>
  <r>
    <s v="Ahmed, kazmi"/>
    <n v="3115444842"/>
    <x v="27"/>
    <s v="dreamland motel Islamabad"/>
    <x v="1"/>
    <s v="Mubashir"/>
    <s v="Tag heuer calibre 17 in chain"/>
    <s v="Kaymu"/>
    <x v="0"/>
    <s v="29/10/2015"/>
  </r>
  <r>
    <s v="juli, Aysha"/>
    <n v="3062130357"/>
    <x v="0"/>
    <s v="FLT NO.T/2 2ND.FLOOR SEA ROCK ARAF PLOT NO COM-2/3 BLOCK/1 SCHEME N"/>
    <x v="8"/>
    <s v="Mubashir"/>
    <s v="pack of 2 armani watch"/>
    <s v="Kaymu"/>
    <x v="0"/>
    <s v="29/10/2015"/>
  </r>
  <r>
    <s v="FARIA, MAJEED"/>
    <n v="3355127192"/>
    <x v="35"/>
    <s v="ROOM NO. G-9 ALRAYAN HOSTLE AKBAR ROAD SECTOR A1 MIRPUR AK"/>
    <x v="20"/>
    <s v="Mubashir"/>
    <s v="Tag heuer calibre 17 in chain"/>
    <s v="Kaymu"/>
    <x v="0"/>
    <s v="29/10/2015"/>
  </r>
  <r>
    <s v="SAFDAR ABBAS, AWAN"/>
    <n v="3047376569"/>
    <x v="31"/>
    <s v="NOUMAN SANATARY STORE CHOCK TOWN HAAL KABIR WALA (KHANEWAL)"/>
    <x v="32"/>
    <s v="Mubashir"/>
    <s v="Casio Edifice Tachymeter Blue Dial Watch"/>
    <s v="Kaymu"/>
    <x v="0"/>
    <s v="29/10/2015"/>
  </r>
  <r>
    <s v="MUHAMMAD, DANIYAL"/>
    <n v="3337845133"/>
    <x v="36"/>
    <s v="SINGH BANK JINNAH ROAD NEAR FAYAZ LAB QUETTA"/>
    <x v="18"/>
    <s v="Hasan"/>
    <s v="pack of 4 v-neck full t-shirts"/>
    <s v="Kaymu"/>
    <x v="0"/>
    <s v="29/10/2015"/>
  </r>
  <r>
    <s v="MEHBOOB, BAHRAM"/>
    <n v="3238106362"/>
    <x v="27"/>
    <s v="OFFICE OF AGRICULTURE EXTENSION TURBAT KECH MAKRAN"/>
    <x v="33"/>
    <s v="Mubashir"/>
    <s v="Armani watch"/>
    <s v="Kaymu"/>
    <x v="0"/>
    <s v="29/10/2015"/>
  </r>
  <r>
    <s v="ISRAR, HAKIM"/>
    <n v="3315359798"/>
    <x v="13"/>
    <s v="HEALTH SCIENCE AND ENGENIEERING DEPARTMENT, LUMS UNIVERSITY DHA, LAHORE"/>
    <x v="2"/>
    <s v="Hasan"/>
    <s v="Pack of 4 super hero t-shirts"/>
    <s v="Kaymu"/>
    <x v="0"/>
    <s v="29/10/2015"/>
  </r>
  <r>
    <s v="Syeda Sundus Qadeer"/>
    <n v="3052651435"/>
    <x v="20"/>
    <s v="HOUSE NO. B-183, BLOCK 5, NEAR ABBASI MASJID WALA ROAD, SHAH FAISAL COLONY KARACHI"/>
    <x v="8"/>
    <s v="trousers"/>
    <s v="pack of 2 trousers"/>
    <s v="olx"/>
    <x v="0"/>
    <s v="30/10/2015"/>
  </r>
  <r>
    <s v="UBAID KHAN"/>
    <n v="3341664164"/>
    <x v="0"/>
    <s v="P-5/2 STEEL TOWN BIN QASIM KARACHI"/>
    <x v="8"/>
    <s v="Hasan"/>
    <s v="Pack of 5 v-neck full t-shirts"/>
    <s v="olx"/>
    <x v="0"/>
    <s v="30/10/2015"/>
  </r>
  <r>
    <s v="MANDRESE AYAZ"/>
    <n v="3335573787"/>
    <x v="1"/>
    <s v="MEHRAN SWEET AND BAKERS SIR SYED CHOWK TIPU ROAD RAWALPINDI"/>
    <x v="0"/>
    <s v="Mubashir"/>
    <s v="Tissot Tradition watch in leather"/>
    <s v="olx"/>
    <x v="0"/>
    <s v="30/10/2015"/>
  </r>
  <r>
    <s v="Ahsan Rafiq"/>
    <n v="3008274645"/>
    <x v="18"/>
    <s v="B-205, block 3 karachi administration society (Balouch Colony)"/>
    <x v="8"/>
    <s v="trousers"/>
    <s v="Pack of 3 local trousers"/>
    <s v="olx"/>
    <x v="0"/>
    <s v="30/10/2015"/>
  </r>
  <r>
    <s v="Waqar Khan"/>
    <n v="3333263266"/>
    <x v="2"/>
    <s v="Office no. 1 ground floor goldline residancy plot no. z-12 block 16-a gulistan-e-johar near kda oversees society karachi"/>
    <x v="8"/>
    <s v="Hasan"/>
    <s v="Pack of 3 full round neck shirts"/>
    <s v="Kaymu"/>
    <x v="0"/>
    <s v="30/10/2015"/>
  </r>
  <r>
    <s v="Sir Kamran"/>
    <n v="3148001545"/>
    <x v="1"/>
    <s v="Ami Apex computer institute flat 3/10, block 5 rashid minhas road near bank islami gulshan-e-iqbal karachi"/>
    <x v="8"/>
    <s v="Mubashir"/>
    <s v="Tissot Tradition watch in leather"/>
    <s v="olx"/>
    <x v="0"/>
    <s v="30/10/2015"/>
  </r>
  <r>
    <s v="Nawaz ahmed"/>
    <n v="3003664225"/>
    <x v="4"/>
    <s v="Erum video shop, erum emphiron mall phase 1 bufferzone"/>
    <x v="8"/>
    <s v="Hasan"/>
    <s v="Pack of 4 full sleeves shirts"/>
    <s v="olx"/>
    <x v="0"/>
    <s v="31/10/2015"/>
  </r>
  <r>
    <s v="Irfan"/>
    <n v="3222788979"/>
    <x v="4"/>
    <s v="Oppsite noman complex"/>
    <x v="8"/>
    <s v="Talha"/>
    <s v="Pack of 2 hoodies"/>
    <s v="olx"/>
    <x v="0"/>
    <s v="31/10/2015"/>
  </r>
  <r>
    <s v="FAYSAL, JAMIL"/>
    <n v="3458645481"/>
    <x v="37"/>
    <s v="AL SADIQUE BOYS HOSTEL KHAYABAN E SADIQ SARGODHA"/>
    <x v="34"/>
    <s v="machines"/>
    <s v="Philips Trimmer"/>
    <s v="Kaymu"/>
    <x v="0"/>
    <s v="31/10/2015"/>
  </r>
  <r>
    <s v="MANAN EIJAZ"/>
    <n v="3334556734"/>
    <x v="0"/>
    <s v="11 JOHAR VIEW NEAR WAFAQY COLONY OPPOSITE ALLIED SCHOOL JOHAR TOWN LAHORE"/>
    <x v="2"/>
    <s v="Hasan"/>
    <s v="Pack of 4 full sleeves shirts"/>
    <s v="olx"/>
    <x v="0"/>
    <s v="31/10/2015"/>
  </r>
  <r>
    <s v="RANA, ARSALAN"/>
    <n v="3346854512"/>
    <x v="38"/>
    <s v="NEAR DARBAR PULLI ANWAR ABASI COLONY STREET NO#2, HOUSE NO.20"/>
    <x v="28"/>
    <s v="Talha"/>
    <s v="Pack of 7 tights"/>
    <s v="Kaymu"/>
    <x v="0"/>
    <s v="31/10/2015"/>
  </r>
  <r>
    <s v="ZUHAIB, SHAIKH"/>
    <n v="3332949188"/>
    <x v="35"/>
    <s v="KARANI COTTAGE NEAR DUA SHINING SCHOOL BUTH MUHALLA DADU SINDH PAKISTAN"/>
    <x v="35"/>
    <s v="Mubashir"/>
    <s v="set of 21 watches box"/>
    <s v="Kaymu"/>
    <x v="0"/>
    <s v="31/10/2015"/>
  </r>
  <r>
    <s v="ISHAQ, HANIF"/>
    <n v="3008037786"/>
    <x v="39"/>
    <s v="HOUSE NO 623 BLOCK D PHASE 5 DEFENCE DHA LAHORE"/>
    <x v="2"/>
    <s v="Talha"/>
    <s v="Pack of 2 hoodies"/>
    <s v="Kaymu"/>
    <x v="0"/>
    <s v="31/10/2015"/>
  </r>
  <r>
    <s v="OSAMA, FAROOQ"/>
    <n v="3434940982"/>
    <x v="40"/>
    <s v="HOUSE NO 748 Z BLOCK DHA LAHORE"/>
    <x v="2"/>
    <s v="Mubashir"/>
    <s v="Rado Date just watch"/>
    <s v="Kaymu"/>
    <x v="0"/>
    <d v="2015-02-11T00:00:00"/>
  </r>
  <r>
    <s v="MOHSIN KHAN"/>
    <n v="3465317632"/>
    <x v="6"/>
    <s v="HOUSE # 23, STREET # 25 SECTOR A DHA 2 ISLAMABAD"/>
    <x v="1"/>
    <s v="Hasan"/>
    <s v="Pack of 3 v-neck shirts half"/>
    <s v="olx"/>
    <x v="0"/>
    <d v="2015-02-11T00:00:00"/>
  </r>
  <r>
    <s v="FAIZAN RASHEED"/>
    <n v="3321461107"/>
    <x v="4"/>
    <s v="BASHIR MEDICAL STORE STREET # 13, WALTON CANTT MADINA COLONY LAHORE"/>
    <x v="2"/>
    <s v="Hasan"/>
    <s v="Pack of 4 being human t-shirts"/>
    <s v="olx"/>
    <x v="0"/>
    <d v="2015-02-11T00:00:00"/>
  </r>
  <r>
    <s v="ADNAN QADIR"/>
    <n v="3429150025"/>
    <x v="17"/>
    <s v="KATIBEEN AIR SERVICES, TOURISTS INN MOTEL,6 D, SADDAR ROAD, BEHIND JAN'S BAKERS PESHAWAR CANTT"/>
    <x v="5"/>
    <s v="Hasan"/>
    <s v="Minos Hoodies"/>
    <s v="olx"/>
    <x v="0"/>
    <d v="2015-02-11T00:00:00"/>
  </r>
  <r>
    <s v="M USMAN SHAKER"/>
    <n v="3008359466"/>
    <x v="8"/>
    <s v="DAWOOD FILLING STATION FAISALABAD ROD CHOWK AZAM LAYYAH"/>
    <x v="36"/>
    <s v="Hasan"/>
    <s v="Pack of hoodies,t-shirts,watch"/>
    <s v="olx"/>
    <x v="0"/>
    <d v="2015-02-11T00:00:00"/>
  </r>
  <r>
    <s v="WAQAS, SABIR"/>
    <n v="3405195710"/>
    <x v="22"/>
    <s v="CB-73/4 IBRAHIM STREET NO.1 NEAR RANGE ROAD BYCO CNG PUMP AFSHAN COLONY RAWALPINDI CANTT"/>
    <x v="0"/>
    <s v="Hasan"/>
    <s v="superman hoodies"/>
    <s v="Kaymu"/>
    <x v="0"/>
    <d v="2015-02-11T00:00:00"/>
  </r>
  <r>
    <s v="talha azeem"/>
    <n v="3352740403"/>
    <x v="0"/>
    <s v="R-914/9 dastagir FB area karachi"/>
    <x v="8"/>
    <s v="Mubashir"/>
    <s v="pack of 2 armani watch"/>
    <s v="Kaymu"/>
    <x v="1"/>
    <d v="2015-02-11T00:00:00"/>
  </r>
  <r>
    <s v="alkesh lalwani"/>
    <n v="3342275717"/>
    <x v="2"/>
    <s v="c-block flat 202, jinnah complex near taj complex at MA jinnah road karachi"/>
    <x v="8"/>
    <s v="Hasan"/>
    <s v="Pack of 4 full sleeves shirts"/>
    <s v="Kaymu"/>
    <x v="0"/>
    <d v="2015-02-11T00:00:00"/>
  </r>
  <r>
    <s v="Amna"/>
    <m/>
    <x v="20"/>
    <s v="lahore by nano "/>
    <x v="2"/>
    <s v="Mubashir"/>
    <s v="1 hoodies , 1 Ck, 1 handmade"/>
    <s v="local"/>
    <x v="0"/>
    <d v="2015-02-11T00:00:00"/>
  </r>
  <r>
    <s v="Adnan"/>
    <n v="3452260945"/>
    <x v="41"/>
    <s v="R-245 Sector 11/c-1 lateef nagar north karachi near nagan chowrangi alhaaj akhtar resturant"/>
    <x v="8"/>
    <s v="Mubashir"/>
    <s v="Rolex skeleton"/>
    <s v="olx"/>
    <x v="0"/>
    <d v="2015-03-11T00:00:00"/>
  </r>
  <r>
    <s v="Yasir, Rehman"/>
    <n v="3109980080"/>
    <x v="5"/>
    <s v="Rizwan madical store,hospital road,sarai naurang. Said rehman senetory store,mohala doctran,sarai naurang."/>
    <x v="37"/>
    <s v="Mubashir"/>
    <s v="21 watch set"/>
    <s v="Kaymu"/>
    <x v="0"/>
    <d v="2015-03-11T00:00:00"/>
  </r>
  <r>
    <s v="siddique, ali khan"/>
    <n v="3064208400"/>
    <x v="5"/>
    <s v="House no 71 aurangzeeb block new garden town lahore punjab pakistan_x000a_"/>
    <x v="2"/>
    <s v="Mubashir"/>
    <s v="Rolex Diamond golden watch"/>
    <s v="Kaymu"/>
    <x v="0"/>
    <d v="2015-03-11T00:00:00"/>
  </r>
  <r>
    <s v="Maryam, shafiq"/>
    <n v="3083730969"/>
    <x v="5"/>
    <s v="lado pindi head marala sialkot"/>
    <x v="13"/>
    <s v="Mubashir"/>
    <s v="21 watch set"/>
    <s v="Kaymu"/>
    <x v="1"/>
    <d v="2015-03-11T00:00:00"/>
  </r>
  <r>
    <s v="Faizan, Ali"/>
    <n v="3487699561"/>
    <x v="42"/>
    <s v="Umama Surgical and Maternity Home, H-block house#144 144#H block Arifwala District Pakpattan"/>
    <x v="15"/>
    <s v="Mubashir"/>
    <s v="tag heuer formula 1"/>
    <s v="Kaymu"/>
    <x v="0"/>
    <d v="2015-04-11T00:00:00"/>
  </r>
  <r>
    <s v="Alishba zafar"/>
    <n v="3013345679"/>
    <x v="43"/>
    <s v="Plot no 37/3 parklane block 5 clifton"/>
    <x v="8"/>
    <s v="Hasan"/>
    <s v="beast and beauty hoodies"/>
    <s v="Kaymu"/>
    <x v="0"/>
    <d v="2015-05-11T00:00:00"/>
  </r>
  <r>
    <s v="Ushna Ahmed"/>
    <n v="3343501747"/>
    <x v="44"/>
    <s v="flat num 208, block 33/5 near doraja marium arcade karachi"/>
    <x v="8"/>
    <s v="Hasan"/>
    <s v="packof 2 winter heart"/>
    <s v="Kaymu"/>
    <x v="0"/>
    <d v="2015-05-11T00:00:00"/>
  </r>
  <r>
    <s v="Ahmed"/>
    <n v="3452820133"/>
    <x v="13"/>
    <s v="Primor travel near block 2 moti mahal karachi"/>
    <x v="8"/>
    <s v="Mubashir"/>
    <s v="Rolex Subminar Golden"/>
    <s v="Kaymu"/>
    <x v="0"/>
    <d v="2015-05-11T00:00:00"/>
  </r>
  <r>
    <s v="WAJIHA, HANIF"/>
    <n v="3024784064"/>
    <x v="38"/>
    <s v="HOUSE NO 36, STREET NO 1, ITIFAQ COLONY (NEAR DR.SARWAR'S CLINIC ), LAJPUT NAGAR ROAD SHAHDRA LAHORE"/>
    <x v="2"/>
    <s v="Talha"/>
    <s v="Pack of 7 tights"/>
    <s v="Kaymu"/>
    <x v="0"/>
    <d v="2015-05-11T00:00:00"/>
  </r>
  <r>
    <s v="HARRIS, CHAUDHARY"/>
    <n v="3004710338"/>
    <x v="25"/>
    <s v="ASKAR11,SECTOR:B,STREET:34,HOUSE#507,LAHORE"/>
    <x v="2"/>
    <s v="Hasan"/>
    <s v="Pack of 4 full sleeves shirts"/>
    <s v="Kaymu"/>
    <x v="0"/>
    <d v="2015-05-11T00:00:00"/>
  </r>
  <r>
    <s v="JAMEEL, JAAN"/>
    <n v="3007517443"/>
    <x v="45"/>
    <s v="SHOP 39-40 F MIRAJ PLAZA MAIN MARKET GULBERG II LAHORE"/>
    <x v="2"/>
    <s v="Mubashir"/>
    <s v="pack of 2 armani watch"/>
    <s v="Kaymu"/>
    <x v="1"/>
    <d v="2015-05-11T00:00:00"/>
  </r>
  <r>
    <s v="GULAB, SHAH"/>
    <s v=" "/>
    <x v="18"/>
    <s v="FLAT #3 -B HASSAN APPARTMENTS PATEL BAGH NEAR SALIM.MEDICAL COMPLEX QUETTA."/>
    <x v="18"/>
    <s v="Mubashir"/>
    <s v="Tag heuer calibre 36"/>
    <s v="Kaymu"/>
    <x v="0"/>
    <d v="2015-07-11T00:00:00"/>
  </r>
  <r>
    <s v="QASIM"/>
    <s v="3005079946; 0512155520"/>
    <x v="3"/>
    <s v="HOUSENO:176 ST:4 PHASE:5B GHOURI TOWN"/>
    <x v="1"/>
    <s v="Mubashir"/>
    <s v="Casio edifice in silver chain"/>
    <s v="Kaymu"/>
    <x v="0"/>
    <d v="2015-07-11T00:00:00"/>
  </r>
  <r>
    <s v="DANISH, KHAN"/>
    <n v="3016620720"/>
    <x v="34"/>
    <s v="HOUSE NO # 9 STREET NO # 31 SECTOR #G/6-2 ISLAMABAD"/>
    <x v="1"/>
    <s v="Mubashir"/>
    <s v="Curren Business watch"/>
    <s v="Kaymu"/>
    <x v="0"/>
    <d v="2015-07-11T00:00:00"/>
  </r>
  <r>
    <s v="SHABANA, FAISAL"/>
    <n v="3435000168"/>
    <x v="18"/>
    <s v="HOUSE NO. E-6/10 B, STREET NO. 1, AL NOOR TOWN, WORKSHOP STOP, WALTON ROAD, LAHORE CANTT"/>
    <x v="2"/>
    <s v="Mubashir"/>
    <s v="21 watch set"/>
    <s v="Kaymu"/>
    <x v="0"/>
    <d v="2015-07-11T00:00:00"/>
  </r>
  <r>
    <s v="UZAIR, AKBAR"/>
    <n v="3334707299"/>
    <x v="46"/>
    <s v="HOUSE NO, A-353 GULISTAN COLONY WAHCANTT"/>
    <x v="38"/>
    <s v="Hasan"/>
    <s v="Pack of 4 hero t-shirts"/>
    <s v="Kaymu"/>
    <x v="0"/>
    <d v="2015-07-11T00:00:00"/>
  </r>
  <r>
    <s v="a"/>
    <s v="a"/>
    <x v="6"/>
    <s v="a"/>
    <x v="8"/>
    <s v="Hasan"/>
    <s v="pack of 4 t-shirts full"/>
    <s v="olx"/>
    <x v="0"/>
    <d v="2015-07-11T00:00:00"/>
  </r>
  <r>
    <s v="SAHER, JAVED"/>
    <n v="3464161233"/>
    <x v="18"/>
    <s v="HOUSE NO 143 D-2 WAPDA TOWN LAHORE"/>
    <x v="2"/>
    <s v="Mubashir"/>
    <s v="21 watch set"/>
    <s v="Kaymu"/>
    <x v="0"/>
    <d v="2015-09-11T00:00:00"/>
  </r>
  <r>
    <s v="hammad ahmed"/>
    <n v="3223345939"/>
    <x v="47"/>
    <s v="karachi old golimaar"/>
    <x v="8"/>
    <s v="Mubashir"/>
    <s v="Casio edifice in silver chain"/>
    <s v="Kaymu"/>
    <x v="0"/>
    <d v="2015-09-11T00:00:00"/>
  </r>
  <r>
    <s v="Farrukh, Abdul Aziz"/>
    <n v="3327925644"/>
    <x v="2"/>
    <s v="flat no: A-18, Anarkali Appts., Ayesha manzil, Block 7, F.b area, karachi, sindh, pakistan"/>
    <x v="8"/>
    <s v="Hasan"/>
    <s v="Pack of 4 full sleeves shirts"/>
    <s v="Kaymu"/>
    <x v="0"/>
    <d v="2015-09-11T00:00:00"/>
  </r>
  <r>
    <s v="Syed, Ali"/>
    <n v="3453053894"/>
    <x v="39"/>
    <s v="R-54,sector-8, North Karachi, Karachi."/>
    <x v="8"/>
    <s v="Hasan"/>
    <s v="Pack of 4 full sleeves shirts"/>
    <s v="Kaymu"/>
    <x v="0"/>
    <d v="2015-09-11T00:00:00"/>
  </r>
  <r>
    <s v="n/a"/>
    <s v="n/a"/>
    <x v="8"/>
    <s v="Defence"/>
    <x v="8"/>
    <s v="Hasan"/>
    <s v="Pack of 5 full sleeves t-shirts"/>
    <s v="olx"/>
    <x v="0"/>
    <d v="2015-09-11T00:00:00"/>
  </r>
  <r>
    <s v="Muhammad Minhas, Khalid"/>
    <n v="3332831141"/>
    <x v="30"/>
    <s v="H#AA4 room#1 near to Iqra University Defence view phase 2 Karachi Defence view Karachi"/>
    <x v="8"/>
    <s v="Mubashir"/>
    <s v="21 watch set"/>
    <s v="Kaymu"/>
    <x v="0"/>
    <d v="2015-09-11T00:00:00"/>
  </r>
  <r>
    <s v="SOHAIL ANJUM"/>
    <n v="3456463762"/>
    <x v="29"/>
    <s v="STREET NO 3, ABDUL AZIZ SPHAI WALI PORANI ABADI DHULLAY GUJRANWALA"/>
    <x v="4"/>
    <s v="Hasan"/>
    <s v="Pack of 3 printed hoodies"/>
    <s v="olx"/>
    <x v="1"/>
    <d v="2015-09-11T00:00:00"/>
  </r>
  <r>
    <s v="HAMZA, ALI"/>
    <n v="3357731777"/>
    <x v="13"/>
    <s v="HOUSE NO 645 STREET NO 103 G9/4 ISLAMABAD"/>
    <x v="1"/>
    <s v="Hasan"/>
    <s v="Pack of 4 hero t-shirts"/>
    <s v="Kaymu"/>
    <x v="0"/>
    <d v="2015-09-11T00:00:00"/>
  </r>
  <r>
    <s v="AAMIR, KHAN"/>
    <n v="3017461453"/>
    <x v="46"/>
    <s v="SHOP ENSEMBLE 2ND FLOR UNITED MALL ABDALI ROAD MULTAN"/>
    <x v="39"/>
    <s v="Hasan"/>
    <s v="Pack of 4 hero t-shirts"/>
    <s v="Kaymu"/>
    <x v="1"/>
    <d v="2015-09-11T00:00:00"/>
  </r>
  <r>
    <s v="SHAHID, AWAN"/>
    <n v="3126969609"/>
    <x v="18"/>
    <s v="HOUSE # 784,STREET 1,PARK LANE,CHAKLALA SCHEME 3,RAWALPINDI PUNJAB."/>
    <x v="0"/>
    <s v="Mubashir"/>
    <s v="21 watch set"/>
    <s v="Kaymu"/>
    <x v="0"/>
    <d v="2015-09-11T00:00:00"/>
  </r>
  <r>
    <s v="ADIL HUSSAIN, MIRZA"/>
    <n v="3449385746"/>
    <x v="6"/>
    <s v="HADI TRAVEL &amp; TOURS NEAR QADEEM MARKAZI MASJID HANFIA MAIN BAZAR DADYAL AZAD KASHMIR"/>
    <x v="20"/>
    <s v="Hasan"/>
    <s v="pack of 4 t-shirts full"/>
    <s v="Kaymu"/>
    <x v="0"/>
    <d v="2015-09-11T00:00:00"/>
  </r>
  <r>
    <s v="SAMAN, KIYANI"/>
    <n v="3335559707"/>
    <x v="39"/>
    <s v="HOUSE#1731 MODEL TOWN HUMAK(F.A) ISLAMABAD"/>
    <x v="0"/>
    <s v="Mubashir"/>
    <s v="Rolex Subminar Golden"/>
    <s v="Kaymu"/>
    <x v="0"/>
    <d v="2015-09-11T00:00:00"/>
  </r>
  <r>
    <s v="M ADEEL SHAN"/>
    <n v="3430100223"/>
    <x v="5"/>
    <s v="HOUSE NO 37, STREET NO 3, KOT SHAHB-U-DIN SHAHDARA LAHORE"/>
    <x v="2"/>
    <s v="Hasan"/>
    <s v="Pack of 2 smile hoodies"/>
    <s v="Kaymu"/>
    <x v="0"/>
    <d v="2015-09-11T00:00:00"/>
  </r>
  <r>
    <s v="AHSAN"/>
    <n v="3030972411"/>
    <x v="0"/>
    <s v="NEAR PSO PUMP ZINC CENTER LALAMUSA"/>
    <x v="40"/>
    <s v="Hasan"/>
    <s v="packof 4 t-shirts full"/>
    <s v="olx"/>
    <x v="0"/>
    <d v="2015-09-11T00:00:00"/>
  </r>
  <r>
    <s v="Murtaza"/>
    <n v="3333666960"/>
    <x v="48"/>
    <s v="B-1, row-b, block 3 gulshan-e-kaneez fatima scheme -33 karachi"/>
    <x v="8"/>
    <s v="Hasan"/>
    <s v="3 hoodies, 2 trousers, 2 pumpa,  2 tag heuer 17"/>
    <s v="olx"/>
    <x v="0"/>
    <d v="2015-09-11T00:00:00"/>
  </r>
  <r>
    <s v="TAYYAB, REHMAN"/>
    <n v="3157697376"/>
    <x v="32"/>
    <s v="House p-172 shalimar park hilal road faisalabad"/>
    <x v="9"/>
    <s v="Mubashir"/>
    <s v="Casio edifice in silver chain"/>
    <s v="Kaymu"/>
    <x v="1"/>
    <d v="2015-11-11T00:00:00"/>
  </r>
  <r>
    <s v="UMAIR AHMED"/>
    <n v="3334512471"/>
    <x v="49"/>
    <s v="River VIew society near ali raza abad raiwind road lahore"/>
    <x v="2"/>
    <s v="Hasan"/>
    <s v="pack of 4 t-shirts full, 2 hoodies"/>
    <s v="olx"/>
    <x v="0"/>
    <d v="2015-11-11T00:00:00"/>
  </r>
  <r>
    <s v="Hafiz Muhammad, Awais"/>
    <n v="3314645434"/>
    <x v="50"/>
    <s v="house no 68ab ideal homes housing society behind pakistan mint baghbanpura lahore"/>
    <x v="2"/>
    <s v="Mubashir"/>
    <s v="Pack of 2 rolex automatic skeleton"/>
    <s v="Kaymu"/>
    <x v="0"/>
    <d v="2015-11-11T00:00:00"/>
  </r>
  <r>
    <s v="Fareed memon"/>
    <n v="3242984905"/>
    <x v="51"/>
    <s v="Haji Ilyas Sheermal house, opposite broast town main food street hussainabad"/>
    <x v="8"/>
    <s v="Hasan"/>
    <s v="1 smile hoodies"/>
    <s v="olx"/>
    <x v="0"/>
    <d v="2015-11-11T00:00:00"/>
  </r>
  <r>
    <s v="Sher khan"/>
    <n v="3461283211"/>
    <x v="6"/>
    <s v="Sher pow coloni nawaz shareef choke hazara milk shop landhi no.22 karachi"/>
    <x v="8"/>
    <s v="Mubashir"/>
    <s v="21 watch set"/>
    <s v="olx"/>
    <x v="0"/>
    <d v="2015-11-11T00:00:00"/>
  </r>
  <r>
    <s v="Moiz"/>
    <n v="3432998344"/>
    <x v="26"/>
    <s v="Flat no 04, haroon view Block e north karachi near power chowrangi"/>
    <x v="8"/>
    <s v="Mubashir"/>
    <s v="Pack of 4 watches deals"/>
    <s v="olx"/>
    <x v="0"/>
    <s v="13/11/2015"/>
  </r>
  <r>
    <s v="UMAR, IMTIAZ BHATTI"/>
    <n v="3216442684"/>
    <x v="32"/>
    <s v="WAPDA TOWN, BLOCK NO.A2, HOUSE NO.157"/>
    <x v="4"/>
    <s v="Mubashir"/>
    <s v="Casio edifice silver in chain"/>
    <s v="Kaymu"/>
    <x v="0"/>
    <s v="13/11/2015"/>
  </r>
  <r>
    <s v="USMAN, KHAN"/>
    <n v="3315050582"/>
    <x v="22"/>
    <s v="HOUSE # 986n,STREET 45,BEHRIA PHASE 5,RAWALPINDI"/>
    <x v="0"/>
    <s v="Hasan"/>
    <s v="1 Black WWE hoodies"/>
    <s v="Kaymu"/>
    <x v="0"/>
    <s v="13/11/2015"/>
  </r>
  <r>
    <s v="SANA"/>
    <n v="3454882587"/>
    <x v="28"/>
    <s v="HOUSE NO E41, UNIVERSITY COLONY SARYAB  ROAD QUETTA"/>
    <x v="18"/>
    <s v="rex"/>
    <s v="pack of 7 shrugs"/>
    <s v="olx"/>
    <x v="0"/>
    <s v="13/11/2015"/>
  </r>
  <r>
    <s v="SHAHZAD NAZIR GILL"/>
    <n v="3218387575"/>
    <x v="8"/>
    <s v="HOUSE 334 BLOCK B GULSHAN RAVI LAHORE"/>
    <x v="2"/>
    <s v="Hasan"/>
    <s v="Pack of 5 full sleeves t-shirts"/>
    <s v="olx"/>
    <x v="0"/>
    <s v="13/11/2015"/>
  </r>
  <r>
    <s v="HASSAM, SHEIKH"/>
    <n v="3333334358"/>
    <x v="35"/>
    <s v="NEW GALA MANDI USMAN TRADE CENTER .SHOP NUMBER 6 MULTAN"/>
    <x v="39"/>
    <s v="Mubashir"/>
    <s v="21 watch set"/>
    <s v="Kaymu"/>
    <x v="0"/>
    <s v="13/11/2015"/>
  </r>
  <r>
    <s v="nadeem ahmed"/>
    <n v="3212401473"/>
    <x v="18"/>
    <s v="Block 46, sea view appartments GF-1 DHA Karachi"/>
    <x v="8"/>
    <s v="jewellery"/>
    <s v="1 ring"/>
    <s v="olx"/>
    <x v="0"/>
    <s v="13/11/2015"/>
  </r>
  <r>
    <s v="Asif Hanif"/>
    <n v="3152613344"/>
    <x v="5"/>
    <s v="House no A/31 qureshi colony gulbahar karachi"/>
    <x v="8"/>
    <s v="jewellery"/>
    <s v="1 ring"/>
    <s v="Kaymu"/>
    <x v="0"/>
    <s v="13/11/2015"/>
  </r>
  <r>
    <s v="syed basit bukhari"/>
    <n v="3248259757"/>
    <x v="39"/>
    <s v="Jameshad road no.1, mcb bank street near baba arcade al-saba residency 4th floor"/>
    <x v="8"/>
    <s v="Hasan"/>
    <s v="Pack of 4 full sleeves shirts"/>
    <s v="Kaymu"/>
    <x v="0"/>
    <s v="13/11/2015"/>
  </r>
  <r>
    <s v="Asad Nawaz"/>
    <n v="3472820633"/>
    <x v="52"/>
    <s v="PO 84/9 majeed S.R.E national stadium road dalmia karachi"/>
    <x v="8"/>
    <s v="Hasan"/>
    <s v="Pack of 4 hero t-shirts"/>
    <s v="Kaymu"/>
    <x v="0"/>
    <s v="13/11/2015"/>
  </r>
  <r>
    <s v="JHARNA, MANGWANI"/>
    <n v="3318012874"/>
    <x v="38"/>
    <s v="HOSTEL 6 ROOM NUMBER 14 CHANDKA MEDICAL COLLEGE LARKANA"/>
    <x v="16"/>
    <s v="Hasan"/>
    <s v="Pack of 7 tights"/>
    <s v="Kaymu"/>
    <x v="0"/>
    <s v="16/11/2015"/>
  </r>
  <r>
    <s v="KAMRAN"/>
    <n v="3126853922"/>
    <x v="8"/>
    <s v="AWAMI COLONY SADIQABAD"/>
    <x v="41"/>
    <s v="Hasan"/>
    <s v="Pack of 5 t-shirts"/>
    <s v="olx"/>
    <x v="0"/>
    <s v="16/11/2015"/>
  </r>
  <r>
    <s v="AIZAZ, SHAH"/>
    <n v="3338427273"/>
    <x v="22"/>
    <s v="MOHALLAH GUL BAHAR VILLAGE AND P.O BOX OFFICE SHAIDU DISTRICT NOWSHERA"/>
    <x v="42"/>
    <s v="Mubashir"/>
    <s v="Curren Business watch"/>
    <s v="Kaymu"/>
    <x v="0"/>
    <s v="16/11/2015"/>
  </r>
  <r>
    <s v="AHMAD, KHAN"/>
    <n v="3331238966"/>
    <x v="32"/>
    <s v="MODEL TOWN A, NEAR GULBERG ROAD, HOUSE NUMBER 42 , STREET NUMBER 5 , BAHAWALPUR;"/>
    <x v="28"/>
    <s v="Mubashir"/>
    <s v="Casio edifice in silver chain"/>
    <s v="Kaymu"/>
    <x v="0"/>
    <s v="16/11/2015"/>
  </r>
  <r>
    <s v="abdul, qadir"/>
    <n v="3002114818"/>
    <x v="53"/>
    <s v="nazimabad 3 no gole market mezan bank wali bulding floor 7 karachi"/>
    <x v="8"/>
    <s v="Mubashir"/>
    <s v="tag heuer calibre 17 in leather"/>
    <s v="Kaymu"/>
    <x v="0"/>
    <s v="16/11/2015"/>
  </r>
  <r>
    <s v="Zaryab"/>
    <n v="3152838664"/>
    <x v="34"/>
    <s v="sec,35/A B/463 zaman town korangi no.4 karachi"/>
    <x v="8"/>
    <s v="Mubashir"/>
    <s v="Curren Business watch"/>
    <s v="Kaymu"/>
    <x v="0"/>
    <s v="16/11/2015"/>
  </r>
  <r>
    <s v="Zain, Ud Din"/>
    <n v="3321663774"/>
    <x v="22"/>
    <s v="450 G Block Gulistan Colony 1 Faisalabad"/>
    <x v="9"/>
    <s v="Mubashir"/>
    <s v="Curren Business watch"/>
    <s v="Kaymu"/>
    <x v="0"/>
    <s v="16/11/2015"/>
  </r>
  <r>
    <s v="HAMZA SHAFIQ"/>
    <n v="3003730465"/>
    <x v="7"/>
    <s v="saityala dakhana khaas, tehsil zafar wal, district narowal"/>
    <x v="43"/>
    <s v="Hasan"/>
    <s v="Pack of 2 hoodies"/>
    <s v="olx"/>
    <x v="0"/>
    <s v="16/11/2015"/>
  </r>
  <r>
    <s v="Ahsan"/>
    <n v="3120580010"/>
    <x v="54"/>
    <s v="Lasania resturant delivered"/>
    <x v="8"/>
    <s v="Hasan"/>
    <s v="One t-shirt John Cena "/>
    <s v="olx"/>
    <x v="0"/>
    <s v="16/11/2015"/>
  </r>
  <r>
    <s v="ZAIN, ANJUM"/>
    <n v="3458335737"/>
    <x v="27"/>
    <s v="6-9/313/E1 ALI BAHADUR ROAD"/>
    <x v="18"/>
    <s v="Hasan"/>
    <s v="WWE hoodies"/>
    <s v="Kaymu"/>
    <x v="0"/>
    <s v="17/11/2015"/>
  </r>
  <r>
    <s v="Salman, Ali"/>
    <n v="3205355678"/>
    <x v="18"/>
    <s v="azim&amp; co chaudry chamber light house karachi"/>
    <x v="8"/>
    <s v="Mubashir"/>
    <s v="21 watch set"/>
    <s v="Kaymu"/>
    <x v="0"/>
    <s v="17/11/2015"/>
  </r>
  <r>
    <s v="Iftikhar, Quadri"/>
    <n v="3002023010"/>
    <x v="55"/>
    <s v="E-141, Street # 11, Safari Homes Bahria Town. Phase-8"/>
    <x v="1"/>
    <s v="Hasan"/>
    <s v="winter heart t-shirts"/>
    <s v="Kaymu"/>
    <x v="0"/>
    <s v="17/11/2015"/>
  </r>
  <r>
    <s v="mansoor, ahmad"/>
    <n v="3000914867"/>
    <x v="45"/>
    <s v="abshar colony bangla no 8 kababiaan peshawar"/>
    <x v="5"/>
    <s v="Hasan"/>
    <s v="pack of 2 armani watch"/>
    <s v="Kaymu"/>
    <x v="0"/>
    <s v="17/11/2015"/>
  </r>
  <r>
    <s v="Baneen, Kazim"/>
    <n v="3333277749"/>
    <x v="34"/>
    <s v="B9 AL Batul Square behind kmc market soldier Bazar no 3 Karachi"/>
    <x v="8"/>
    <s v="Mubashir"/>
    <s v="Curren Business watch"/>
    <s v="Kaymu"/>
    <x v="0"/>
    <s v="17/11/2015"/>
  </r>
  <r>
    <s v="IDREES"/>
    <n v="3083241726"/>
    <x v="8"/>
    <s v="AL RIHMAN ARKIT FLAT NUM 15, HYDERABAD"/>
    <x v="14"/>
    <s v="rex"/>
    <s v="PACK OF 3 plazo"/>
    <s v="olx"/>
    <x v="0"/>
    <s v="17/11/2015"/>
  </r>
  <r>
    <s v="Samavia, Tariq"/>
    <n v="3012302366"/>
    <x v="44"/>
    <s v="QAU department of earth sciences Islamabad"/>
    <x v="1"/>
    <s v="rex"/>
    <s v="Pack of 5 tights"/>
    <s v="Kaymu"/>
    <x v="0"/>
    <s v="19/11/2015"/>
  </r>
  <r>
    <s v="Nasir, Hussain"/>
    <n v="3339738004"/>
    <x v="56"/>
    <s v="Media Center Pasbaan Plaza Tehsil Sarai Naurang Distt Lakki Marwat KPK"/>
    <x v="37"/>
    <s v="Mubashir"/>
    <s v="Curren Business watch"/>
    <s v="Kaymu"/>
    <x v="0"/>
    <s v="19/11/2015"/>
  </r>
  <r>
    <s v="azeem, akram"/>
    <n v="3334504878"/>
    <x v="25"/>
    <s v="4/c bashir street karamabad wahdat road lahore"/>
    <x v="2"/>
    <s v="Hasan"/>
    <s v="Pack of 4 full sleeves shirts"/>
    <s v="Kaymu"/>
    <x v="0"/>
    <s v="19/11/2015"/>
  </r>
  <r>
    <s v="Waqar, Khan"/>
    <n v="3452944853"/>
    <x v="2"/>
    <s v="Block 22 house 364 tara chand road keamari karachi"/>
    <x v="8"/>
    <s v="Hasan"/>
    <s v="Pack of 4 full sleeves shirts"/>
    <s v="Kaymu"/>
    <x v="0"/>
    <s v="19/11/2015"/>
  </r>
  <r>
    <s v="ADNAN ZAHOOR"/>
    <s v="3475305016; 03325307737"/>
    <x v="49"/>
    <s v="E-286/c new phagwari satellite town rawalpindi "/>
    <x v="0"/>
    <s v="Hasan"/>
    <s v="tag 36, hoodies, 1 t-shirts, 5 tights"/>
    <s v="olx"/>
    <x v="0"/>
    <s v="19/11/2015"/>
  </r>
  <r>
    <s v="RANA JAFFAR ALI"/>
    <n v="3136015944"/>
    <x v="12"/>
    <s v="Advocate Chamber no 1 district court khanewal"/>
    <x v="32"/>
    <s v="Mubashir"/>
    <s v="pack of 2 casio beside"/>
    <s v="olx"/>
    <x v="0"/>
    <s v="19/11/2015"/>
  </r>
  <r>
    <s v="Saqib zaman"/>
    <n v="3455161120"/>
    <x v="18"/>
    <s v="Plot 102, st 7.i-10/3 industrial area islamabad"/>
    <x v="1"/>
    <s v="Mubashir"/>
    <s v="Curren Business watch"/>
    <s v="olx"/>
    <x v="0"/>
    <s v="20/11/2015"/>
  </r>
  <r>
    <s v="Muhammad Akram"/>
    <n v="3003648233"/>
    <x v="38"/>
    <s v="D.C. Office Tandoallahyar near SM collage nasirpur road Tandoallahyar"/>
    <x v="44"/>
    <s v="Hasan"/>
    <s v="Pack of 7 tights"/>
    <s v="Kaymu"/>
    <x v="0"/>
    <s v="20/11/2015"/>
  </r>
  <r>
    <s v="Talha, Imran"/>
    <n v="3365188073"/>
    <x v="38"/>
    <s v="House 129 Swabii street lower jinnahabad pma link road jinnahabad"/>
    <x v="11"/>
    <s v="Mubashir"/>
    <s v="Pack of 7 tights"/>
    <s v="Kaymu"/>
    <x v="0"/>
    <s v="20/11/2015"/>
  </r>
  <r>
    <s v="wajid khan"/>
    <n v="3406041445"/>
    <x v="6"/>
    <s v="chak sikander no 30, dinga road kharian nazdek dhoria"/>
    <x v="45"/>
    <s v="Hasan"/>
    <s v="1 hoodies, 1 trouser"/>
    <s v="olx"/>
    <x v="0"/>
    <s v="20/11/2015"/>
  </r>
  <r>
    <s v="Muzammil, Hussain"/>
    <n v="3062452564"/>
    <x v="2"/>
    <s v="Zainab Arcade,flat number 405, Block 3, Plot 5, C.P Berar Society, Sharafabad"/>
    <x v="8"/>
    <s v="Hasan"/>
    <s v="Pack of 4 full sleeves shirts"/>
    <s v="Kaymu"/>
    <x v="0"/>
    <s v="20/11/2015"/>
  </r>
  <r>
    <s v="uzair, mateen"/>
    <n v="3323056946"/>
    <x v="52"/>
    <s v="B-450 gulshan e hadeed phase 2 Karachi"/>
    <x v="8"/>
    <s v="Hasan"/>
    <s v="Pack of 4 super hero t-shirts"/>
    <s v="Kaymu"/>
    <x v="0"/>
    <s v="20/11/2015"/>
  </r>
  <r>
    <s v="ali, akbar"/>
    <n v="3032966289"/>
    <x v="57"/>
    <s v="B 43 Block 11 gulshan e uqbal nipa karachi"/>
    <x v="8"/>
    <s v="Mubashir"/>
    <s v="Curren Business watch"/>
    <s v="Kaymu"/>
    <x v="0"/>
    <s v="20/11/2015"/>
  </r>
  <r>
    <s v="FARHAN, QAZI"/>
    <n v="3340079332"/>
    <x v="18"/>
    <s v="OFFICE 25 BEVERLY CENTRE BLUE AREA ISLAMABAD"/>
    <x v="1"/>
    <s v="Mubashir"/>
    <s v="21 watch set"/>
    <s v="Kaymu"/>
    <x v="0"/>
    <s v="20/11/2015"/>
  </r>
  <r>
    <s v="ARAIB, KHAN"/>
    <n v="3234143885"/>
    <x v="25"/>
    <s v="HOUSE # 2 STREET # 19A SARFARAZ COLONEY GUJARPURA LAHORE"/>
    <x v="2"/>
    <s v="Hasan"/>
    <s v="Pack of 4 full sleeves shirts"/>
    <s v="Kaymu"/>
    <x v="0"/>
    <s v="20/11/2015"/>
  </r>
  <r>
    <s v="UMAR, HAYAT"/>
    <n v="3105054377"/>
    <x v="18"/>
    <s v="KASHMIR COLONY A.C.WAH TAXILA RAWALPINDI"/>
    <x v="0"/>
    <s v="Hasan"/>
    <s v="WWE hoodies"/>
    <s v="Kaymu"/>
    <x v="0"/>
    <s v="20/11/2015"/>
  </r>
  <r>
    <s v="REHAN, OUXIFA"/>
    <n v="3076302425"/>
    <x v="30"/>
    <s v="ALLIED SCHOOL BEHIND NEW FAQEER ABAD POLICE STATION"/>
    <x v="5"/>
    <s v="Hasan"/>
    <s v="WWE hoodies"/>
    <s v="Kaymu"/>
    <x v="0"/>
    <s v="20/11/2015"/>
  </r>
  <r>
    <s v="momin, ali"/>
    <n v="3152022232"/>
    <x v="47"/>
    <s v="movach goth man stop #2 tahiri comm near damdastageer kebin baldia town hub river road"/>
    <x v="8"/>
    <s v="Mubashir"/>
    <s v="Casio edifice in silver chain"/>
    <s v="Kaymu"/>
    <x v="0"/>
    <s v="20/11/2015"/>
  </r>
  <r>
    <s v="Asad"/>
    <n v="3036126022"/>
    <x v="49"/>
    <s v="sindh govt qatar hospital orangi town khi emergency ward mein dressing room"/>
    <x v="8"/>
    <s v="Mubashir"/>
    <s v="1 movado 1 rado"/>
    <s v="olx"/>
    <x v="0"/>
    <s v="20/11/2015"/>
  </r>
  <r>
    <s v="naveed, marhaba"/>
    <n v="3323117901"/>
    <x v="58"/>
    <s v="ajwa uniform near bantwa hospital opp lakhani clinic near hussainia irania imam barga"/>
    <x v="8"/>
    <s v="Mubashir"/>
    <s v="Rolex subminar silver"/>
    <s v="Kaymu"/>
    <x v="0"/>
    <s v="20/11/2015"/>
  </r>
  <r>
    <s v="Ayub, khokhar"/>
    <n v="3016702001"/>
    <x v="59"/>
    <s v="Tawakkal Crockery store Near pathnon wali masjid block no.8"/>
    <x v="34"/>
    <s v="Hasan"/>
    <s v="okay blue hoodies"/>
    <s v="Kaymu"/>
    <x v="0"/>
    <s v="22/11/2015"/>
  </r>
  <r>
    <s v="IDREES"/>
    <n v="3083241726"/>
    <x v="8"/>
    <s v="AL RIHMAN ARKIT FLAT NUM 15, HYDERABAD"/>
    <x v="14"/>
    <s v="rex"/>
    <s v="PACK OF 3 plazo"/>
    <s v="olx"/>
    <x v="0"/>
    <s v="22/11/2015"/>
  </r>
  <r>
    <s v="TALHA LIAQAT"/>
    <n v="3075124714"/>
    <x v="1"/>
    <s v="DEPALPUR SADAR BAZAR LIAQAT JEWELLERS"/>
    <x v="46"/>
    <s v="Hasan"/>
    <s v="pack of 3 t-shirts y"/>
    <s v="olx"/>
    <x v="0"/>
    <s v="22/11/2015"/>
  </r>
  <r>
    <s v="SANA ULLAH"/>
    <n v="3145452288"/>
    <x v="7"/>
    <s v="QUETTA MEKANGI ROAD BALOCHI STRIT"/>
    <x v="18"/>
    <s v="rex"/>
    <s v="pack of 3 shrugs"/>
    <s v="olx"/>
    <x v="0"/>
    <s v="22/11/2015"/>
  </r>
  <r>
    <s v="MOIN SHERANI"/>
    <n v="3337813378"/>
    <x v="60"/>
    <s v="ABDULLAH SHOP OPPOSITE I.T UNIVERSITY JINNAH TOWN QUETTA"/>
    <x v="18"/>
    <s v="Mubashir"/>
    <s v="Rolex Subminar Golden"/>
    <s v="facebook"/>
    <x v="0"/>
    <s v="22/11/2015"/>
  </r>
  <r>
    <s v="ABDUL SAMI, KHAN"/>
    <n v="3028504782"/>
    <x v="35"/>
    <s v="ABDUL SAMI KHAN, NEAR ARMY STADIUM,BRIGADIER NAJAM SHAHEED ROAD, MUZAFFARABAD, AJ&amp;K"/>
    <x v="47"/>
    <s v="Mubashir"/>
    <s v="21 watch set"/>
    <s v="Kaymu"/>
    <x v="0"/>
    <s v="22/11/2015"/>
  </r>
  <r>
    <s v="Samavia, Tariq"/>
    <n v="3012302366"/>
    <x v="34"/>
    <s v="QAU department of earth sciences Islamabad"/>
    <x v="1"/>
    <s v="rex"/>
    <s v="Pack of 5 tights"/>
    <s v="Kaymu"/>
    <x v="0"/>
    <s v="24/11/2015"/>
  </r>
  <r>
    <s v="MUHAMMAD, SHERAZI"/>
    <n v="3070767802"/>
    <x v="56"/>
    <s v="HOUSE 12/C MEDICAL COLONY BAHAWALPUR"/>
    <x v="28"/>
    <s v="Mubashir"/>
    <s v="Curren Business watch"/>
    <s v="Kaymu"/>
    <x v="0"/>
    <s v="24/11/2015"/>
  </r>
  <r>
    <s v="SALEH, AHMED"/>
    <n v="3312485821"/>
    <x v="31"/>
    <s v="HOUSE NO# Z-19 SUGER MILL COLONY LAYYAH"/>
    <x v="36"/>
    <s v="Hasan"/>
    <s v="CAT hoodies"/>
    <s v="Kaymu"/>
    <x v="0"/>
    <s v="24/11/2015"/>
  </r>
  <r>
    <s v="RAJA TASHFEEN, SHARF SHABBIR"/>
    <n v="3475743765"/>
    <x v="3"/>
    <s v="V.P.O JATLI DISRICT RAWALPINDI TEHSIL GUJAR KHAN"/>
    <x v="0"/>
    <s v="Mubashir"/>
    <s v="Casio edifice silver in chain"/>
    <s v="Kaymu"/>
    <x v="0"/>
    <s v="24/11/2015"/>
  </r>
  <r>
    <s v="MIAN IMRAN, AHMAD"/>
    <n v="3004332031"/>
    <x v="3"/>
    <s v="MIAN IMRAN AHMAD ASI ADMIN OFFICER POLICE STATION MUGALPURA LAHORE"/>
    <x v="2"/>
    <s v="Mubashir"/>
    <s v="Casio edifice silver in chain"/>
    <s v="Kaymu"/>
    <x v="0"/>
    <s v="24/11/2015"/>
  </r>
  <r>
    <s v="MAQSOOD AHMED"/>
    <n v="3342677825"/>
    <x v="32"/>
    <s v="MAQSOOD AHMED WAPDA RAILWAY COLONY NEAR GHULAM RASOOL SHAH MOSQUE JACOBABAD"/>
    <x v="48"/>
    <s v="Mubashir"/>
    <s v="Casio edifice silver in chain"/>
    <s v="Kaymu"/>
    <x v="0"/>
    <s v="24/11/2015"/>
  </r>
  <r>
    <s v="Asif Montina"/>
    <n v="3363007276"/>
    <x v="18"/>
    <s v="Zainab plaza self delivered"/>
    <x v="8"/>
    <s v="Hasan"/>
    <s v="Pack of 5 full sleeves t-shirts"/>
    <s v="local"/>
    <x v="0"/>
    <s v="25/11/2015"/>
  </r>
  <r>
    <s v="Customer, 1st copy"/>
    <n v="3343397629"/>
    <x v="61"/>
    <s v="B1, gulshan e amin towers main johar chorangi gulistan-e-johar karachi"/>
    <x v="8"/>
    <s v="Mubashir"/>
    <s v="Casio beside 1st copy"/>
    <s v="olx"/>
    <x v="0"/>
    <s v="25/11/2015"/>
  </r>
  <r>
    <s v="Saqib zaman"/>
    <n v="3455161120"/>
    <x v="26"/>
    <s v="Plot 102, st 7.i-10/3 industrial area islamabad"/>
    <x v="1"/>
    <s v="Mubashir"/>
    <s v="Pack of 2 curren business watch"/>
    <s v="olx"/>
    <x v="0"/>
    <s v="25/11/2015"/>
  </r>
  <r>
    <s v="IMTIAZ AHMED"/>
    <n v="3341686433"/>
    <x v="52"/>
    <s v="BAHRIA TOWN PHASE 2 KARACHI SUPERHIGHWAY 9 KM TOLL PLAZA.MODEL HAUZ QUAIB BLOCK"/>
    <x v="8"/>
    <s v="Hasan"/>
    <s v="Pack of 4 super hero t-shirts"/>
    <s v="Kaymu"/>
    <x v="1"/>
    <s v="25/11/2015"/>
  </r>
  <r>
    <s v="SAAD, ALI"/>
    <n v="3239919990"/>
    <x v="39"/>
    <s v="HOUSE 153 BLOCK D PUNJAB HOUSING SOCIETY"/>
    <x v="2"/>
    <s v="Hasan"/>
    <s v="branded ferreri hoodies"/>
    <s v="Kaymu"/>
    <x v="0"/>
    <s v="25/11/2015"/>
  </r>
  <r>
    <s v="MUSA, SAAB"/>
    <n v="3234014432"/>
    <x v="3"/>
    <s v="MUHALLAH KHALIK NAGAR, BHATTI HOUSE, NEAR PIR SPHAI DARBAR, LAHORE"/>
    <x v="2"/>
    <s v="Mubashir"/>
    <s v="Casio edifice silver in chain"/>
    <s v="Kaymu"/>
    <x v="0"/>
    <s v="25/11/2015"/>
  </r>
  <r>
    <s v="IMRAN, AHMAD"/>
    <n v="3218481000"/>
    <x v="25"/>
    <s v="HOUSE 11-B, OLD FCC, FEROZEPUR ROAD, LAHORE"/>
    <x v="2"/>
    <s v="Mubashir"/>
    <s v="Pack of 4 full sleeves shirts"/>
    <s v="Kaymu"/>
    <x v="0"/>
    <s v="25/11/2015"/>
  </r>
  <r>
    <s v="MAIN ASAD ALI"/>
    <n v="3336841523"/>
    <x v="16"/>
    <s v="MAIN ASAD ALI BHAKKAR"/>
    <x v="30"/>
    <s v="Hasan"/>
    <s v="nike hoodies"/>
    <s v="olx"/>
    <x v="0"/>
    <s v="25/11/2015"/>
  </r>
  <r>
    <s v="RUBAB"/>
    <n v="3062643135"/>
    <x v="1"/>
    <s v="MARGHZAR COLONY BLOCK R 36 MULTAN ROAD LAHORE"/>
    <x v="2"/>
    <s v="rex"/>
    <s v="pack of 3 shrugs"/>
    <s v="olx"/>
    <x v="0"/>
    <s v="25/11/2015"/>
  </r>
  <r>
    <s v="SHOAIB TAQI"/>
    <n v="3313514458"/>
    <x v="60"/>
    <s v="H # 106-C BLOCK D, UNIT #6, LATIFABAD, HYDERABAD"/>
    <x v="14"/>
    <s v="Hasan"/>
    <s v="pack of 3 hoodies"/>
    <s v="olx"/>
    <x v="0"/>
    <s v="27/11/2015"/>
  </r>
  <r>
    <s v="TARIQ, RASHEED"/>
    <n v="3458203470"/>
    <x v="57"/>
    <s v="A/904 GULSHAN E HADEED PH1 BIN QASIM"/>
    <x v="8"/>
    <s v="Mubashir"/>
    <s v="Curren Business watch"/>
    <s v="Kaymu"/>
    <x v="1"/>
    <s v="27/11/2015"/>
  </r>
  <r>
    <s v="FAISAL, SHAMS"/>
    <n v="3447067287"/>
    <x v="46"/>
    <s v="HOUSE#316 NAQSHBAND COLONY KHANEWAL ROAD MULTAN NEAR BY RUBANIYA MASJID"/>
    <x v="39"/>
    <s v="Hasan"/>
    <s v="Pack of 4 super hero t-shirts"/>
    <s v="Kaymu"/>
    <x v="0"/>
    <s v="27/11/2015"/>
  </r>
  <r>
    <s v="AMMARA, AZHAR"/>
    <n v="3479292532"/>
    <x v="6"/>
    <s v="CB 129 A NEW GULISTAN COLONY NEAR GANDHARA HOMEOPATHIC MEDICAL COLLEGE P.O TAXILA WAHCANTT"/>
    <x v="38"/>
    <s v="Hasan"/>
    <s v="Pack of 4 full sleeves shirts"/>
    <s v="Kaymu"/>
    <x v="0"/>
    <s v="27/11/2015"/>
  </r>
  <r>
    <s v="MALIK, ZAMURAD"/>
    <n v="3123549950"/>
    <x v="18"/>
    <s v="HARIPUR MALIKYAR VILLAGE SHOP NOOR MUHAMMAD"/>
    <x v="49"/>
    <s v="Hasan"/>
    <s v="WWE hoodies"/>
    <s v="Kaymu"/>
    <x v="0"/>
    <s v="27/11/2015"/>
  </r>
  <r>
    <s v="Danish, Ali"/>
    <n v="3337400001"/>
    <x v="62"/>
    <s v="NIBD Hospital Street 2/A Block 17 Gulshan e iqbal KDA Scheme 24 , Opp Mashriq Center Neat Faran Club Karachi"/>
    <x v="8"/>
    <s v="Hasan"/>
    <s v="WWE hoodies"/>
    <s v="Kaymu"/>
    <x v="0"/>
    <s v="27/11/2015"/>
  </r>
  <r>
    <s v="Muhammad, khalid"/>
    <n v="3128637219"/>
    <x v="2"/>
    <s v="sector 3 house number L28 north karachi"/>
    <x v="8"/>
    <s v="Hasan"/>
    <s v="Pack of 4 full sleeves shirts"/>
    <s v="Kaymu"/>
    <x v="0"/>
    <s v="27/11/2015"/>
  </r>
  <r>
    <s v="Komal, Ali"/>
    <n v="3045999001"/>
    <x v="31"/>
    <s v="Dha phase 6 rahat commercial"/>
    <x v="8"/>
    <s v="Hasan"/>
    <s v="1 hoodie, 1 trouser"/>
    <s v="Kaymu"/>
    <x v="0"/>
    <s v="27/11/2015"/>
  </r>
  <r>
    <s v="armash, ashraf"/>
    <n v="3151030034"/>
    <x v="57"/>
    <s v="102-C,street-27,askari 4"/>
    <x v="8"/>
    <s v="Mubashir"/>
    <s v="Curren Business watch"/>
    <s v="Kaymu"/>
    <x v="0"/>
    <s v="27/11/2015"/>
  </r>
  <r>
    <s v="Moosa, Akram"/>
    <n v="3028265444"/>
    <x v="2"/>
    <s v="plot no 21-C, lane no 2, khayabane shahbaz, phase 6, defence, karachi"/>
    <x v="8"/>
    <s v="rex"/>
    <s v="Pack of 3 Cigarette pants"/>
    <s v="Kaymu"/>
    <x v="0"/>
    <s v="28/11/2015"/>
  </r>
  <r>
    <s v="DILSHAD AKHTAR"/>
    <n v="3446396211"/>
    <x v="13"/>
    <s v="TEHSEEL ZAFRWAL ZELA NAROWAL POST OFFICE PINDI PORBIAN VILLAGE BOHRI"/>
    <x v="43"/>
    <s v="rex"/>
    <s v="pack of 3 tights"/>
    <s v="olx"/>
    <x v="0"/>
    <s v="28/11/2015"/>
  </r>
  <r>
    <s v="MUHAMAD UMAIR"/>
    <n v="3316884447"/>
    <x v="14"/>
    <s v="WAH BOYS HOSTEL OPPOSITE TO COSMATS WAH CAMPUS, GT ROAD TAXILA"/>
    <x v="38"/>
    <s v="Hasan"/>
    <s v="Pack of 4 full sleeves shirts"/>
    <s v="olx"/>
    <x v="0"/>
    <s v="28/11/2015"/>
  </r>
  <r>
    <s v="BASIT, KHAN"/>
    <n v="3451643002"/>
    <x v="63"/>
    <s v="H# 169-P GULLBERG III,NEAR GULAB DEVI HOSPITAL, LAHORE"/>
    <x v="2"/>
    <s v="Mubashir"/>
    <s v="Curren Business watch"/>
    <s v="Kaymu"/>
    <x v="0"/>
    <s v="28/11/2015"/>
  </r>
  <r>
    <s v="IKRAMULLAH KHILJI"/>
    <n v="3480224998"/>
    <x v="6"/>
    <s v="MANDUKHAILABAD GALI NO 2, HOUSE NO 8 QUETTA"/>
    <x v="18"/>
    <s v="rex"/>
    <s v="pack of 3 shrugs"/>
    <s v="olx"/>
    <x v="1"/>
    <s v="28/11/2015"/>
  </r>
  <r>
    <s v="ADEEL"/>
    <n v="3430100223"/>
    <x v="64"/>
    <s v="ST#3 H#37 KOT SHAHB-U-DIN G.T ROAD SHAHDARA LAHORE"/>
    <x v="2"/>
    <s v="Hasan"/>
    <s v="pack of 4 full sleeves shirts and hoodies"/>
    <s v="olx"/>
    <x v="0"/>
    <s v="28/11/2015"/>
  </r>
  <r>
    <s v="ASIF, SURTY"/>
    <n v="3023975197"/>
    <x v="11"/>
    <s v="BANGLOW NO#B3 MEMON SOCIETY NEAR QASIMABADHYDERABAD"/>
    <x v="14"/>
    <s v="Hasan"/>
    <s v="Pack of 2 hoodies"/>
    <s v="Kaymu"/>
    <x v="0"/>
    <s v="28/11/2015"/>
  </r>
  <r>
    <s v="HUSSAIN, FAROOQ"/>
    <n v="3022296281"/>
    <x v="18"/>
    <s v="KHARIAN CANTT.DEFENCE COLONY, CBKF ,CANTONMENT BOARD FLATS,HOUSE NUMBER 3A,"/>
    <x v="50"/>
    <s v="Hasan"/>
    <s v="WWE hoodies"/>
    <s v="Kaymu"/>
    <x v="0"/>
    <s v="28/11/2015"/>
  </r>
  <r>
    <s v="ABDUL, MUNAM"/>
    <n v="3417098506"/>
    <x v="47"/>
    <s v="C-58 GULSHAN-E-HADEED PHASE2 BINQASIM KARACHI"/>
    <x v="8"/>
    <s v="Mubashir"/>
    <s v="Casio edifice silver in chain"/>
    <s v="Kaymu"/>
    <x v="0"/>
    <s v="28/11/2015"/>
  </r>
  <r>
    <s v="SAQIB, ALI"/>
    <n v="3316161193"/>
    <x v="46"/>
    <s v="SECTOR E/1 HOUSE NO. 4 MIRPUR AZAD KASHMIR"/>
    <x v="20"/>
    <s v="Hasan"/>
    <s v="pack of 4 full sleeve shirts"/>
    <s v="Kaymu"/>
    <x v="0"/>
    <s v="28/11/2015"/>
  </r>
  <r>
    <s v="HAJIRA BIBI"/>
    <n v="3000570683"/>
    <x v="8"/>
    <s v="HAJIRA BIBI D/O M.JAN GANGU BAHDUR (MOHRA MILYARIAN) TEH TAXILA DIST RAWALPINDI"/>
    <x v="0"/>
    <s v="rex"/>
    <s v="pack of 3 shrugs"/>
    <s v="Kaymu"/>
    <x v="0"/>
    <s v="28/11/2015"/>
  </r>
  <r>
    <s v="SYed, HAsan"/>
    <n v="3162032302"/>
    <x v="57"/>
    <s v="flat no d18, markez e irfan sec 5c4,north karachi,karachi"/>
    <x v="8"/>
    <s v="Mubashir"/>
    <s v="curren decent business watch"/>
    <s v="Kaymu"/>
    <x v="1"/>
    <s v="30/11/2015"/>
  </r>
  <r>
    <s v="mohsin, khan"/>
    <n v="3110265125"/>
    <x v="65"/>
    <s v="house # L-792 sector 34/2 korangi no. 3 karachi"/>
    <x v="8"/>
    <s v="Mubashir"/>
    <s v="21 watch set"/>
    <s v="Kaymu"/>
    <x v="0"/>
    <s v="30/11/2015"/>
  </r>
  <r>
    <s v="Yaad nai"/>
    <s v="a"/>
    <x v="27"/>
    <s v="chota malir"/>
    <x v="8"/>
    <s v="Mubashir"/>
    <m/>
    <s v="olx"/>
    <x v="0"/>
    <s v="30/11/2015"/>
  </r>
  <r>
    <s v="Inshal, Khan"/>
    <n v="3453060329"/>
    <x v="66"/>
    <s v="A-6 block 2 gulshan e iqbal Karachi, Pakistan."/>
    <x v="8"/>
    <s v="hasasn"/>
    <s v="pack of 4 full sleeve"/>
    <s v="Kaymu"/>
    <x v="0"/>
    <s v="30/11/2015"/>
  </r>
  <r>
    <s v="ADEEL"/>
    <n v="3430100223"/>
    <x v="0"/>
    <s v="ST#3 H#37 KOT SHAHB-U-DIN G.T ROAD SHAHDARA LAHORE"/>
    <x v="2"/>
    <s v="Hasan"/>
    <s v="pack of 4 full sleeve"/>
    <s v="olx"/>
    <x v="0"/>
    <s v="28/11/2015"/>
  </r>
  <r>
    <s v="ASIF, KHAN"/>
    <n v="3330350428"/>
    <x v="17"/>
    <s v="HOUSE NO 1152, MANZOOR COLOUNY AIRPORT ROAD KHANPUR"/>
    <x v="51"/>
    <s v="Mubashir"/>
    <s v="Handmade watch"/>
    <s v="Kaymu"/>
    <x v="0"/>
    <d v="2015-01-12T00:00:00"/>
  </r>
  <r>
    <s v="UMAR, SHAHZAD"/>
    <n v="3330377333"/>
    <x v="56"/>
    <s v="UMAR SHAHZAD, C/O MALIK NIAZ HUSSAIN, TEHSIL OFFICE TALAGANG, DISTT CHAKWAL, PUNJAB, PAKISTAN"/>
    <x v="52"/>
    <s v="Mubashir"/>
    <s v="Curren Business watch"/>
    <s v="Kaymu"/>
    <x v="0"/>
    <d v="2015-01-12T00:00:00"/>
  </r>
  <r>
    <s v="MIAN ABDUR, REHMAN"/>
    <n v="3339013930"/>
    <x v="32"/>
    <s v="COMSATS INSTITUTE OF INFORMATION AND TECHNOLOGY ABBOTTABAD CAMPUS,"/>
    <x v="11"/>
    <s v="Mubashir"/>
    <s v="Casio edifice in silver chain"/>
    <s v="Kaymu"/>
    <x v="1"/>
    <d v="2015-01-12T00:00:00"/>
  </r>
  <r>
    <s v="HADEED, MALIK"/>
    <n v="3335170418"/>
    <x v="13"/>
    <s v="HOUSE #138, ST. #19, FALCON COMPLEX, KRL ROAD"/>
    <x v="0"/>
    <s v="Hasan"/>
    <s v="Pack of 4 super hero t-shirts"/>
    <s v="Kaymu"/>
    <x v="0"/>
    <d v="2015-01-12T00:00:00"/>
  </r>
  <r>
    <s v="SYED NADEEM"/>
    <n v="3043343118"/>
    <x v="67"/>
    <s v="NEW HINA ELECTRONICS NASEEM CENTER FOJI GALI ROAD HYDERABAD"/>
    <x v="14"/>
    <s v="Hasan"/>
    <s v="pack of 2 hoodies, 3 shrugs"/>
    <s v="olx"/>
    <x v="0"/>
    <d v="2015-01-12T00:00:00"/>
  </r>
  <r>
    <s v="MUHAMMAD QASIM ATTAR"/>
    <n v="3443230698"/>
    <x v="8"/>
    <s v="DADU DISTRICT GHARIBABAD MUHALLA NEAR WORK SHOP BHURGI STREET"/>
    <x v="35"/>
    <s v="rex"/>
    <s v="pack of 3 shrugs"/>
    <s v="olx"/>
    <x v="0"/>
    <d v="2015-01-12T00:00:00"/>
  </r>
  <r>
    <s v="AMEER HASSAN"/>
    <n v="3313538399"/>
    <x v="1"/>
    <s v="HOUSE NO A-73, PHASE 1 QASIMABAD, HYDERABAD"/>
    <x v="14"/>
    <s v="Hasan"/>
    <s v="pack of 4 full sleeve"/>
    <s v="olx"/>
    <x v="0"/>
    <d v="2015-01-12T00:00:00"/>
  </r>
  <r>
    <s v="MUHAMMAD ISMAIL"/>
    <n v="3469000224"/>
    <x v="8"/>
    <s v="ROOM NO. 301, PEDO HOUSE 38/B-2 PHASE 5, HAYATABAD PESHAWAR"/>
    <x v="5"/>
    <s v="Hasan"/>
    <s v="pack of 4 full sleeve"/>
    <s v="olx"/>
    <x v="0"/>
    <d v="2015-01-12T00:00:00"/>
  </r>
  <r>
    <s v="Mishraz, Qureshi"/>
    <n v="3112115833"/>
    <x v="26"/>
    <s v="Vg2 country club appt ground floor 33 rd street dha phase 5 near Mubarak masjid"/>
    <x v="8"/>
    <s v="Mubashir"/>
    <s v="Rado watch for ladies"/>
    <s v="Kaymu"/>
    <x v="0"/>
    <d v="2015-04-12T00:00:00"/>
  </r>
  <r>
    <s v="RAI AZHAR, ABBAS"/>
    <n v="3348000805"/>
    <x v="3"/>
    <s v="52 L GULBERG 3 NEAR KALMA CHOWK SILK BANK LAHORE"/>
    <x v="2"/>
    <s v="Mubashir"/>
    <s v="Casio edifice in silver chain"/>
    <s v="Kaymu"/>
    <x v="0"/>
    <d v="2015-02-12T00:00:00"/>
  </r>
  <r>
    <s v="FAISAL, MEHMOOD"/>
    <n v="3349612737"/>
    <x v="56"/>
    <s v="NEW MODEL TOWN GOJRA # HOUSE NO P326"/>
    <x v="53"/>
    <s v="Mubashir"/>
    <s v="Curren Business watch"/>
    <s v="Kaymu"/>
    <x v="0"/>
    <d v="2015-02-12T00:00:00"/>
  </r>
  <r>
    <s v="SHARJEEL ALI"/>
    <n v="3238863226"/>
    <x v="18"/>
    <s v="37 LOWER MALL, NEAR SESSION COURT ,FOUNTAIN HOUSE LAHORE"/>
    <x v="2"/>
    <s v="Mubashir"/>
    <s v="21 watch set"/>
    <s v="Kaymu"/>
    <x v="1"/>
    <d v="2015-02-12T00:00:00"/>
  </r>
  <r>
    <s v="HIKMAT, KHAN"/>
    <n v="3009383770"/>
    <x v="46"/>
    <s v="AL HIKMAT STATIONERY NEAR BLOCK 5 SATELITE TOWN QUETTA"/>
    <x v="18"/>
    <s v="Hasan"/>
    <s v="Pack of 4 super hero t-shirts"/>
    <s v="Kaymu"/>
    <x v="0"/>
    <d v="2015-02-12T00:00:00"/>
  </r>
  <r>
    <s v="ZEESHAN, ASHRAF"/>
    <n v="3214429242"/>
    <x v="22"/>
    <s v="HOUSE 233 E BLOCK PHASE 6 DHA LAHORE"/>
    <x v="2"/>
    <s v="Mubashir"/>
    <s v="Pack of 2 genava"/>
    <s v="Kaymu"/>
    <x v="0"/>
    <d v="2015-02-12T00:00:00"/>
  </r>
  <r>
    <s v="AKHTAR, ZAMAN"/>
    <n v="3459058303"/>
    <x v="18"/>
    <s v="DIRECTORATE OF PROJECTS, FATA SECRETARIAT, WARSAK ROAD, PESHAWAR - KPK"/>
    <x v="5"/>
    <s v="Mubashir"/>
    <s v="21 watch set"/>
    <s v="Kaymu"/>
    <x v="0"/>
    <d v="2015-02-12T00:00:00"/>
  </r>
  <r>
    <s v="MUNTIHA, IBTIHAJ"/>
    <n v="3335315332"/>
    <x v="3"/>
    <s v="HOUSE 1059 P BLOCK, SABZAZAR, LAHORE"/>
    <x v="2"/>
    <s v="Mubashir"/>
    <s v="Casio edifice silver in chain"/>
    <s v="Kaymu"/>
    <x v="0"/>
    <d v="2015-02-12T00:00:00"/>
  </r>
  <r>
    <s v="UMER, MUNEER"/>
    <n v="3068727512"/>
    <x v="30"/>
    <s v="FAISAL TOWN, HAFIZ SUPER STORE DISTRICT SHAKARGARH"/>
    <x v="43"/>
    <s v="Hasan"/>
    <s v="WWE hoodies"/>
    <s v="Kaymu"/>
    <x v="0"/>
    <d v="2015-02-12T00:00:00"/>
  </r>
  <r>
    <s v="Syed kumail zaide"/>
    <n v="3242828490"/>
    <x v="13"/>
    <s v="B-209 Shumail Centre Block 13\E gulshan e Iqbal Karachi. near ST.philps church 13\E Gulshan e Iqbal Karachi."/>
    <x v="8"/>
    <s v="Hasan"/>
    <s v="Barcelona Neymar Hoodie"/>
    <s v="Kaymu"/>
    <x v="0"/>
    <d v="2015-04-12T00:00:00"/>
  </r>
  <r>
    <s v="munver"/>
    <n v="3212388329"/>
    <x v="6"/>
    <s v="R-643 block 19 fb area near al-noor hospital khi"/>
    <x v="8"/>
    <s v="Mubashir"/>
    <s v="21 watch set"/>
    <s v="olx"/>
    <x v="0"/>
    <d v="2015-04-12T00:00:00"/>
  </r>
  <r>
    <s v="Usaid, Alam"/>
    <n v="3343509054"/>
    <x v="47"/>
    <s v="Flat-9, Ittehad Arcade near MCB bank(safoora branch) , SB-31, Block-7, Gulistan-e-jauhar, Karachi."/>
    <x v="8"/>
    <s v="Hasan"/>
    <s v="pack of 3 t-shirts y"/>
    <s v="Kaymu"/>
    <x v="0"/>
    <d v="2015-04-12T00:00:00"/>
  </r>
  <r>
    <s v="Najam, Noor"/>
    <n v="3332380958"/>
    <x v="38"/>
    <s v="Flat no. B-1, Mariam Centre, Phase II, Block-H, North Nazimabad, Karachi"/>
    <x v="8"/>
    <s v="Mubashir"/>
    <s v="rolex golden diamond"/>
    <s v="Kaymu"/>
    <x v="0"/>
    <d v="2015-04-12T00:00:00"/>
  </r>
  <r>
    <s v="JAWAD HASSAN"/>
    <n v="3335007679"/>
    <x v="16"/>
    <s v="JAWAD HASSAN S/O M.SAJID MOHALLAH KOT KALLAN NEAR JINNAH PARK PIND DADAN KHAN DISTRICT JHELUM"/>
    <x v="54"/>
    <s v="Hasan"/>
    <s v="nike hoodies"/>
    <s v="olx"/>
    <x v="0"/>
    <d v="2015-04-12T00:00:00"/>
  </r>
  <r>
    <s v="SIKANDAR ALI"/>
    <n v="3331294639"/>
    <x v="8"/>
    <s v="BEHAR COLONY KOTRI NEAR T.TC COLLEGE STREET NO 1 HOUSE NO 60 OPPOSITE JEZZ BANK"/>
    <x v="14"/>
    <s v="rex"/>
    <s v="pack of 3 shrugs"/>
    <s v="olx"/>
    <x v="0"/>
    <d v="2015-04-12T00:00:00"/>
  </r>
  <r>
    <s v="RIZWAN KHAN"/>
    <n v="3435282919"/>
    <x v="8"/>
    <s v="FLAT NUMBER N12, SIDDIQUE PLAZA LATIFABAD UNIT NO8 HYD"/>
    <x v="14"/>
    <s v="Hasan"/>
    <s v="1 hoodies heart, 1 shirts, 1 love watch"/>
    <s v="olx"/>
    <x v="0"/>
    <d v="2015-04-12T00:00:00"/>
  </r>
  <r>
    <s v="MOHAMMAD, HURAIMA"/>
    <n v="3008144988"/>
    <x v="30"/>
    <s v="623...F2 JOHAR TOWN..LAHORE."/>
    <x v="2"/>
    <s v="Hasan"/>
    <s v="WWE hoodies"/>
    <s v="Kaymu"/>
    <x v="0"/>
    <d v="2015-04-12T00:00:00"/>
  </r>
  <r>
    <s v="ZUBAIR, SHAHID"/>
    <n v="3454687068"/>
    <x v="39"/>
    <s v="D-11 COMMERCIAL AREA, NAWAB TOWN, 2-KM RAIWIND ROAD, LAHORE"/>
    <x v="2"/>
    <s v="Mubashir"/>
    <s v="Rolex subminar two tone"/>
    <s v="Kaymu"/>
    <x v="0"/>
    <d v="2015-04-12T00:00:00"/>
  </r>
  <r>
    <s v="SAIF UL, ISLAM"/>
    <n v="3035735688"/>
    <x v="30"/>
    <s v="HOUSE NO 651 ZIMNI STREET NO 6 MODEL TOWN HUMAK ISLAMABAD"/>
    <x v="1"/>
    <s v="Hasan"/>
    <s v="WWE hoodies"/>
    <s v="Kaymu"/>
    <x v="0"/>
    <d v="2015-04-12T00:00:00"/>
  </r>
  <r>
    <s v="SAMINA, HAYAT"/>
    <n v="3335528384"/>
    <x v="35"/>
    <s v="SAMINA HAYAT D/O RAJA MUHAMMAD HAYAT MOHALLA KOTLA SHAH KAMEER PIND DADAN KHAN JHELUM"/>
    <x v="54"/>
    <s v="Mubashir"/>
    <s v="21 watch set"/>
    <s v="Kaymu"/>
    <x v="0"/>
    <d v="2015-04-12T00:00:00"/>
  </r>
  <r>
    <s v="ZAID, MUGHAL"/>
    <n v="3007699957"/>
    <x v="31"/>
    <s v="EID GAH HOUSE NUMBER 558/2"/>
    <x v="21"/>
    <s v="rex"/>
    <s v="Pack of 5 tights"/>
    <s v="Kaymu"/>
    <x v="0"/>
    <d v="2015-04-12T00:00:00"/>
  </r>
  <r>
    <s v="NIDA, SAEED"/>
    <n v="3218739739"/>
    <x v="18"/>
    <s v="124 V BLOCK PHASE 3 DHA LAHORE"/>
    <x v="2"/>
    <s v="Mubashir"/>
    <s v="21 watch set"/>
    <s v="Kaymu"/>
    <x v="0"/>
    <d v="2015-04-12T00:00:00"/>
  </r>
  <r>
    <s v="ADIL, KHAN"/>
    <n v="3126644372"/>
    <x v="32"/>
    <s v="SAEED NOOR ABAD, P/O ZAREEN ABAD, DIST CHARSADDA."/>
    <x v="55"/>
    <s v="Mubashir"/>
    <s v="Casio edifice silver in chain"/>
    <s v="Kaymu"/>
    <x v="0"/>
    <d v="2015-04-12T00:00:00"/>
  </r>
  <r>
    <s v="ZAHID, BILAL"/>
    <n v="3004867728"/>
    <x v="68"/>
    <s v="ZAHID BILAL SR GADOWN INCHARGE DAIMOND FEBRICS LTD. 26KM FAISALABAD ROAD FEROZ WATTOAN SHEIKUPURA."/>
    <x v="26"/>
    <s v="Mubashir"/>
    <s v="pack of 2 rings"/>
    <s v="Kaymu"/>
    <x v="1"/>
    <d v="2015-04-12T00:00:00"/>
  </r>
  <r>
    <s v="Liaquat Ali"/>
    <n v="3451995204"/>
    <x v="8"/>
    <s v="sultana bad self delivered"/>
    <x v="8"/>
    <s v="jewellery"/>
    <s v="1 ring"/>
    <s v="olx"/>
    <x v="0"/>
    <d v="2015-07-12T00:00:00"/>
  </r>
  <r>
    <s v="N/A"/>
    <n v="3343755124"/>
    <x v="8"/>
    <s v="Marina pride near teen talwar karachi"/>
    <x v="8"/>
    <s v="rex"/>
    <s v="pack of 3 shrugs"/>
    <s v="olx"/>
    <x v="0"/>
    <d v="2015-08-12T00:00:00"/>
  </r>
  <r>
    <s v="N/A"/>
    <n v="3162586693"/>
    <x v="27"/>
    <s v="bilal associate near matric board office karachi"/>
    <x v="8"/>
    <s v="Hasan"/>
    <s v="WWE hoodies"/>
    <s v="olx"/>
    <x v="0"/>
    <d v="2015-08-12T00:00:00"/>
  </r>
  <r>
    <s v="ahab ali dodani"/>
    <n v="3363002138"/>
    <x v="8"/>
    <s v="Mumtaz square c-14, ch khaliq uz zaman road block 8 clifton opposite saylani karachi"/>
    <x v="8"/>
    <s v="Mubashir"/>
    <s v="tag 36, hoodies, 1 t-shirts"/>
    <s v="olx"/>
    <x v="0"/>
    <d v="2015-08-12T00:00:00"/>
  </r>
  <r>
    <s v="AMEER HASSAN"/>
    <n v="3313538399"/>
    <x v="69"/>
    <s v="HOUSE NO A-73, PHASE 1 QASIMABAD, HYDERABAD"/>
    <x v="14"/>
    <s v="Hasan"/>
    <s v="pack of 4 full sleeve"/>
    <s v="olx"/>
    <x v="0"/>
    <d v="2015-08-12T00:00:00"/>
  </r>
  <r>
    <s v="ZEESHAN, DILBAR"/>
    <n v="3423658160"/>
    <x v="25"/>
    <s v="H/F28 DAWOOD COLONY QAZI ABDUL QAUOOM ROAD GARI KHATA"/>
    <x v="14"/>
    <s v="Hasan"/>
    <s v="pack of 4 branded full sleeve"/>
    <s v="Kaymu"/>
    <x v="0"/>
    <d v="2015-08-12T00:00:00"/>
  </r>
  <r>
    <s v="CH NASAR MEHMOOD"/>
    <n v="3322214786"/>
    <x v="35"/>
    <s v="VILLAGE:RASOOL PUR , POST OFFICE: HELAN ,TEHSIL:PHALIA, DISTRICT: MANDI BHA UD DIN"/>
    <x v="6"/>
    <s v="Mubashir"/>
    <s v="21 watch set"/>
    <s v="Kaymu"/>
    <x v="1"/>
    <d v="2015-08-12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70:D348" firstHeaderRow="1" firstDataRow="2" firstDataCol="1"/>
  <pivotFields count="10">
    <pivotField showAll="0"/>
    <pivotField showAll="0"/>
    <pivotField axis="axisRow" dataField="1" showAll="0">
      <items count="71">
        <item x="69"/>
        <item x="54"/>
        <item x="40"/>
        <item x="55"/>
        <item x="51"/>
        <item x="53"/>
        <item x="9"/>
        <item x="17"/>
        <item x="21"/>
        <item x="16"/>
        <item x="34"/>
        <item x="57"/>
        <item x="63"/>
        <item x="22"/>
        <item x="56"/>
        <item x="27"/>
        <item x="62"/>
        <item x="30"/>
        <item x="65"/>
        <item x="18"/>
        <item x="35"/>
        <item x="59"/>
        <item x="5"/>
        <item x="44"/>
        <item x="52"/>
        <item x="13"/>
        <item x="66"/>
        <item x="39"/>
        <item x="14"/>
        <item x="46"/>
        <item x="2"/>
        <item x="25"/>
        <item x="31"/>
        <item x="38"/>
        <item x="47"/>
        <item x="3"/>
        <item x="36"/>
        <item x="58"/>
        <item x="32"/>
        <item x="6"/>
        <item x="1"/>
        <item x="43"/>
        <item x="4"/>
        <item x="23"/>
        <item x="0"/>
        <item x="45"/>
        <item x="68"/>
        <item x="8"/>
        <item x="10"/>
        <item x="42"/>
        <item x="26"/>
        <item x="7"/>
        <item x="60"/>
        <item x="12"/>
        <item x="29"/>
        <item x="11"/>
        <item x="20"/>
        <item x="41"/>
        <item x="28"/>
        <item x="37"/>
        <item x="15"/>
        <item x="33"/>
        <item x="24"/>
        <item x="64"/>
        <item x="49"/>
        <item x="67"/>
        <item x="19"/>
        <item x="50"/>
        <item x="61"/>
        <item x="48"/>
        <item t="default"/>
      </items>
    </pivotField>
    <pivotField showAll="0"/>
    <pivotField axis="axisRow" showAll="0">
      <items count="57">
        <item x="11"/>
        <item x="27"/>
        <item x="28"/>
        <item x="30"/>
        <item x="55"/>
        <item x="24"/>
        <item x="35"/>
        <item x="46"/>
        <item x="22"/>
        <item x="9"/>
        <item x="12"/>
        <item x="53"/>
        <item x="7"/>
        <item x="4"/>
        <item x="45"/>
        <item x="49"/>
        <item x="14"/>
        <item x="1"/>
        <item x="48"/>
        <item x="54"/>
        <item x="8"/>
        <item x="10"/>
        <item x="17"/>
        <item x="32"/>
        <item x="51"/>
        <item x="50"/>
        <item x="19"/>
        <item x="2"/>
        <item x="37"/>
        <item x="40"/>
        <item x="16"/>
        <item x="36"/>
        <item x="6"/>
        <item x="23"/>
        <item x="20"/>
        <item x="39"/>
        <item x="47"/>
        <item x="43"/>
        <item x="29"/>
        <item x="42"/>
        <item x="25"/>
        <item x="15"/>
        <item x="5"/>
        <item x="18"/>
        <item x="3"/>
        <item x="0"/>
        <item x="41"/>
        <item x="34"/>
        <item x="26"/>
        <item x="31"/>
        <item x="13"/>
        <item x="52"/>
        <item x="44"/>
        <item x="21"/>
        <item x="33"/>
        <item x="38"/>
        <item t="default"/>
      </items>
    </pivotField>
    <pivotField showAll="0"/>
    <pivotField showAll="0"/>
    <pivotField showAll="0"/>
    <pivotField axis="axisCol" showAll="0">
      <items count="4">
        <item x="0"/>
        <item m="1" x="2"/>
        <item x="1"/>
        <item t="default"/>
      </items>
    </pivotField>
    <pivotField showAll="0"/>
  </pivotFields>
  <rowFields count="2">
    <field x="2"/>
    <field x="4"/>
  </rowFields>
  <rowItems count="277">
    <i>
      <x/>
    </i>
    <i r="1">
      <x v="16"/>
    </i>
    <i>
      <x v="1"/>
    </i>
    <i r="1">
      <x v="20"/>
    </i>
    <i>
      <x v="2"/>
    </i>
    <i r="1">
      <x v="27"/>
    </i>
    <i>
      <x v="3"/>
    </i>
    <i r="1">
      <x v="17"/>
    </i>
    <i>
      <x v="4"/>
    </i>
    <i r="1">
      <x v="20"/>
    </i>
    <i>
      <x v="5"/>
    </i>
    <i r="1">
      <x v="20"/>
    </i>
    <i>
      <x v="6"/>
    </i>
    <i r="1">
      <x v="45"/>
    </i>
    <i>
      <x v="7"/>
    </i>
    <i r="1">
      <x v="20"/>
    </i>
    <i r="1">
      <x v="24"/>
    </i>
    <i r="1">
      <x v="42"/>
    </i>
    <i>
      <x v="8"/>
    </i>
    <i r="1">
      <x v="27"/>
    </i>
    <i r="1">
      <x v="40"/>
    </i>
    <i>
      <x v="9"/>
    </i>
    <i r="1">
      <x v="3"/>
    </i>
    <i r="1">
      <x v="19"/>
    </i>
    <i r="1">
      <x v="26"/>
    </i>
    <i>
      <x v="10"/>
    </i>
    <i r="1">
      <x v="17"/>
    </i>
    <i r="1">
      <x v="20"/>
    </i>
    <i>
      <x v="11"/>
    </i>
    <i r="1">
      <x v="20"/>
    </i>
    <i>
      <x v="12"/>
    </i>
    <i r="1">
      <x v="27"/>
    </i>
    <i>
      <x v="13"/>
    </i>
    <i r="1">
      <x v="9"/>
    </i>
    <i r="1">
      <x v="27"/>
    </i>
    <i r="1">
      <x v="39"/>
    </i>
    <i r="1">
      <x v="45"/>
    </i>
    <i>
      <x v="14"/>
    </i>
    <i r="1">
      <x v="2"/>
    </i>
    <i r="1">
      <x v="11"/>
    </i>
    <i r="1">
      <x v="28"/>
    </i>
    <i r="1">
      <x v="51"/>
    </i>
    <i>
      <x v="15"/>
    </i>
    <i r="1">
      <x v="17"/>
    </i>
    <i r="1">
      <x v="20"/>
    </i>
    <i r="1">
      <x v="27"/>
    </i>
    <i r="1">
      <x v="42"/>
    </i>
    <i r="1">
      <x v="43"/>
    </i>
    <i r="1">
      <x v="54"/>
    </i>
    <i>
      <x v="16"/>
    </i>
    <i r="1">
      <x v="20"/>
    </i>
    <i>
      <x v="17"/>
    </i>
    <i r="1">
      <x v="17"/>
    </i>
    <i r="1">
      <x v="20"/>
    </i>
    <i r="1">
      <x v="27"/>
    </i>
    <i r="1">
      <x v="37"/>
    </i>
    <i r="1">
      <x v="42"/>
    </i>
    <i>
      <x v="18"/>
    </i>
    <i r="1">
      <x v="20"/>
    </i>
    <i>
      <x v="19"/>
    </i>
    <i r="1">
      <x v="15"/>
    </i>
    <i r="1">
      <x v="17"/>
    </i>
    <i r="1">
      <x v="20"/>
    </i>
    <i r="1">
      <x v="25"/>
    </i>
    <i r="1">
      <x v="27"/>
    </i>
    <i r="1">
      <x v="42"/>
    </i>
    <i r="1">
      <x v="43"/>
    </i>
    <i r="1">
      <x v="45"/>
    </i>
    <i>
      <x v="20"/>
    </i>
    <i r="1">
      <x v="6"/>
    </i>
    <i r="1">
      <x v="19"/>
    </i>
    <i r="1">
      <x v="32"/>
    </i>
    <i r="1">
      <x v="34"/>
    </i>
    <i r="1">
      <x v="35"/>
    </i>
    <i r="1">
      <x v="36"/>
    </i>
    <i>
      <x v="21"/>
    </i>
    <i r="1">
      <x v="47"/>
    </i>
    <i>
      <x v="22"/>
    </i>
    <i r="1">
      <x v="2"/>
    </i>
    <i r="1">
      <x v="8"/>
    </i>
    <i r="1">
      <x v="10"/>
    </i>
    <i r="1">
      <x v="20"/>
    </i>
    <i r="1">
      <x v="27"/>
    </i>
    <i r="1">
      <x v="28"/>
    </i>
    <i r="1">
      <x v="32"/>
    </i>
    <i r="1">
      <x v="45"/>
    </i>
    <i r="1">
      <x v="50"/>
    </i>
    <i>
      <x v="23"/>
    </i>
    <i r="1">
      <x v="17"/>
    </i>
    <i r="1">
      <x v="20"/>
    </i>
    <i>
      <x v="24"/>
    </i>
    <i r="1">
      <x v="20"/>
    </i>
    <i>
      <x v="25"/>
    </i>
    <i r="1">
      <x v="17"/>
    </i>
    <i r="1">
      <x v="20"/>
    </i>
    <i r="1">
      <x v="27"/>
    </i>
    <i r="1">
      <x v="37"/>
    </i>
    <i r="1">
      <x v="41"/>
    </i>
    <i r="1">
      <x v="45"/>
    </i>
    <i>
      <x v="26"/>
    </i>
    <i r="1">
      <x v="20"/>
    </i>
    <i>
      <x v="27"/>
    </i>
    <i r="1">
      <x v="20"/>
    </i>
    <i r="1">
      <x v="27"/>
    </i>
    <i r="1">
      <x v="45"/>
    </i>
    <i>
      <x v="28"/>
    </i>
    <i r="1">
      <x v="17"/>
    </i>
    <i r="1">
      <x v="22"/>
    </i>
    <i r="1">
      <x v="55"/>
    </i>
    <i>
      <x v="29"/>
    </i>
    <i r="1">
      <x v="34"/>
    </i>
    <i r="1">
      <x v="35"/>
    </i>
    <i r="1">
      <x v="43"/>
    </i>
    <i r="1">
      <x v="55"/>
    </i>
    <i>
      <x v="30"/>
    </i>
    <i r="1">
      <x/>
    </i>
    <i r="1">
      <x v="9"/>
    </i>
    <i r="1">
      <x v="17"/>
    </i>
    <i r="1">
      <x v="20"/>
    </i>
    <i r="1">
      <x v="21"/>
    </i>
    <i r="1">
      <x v="27"/>
    </i>
    <i r="1">
      <x v="42"/>
    </i>
    <i r="1">
      <x v="44"/>
    </i>
    <i>
      <x v="31"/>
    </i>
    <i r="1">
      <x v="16"/>
    </i>
    <i r="1">
      <x v="27"/>
    </i>
    <i r="1">
      <x v="38"/>
    </i>
    <i r="1">
      <x v="45"/>
    </i>
    <i>
      <x v="32"/>
    </i>
    <i r="1">
      <x v="16"/>
    </i>
    <i r="1">
      <x v="20"/>
    </i>
    <i r="1">
      <x v="23"/>
    </i>
    <i r="1">
      <x v="27"/>
    </i>
    <i r="1">
      <x v="31"/>
    </i>
    <i r="1">
      <x v="53"/>
    </i>
    <i>
      <x v="33"/>
    </i>
    <i r="1">
      <x/>
    </i>
    <i r="1">
      <x v="2"/>
    </i>
    <i r="1">
      <x v="20"/>
    </i>
    <i r="1">
      <x v="27"/>
    </i>
    <i r="1">
      <x v="30"/>
    </i>
    <i r="1">
      <x v="52"/>
    </i>
    <i>
      <x v="34"/>
    </i>
    <i r="1">
      <x v="20"/>
    </i>
    <i>
      <x v="35"/>
    </i>
    <i r="1">
      <x v="1"/>
    </i>
    <i r="1">
      <x v="13"/>
    </i>
    <i r="1">
      <x v="17"/>
    </i>
    <i r="1">
      <x v="20"/>
    </i>
    <i r="1">
      <x v="27"/>
    </i>
    <i r="1">
      <x v="30"/>
    </i>
    <i r="1">
      <x v="33"/>
    </i>
    <i r="1">
      <x v="45"/>
    </i>
    <i>
      <x v="36"/>
    </i>
    <i r="1">
      <x v="43"/>
    </i>
    <i>
      <x v="37"/>
    </i>
    <i r="1">
      <x v="20"/>
    </i>
    <i>
      <x v="38"/>
    </i>
    <i r="1">
      <x/>
    </i>
    <i r="1">
      <x v="2"/>
    </i>
    <i r="1">
      <x v="4"/>
    </i>
    <i r="1">
      <x v="9"/>
    </i>
    <i r="1">
      <x v="13"/>
    </i>
    <i r="1">
      <x v="18"/>
    </i>
    <i r="1">
      <x v="49"/>
    </i>
    <i>
      <x v="39"/>
    </i>
    <i r="1">
      <x v="5"/>
    </i>
    <i r="1">
      <x v="12"/>
    </i>
    <i r="1">
      <x v="14"/>
    </i>
    <i r="1">
      <x v="17"/>
    </i>
    <i r="1">
      <x v="20"/>
    </i>
    <i r="1">
      <x v="30"/>
    </i>
    <i r="1">
      <x v="34"/>
    </i>
    <i r="1">
      <x v="42"/>
    </i>
    <i r="1">
      <x v="43"/>
    </i>
    <i r="1">
      <x v="53"/>
    </i>
    <i r="1">
      <x v="55"/>
    </i>
    <i>
      <x v="40"/>
    </i>
    <i r="1">
      <x v="7"/>
    </i>
    <i r="1">
      <x v="16"/>
    </i>
    <i r="1">
      <x v="17"/>
    </i>
    <i r="1">
      <x v="20"/>
    </i>
    <i r="1">
      <x v="27"/>
    </i>
    <i r="1">
      <x v="45"/>
    </i>
    <i r="1">
      <x v="50"/>
    </i>
    <i>
      <x v="41"/>
    </i>
    <i r="1">
      <x v="20"/>
    </i>
    <i>
      <x v="42"/>
    </i>
    <i r="1">
      <x v="17"/>
    </i>
    <i r="1">
      <x v="20"/>
    </i>
    <i r="1">
      <x v="27"/>
    </i>
    <i r="1">
      <x v="32"/>
    </i>
    <i r="1">
      <x v="42"/>
    </i>
    <i>
      <x v="43"/>
    </i>
    <i r="1">
      <x v="13"/>
    </i>
    <i>
      <x v="44"/>
    </i>
    <i r="1">
      <x v="20"/>
    </i>
    <i r="1">
      <x v="27"/>
    </i>
    <i r="1">
      <x v="29"/>
    </i>
    <i r="1">
      <x v="42"/>
    </i>
    <i r="1">
      <x v="45"/>
    </i>
    <i>
      <x v="45"/>
    </i>
    <i r="1">
      <x v="27"/>
    </i>
    <i r="1">
      <x v="42"/>
    </i>
    <i>
      <x v="46"/>
    </i>
    <i r="1">
      <x v="48"/>
    </i>
    <i>
      <x v="47"/>
    </i>
    <i r="1">
      <x v="6"/>
    </i>
    <i r="1">
      <x v="16"/>
    </i>
    <i r="1">
      <x v="20"/>
    </i>
    <i r="1">
      <x v="27"/>
    </i>
    <i r="1">
      <x v="31"/>
    </i>
    <i r="1">
      <x v="34"/>
    </i>
    <i r="1">
      <x v="42"/>
    </i>
    <i r="1">
      <x v="45"/>
    </i>
    <i r="1">
      <x v="46"/>
    </i>
    <i>
      <x v="48"/>
    </i>
    <i r="1">
      <x v="27"/>
    </i>
    <i>
      <x v="49"/>
    </i>
    <i r="1">
      <x v="41"/>
    </i>
    <i>
      <x v="50"/>
    </i>
    <i r="1">
      <x v="17"/>
    </i>
    <i r="1">
      <x v="20"/>
    </i>
    <i r="1">
      <x v="48"/>
    </i>
    <i>
      <x v="51"/>
    </i>
    <i r="1">
      <x v="20"/>
    </i>
    <i r="1">
      <x v="37"/>
    </i>
    <i r="1">
      <x v="43"/>
    </i>
    <i>
      <x v="52"/>
    </i>
    <i r="1">
      <x v="16"/>
    </i>
    <i r="1">
      <x v="43"/>
    </i>
    <i>
      <x v="53"/>
    </i>
    <i r="1">
      <x v="20"/>
    </i>
    <i r="1">
      <x v="23"/>
    </i>
    <i>
      <x v="54"/>
    </i>
    <i r="1">
      <x v="3"/>
    </i>
    <i r="1">
      <x v="13"/>
    </i>
    <i>
      <x v="55"/>
    </i>
    <i r="1">
      <x v="9"/>
    </i>
    <i r="1">
      <x v="16"/>
    </i>
    <i r="1">
      <x v="20"/>
    </i>
    <i r="1">
      <x v="27"/>
    </i>
    <i>
      <x v="56"/>
    </i>
    <i r="1">
      <x v="20"/>
    </i>
    <i r="1">
      <x v="27"/>
    </i>
    <i r="1">
      <x v="45"/>
    </i>
    <i>
      <x v="57"/>
    </i>
    <i r="1">
      <x v="20"/>
    </i>
    <i>
      <x v="58"/>
    </i>
    <i r="1">
      <x v="10"/>
    </i>
    <i r="1">
      <x v="20"/>
    </i>
    <i r="1">
      <x v="43"/>
    </i>
    <i>
      <x v="59"/>
    </i>
    <i r="1">
      <x v="47"/>
    </i>
    <i>
      <x v="60"/>
    </i>
    <i r="1">
      <x v="43"/>
    </i>
    <i>
      <x v="61"/>
    </i>
    <i r="1">
      <x v="20"/>
    </i>
    <i>
      <x v="62"/>
    </i>
    <i r="1">
      <x v="27"/>
    </i>
    <i>
      <x v="63"/>
    </i>
    <i r="1">
      <x v="27"/>
    </i>
    <i>
      <x v="64"/>
    </i>
    <i r="1">
      <x v="20"/>
    </i>
    <i r="1">
      <x v="27"/>
    </i>
    <i r="1">
      <x v="45"/>
    </i>
    <i>
      <x v="65"/>
    </i>
    <i r="1">
      <x v="16"/>
    </i>
    <i>
      <x v="66"/>
    </i>
    <i r="1">
      <x v="27"/>
    </i>
    <i>
      <x v="67"/>
    </i>
    <i r="1">
      <x v="27"/>
    </i>
    <i>
      <x v="68"/>
    </i>
    <i r="1">
      <x v="20"/>
    </i>
    <i>
      <x v="69"/>
    </i>
    <i r="1">
      <x v="20"/>
    </i>
    <i t="grand">
      <x/>
    </i>
  </rowItems>
  <colFields count="1">
    <field x="8"/>
  </colFields>
  <colItems count="3">
    <i>
      <x/>
    </i>
    <i>
      <x v="2"/>
    </i>
    <i t="grand">
      <x/>
    </i>
  </colItems>
  <dataFields count="1">
    <dataField name="Sum of Price" fld="2" baseField="0" baseItem="0"/>
  </dataField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0:C67" firstHeaderRow="0" firstDataRow="1" firstDataCol="1"/>
  <pivotFields count="10">
    <pivotField showAll="0"/>
    <pivotField showAll="0"/>
    <pivotField dataField="1" showAll="0"/>
    <pivotField showAll="0"/>
    <pivotField axis="axisRow" dataField="1" showAll="0">
      <items count="57">
        <item x="11"/>
        <item x="27"/>
        <item x="28"/>
        <item x="30"/>
        <item x="55"/>
        <item x="24"/>
        <item x="35"/>
        <item x="46"/>
        <item x="22"/>
        <item x="9"/>
        <item x="12"/>
        <item x="53"/>
        <item x="7"/>
        <item x="4"/>
        <item x="45"/>
        <item x="49"/>
        <item x="14"/>
        <item x="1"/>
        <item x="48"/>
        <item x="54"/>
        <item x="8"/>
        <item x="10"/>
        <item x="17"/>
        <item x="32"/>
        <item x="51"/>
        <item x="50"/>
        <item x="19"/>
        <item x="2"/>
        <item x="37"/>
        <item x="40"/>
        <item x="16"/>
        <item x="36"/>
        <item x="6"/>
        <item x="23"/>
        <item x="20"/>
        <item x="39"/>
        <item x="47"/>
        <item x="43"/>
        <item x="29"/>
        <item x="42"/>
        <item x="25"/>
        <item x="15"/>
        <item x="5"/>
        <item x="18"/>
        <item x="3"/>
        <item x="0"/>
        <item x="41"/>
        <item x="34"/>
        <item x="26"/>
        <item x="31"/>
        <item x="13"/>
        <item x="52"/>
        <item x="44"/>
        <item x="21"/>
        <item x="33"/>
        <item x="38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Location" fld="4" subtotal="count" baseField="0" baseItem="0"/>
    <dataField name="Sum of Price" fld="2" baseField="0" baseItem="0"/>
  </dataField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5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h="1" m="1" x="2"/>
        <item h="1" x="1"/>
        <item t="default"/>
      </items>
    </pivotField>
    <pivotField showAll="0"/>
  </pivotFields>
  <rowFields count="1">
    <field x="8"/>
  </rowFields>
  <rowItems count="2">
    <i>
      <x/>
    </i>
    <i t="grand">
      <x/>
    </i>
  </rowItems>
  <colItems count="1">
    <i/>
  </colItems>
  <dataFields count="1">
    <dataField name="Count of Status" fld="8" subtotal="count" baseField="0" baseItem="0"/>
  </dataField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K272" totalsRowShown="0">
  <autoFilter ref="A1:K272"/>
  <tableColumns count="11">
    <tableColumn id="1" name="Name of the customers"/>
    <tableColumn id="2" name="Number"/>
    <tableColumn id="3" name="Price"/>
    <tableColumn id="4" name="Address"/>
    <tableColumn id="5" name="Location"/>
    <tableColumn id="6" name="Purchase"/>
    <tableColumn id="7" name="Products"/>
    <tableColumn id="8" name="Feedback"/>
    <tableColumn id="9" name="Status"/>
    <tableColumn id="10" name="Date" dataDxfId="0"/>
    <tableColumn id="11" name=" "/>
  </tableColumns>
  <tableStyleInfo name="TableStyleMedium1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Adjacency">
      <a:dk1>
        <a:srgbClr val="2F2B20"/>
      </a:dk1>
      <a:lt1>
        <a:srgbClr val="FFFFFF"/>
      </a:lt1>
      <a:dk2>
        <a:srgbClr val="675E47"/>
      </a:dk2>
      <a:lt2>
        <a:srgbClr val="DFDCB7"/>
      </a:lt2>
      <a:accent1>
        <a:srgbClr val="A9A57C"/>
      </a:accent1>
      <a:accent2>
        <a:srgbClr val="9CBEBD"/>
      </a:accent2>
      <a:accent3>
        <a:srgbClr val="D2CB6C"/>
      </a:accent3>
      <a:accent4>
        <a:srgbClr val="95A39D"/>
      </a:accent4>
      <a:accent5>
        <a:srgbClr val="C89F5D"/>
      </a:accent5>
      <a:accent6>
        <a:srgbClr val="B1A089"/>
      </a:accent6>
      <a:hlink>
        <a:srgbClr val="D25814"/>
      </a:hlink>
      <a:folHlink>
        <a:srgbClr val="849A0A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kaymu.pk/casio-edifice-tachymeter-blue-dial-watch-854097.html" TargetMode="External"/><Relationship Id="rId1" Type="http://schemas.openxmlformats.org/officeDocument/2006/relationships/hyperlink" Target="https://www.kaymu.pk/casio-edifice-tachymeter-blue-dial-watch-854097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2"/>
  <sheetViews>
    <sheetView workbookViewId="0">
      <selection activeCell="A27" sqref="A27"/>
    </sheetView>
  </sheetViews>
  <sheetFormatPr defaultRowHeight="15"/>
  <cols>
    <col min="1" max="1" width="23.7109375" customWidth="1"/>
    <col min="2" max="2" width="10.42578125" customWidth="1"/>
    <col min="4" max="4" width="10.28515625" customWidth="1"/>
    <col min="5" max="5" width="10.5703125" customWidth="1"/>
    <col min="6" max="6" width="11.140625" customWidth="1"/>
    <col min="7" max="7" width="10.85546875" customWidth="1"/>
    <col min="8" max="8" width="11.5703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104</v>
      </c>
    </row>
    <row r="2" spans="1:11">
      <c r="A2" t="s">
        <v>10</v>
      </c>
      <c r="B2">
        <v>3475052949</v>
      </c>
      <c r="C2">
        <v>1450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835</v>
      </c>
      <c r="K2" t="s">
        <v>1453</v>
      </c>
    </row>
    <row r="3" spans="1:11">
      <c r="A3" t="s">
        <v>17</v>
      </c>
      <c r="B3">
        <v>3135501222</v>
      </c>
      <c r="C3">
        <v>1350</v>
      </c>
      <c r="D3" t="s">
        <v>18</v>
      </c>
      <c r="E3" t="s">
        <v>19</v>
      </c>
      <c r="F3" t="s">
        <v>13</v>
      </c>
      <c r="G3" t="s">
        <v>20</v>
      </c>
      <c r="H3" t="s">
        <v>15</v>
      </c>
      <c r="I3" t="s">
        <v>16</v>
      </c>
      <c r="J3" t="s">
        <v>835</v>
      </c>
      <c r="K3">
        <v>162</v>
      </c>
    </row>
    <row r="4" spans="1:11">
      <c r="A4" t="s">
        <v>21</v>
      </c>
      <c r="B4">
        <v>3004282632</v>
      </c>
      <c r="C4">
        <v>1150</v>
      </c>
      <c r="D4" t="s">
        <v>22</v>
      </c>
      <c r="E4" t="s">
        <v>23</v>
      </c>
      <c r="F4" t="s">
        <v>24</v>
      </c>
      <c r="G4" t="s">
        <v>25</v>
      </c>
      <c r="H4" t="s">
        <v>15</v>
      </c>
      <c r="I4" t="s">
        <v>16</v>
      </c>
      <c r="J4" t="s">
        <v>835</v>
      </c>
      <c r="K4">
        <v>138</v>
      </c>
    </row>
    <row r="5" spans="1:11">
      <c r="A5" t="s">
        <v>26</v>
      </c>
      <c r="B5">
        <v>3432082407</v>
      </c>
      <c r="C5">
        <v>1150</v>
      </c>
      <c r="D5" t="s">
        <v>27</v>
      </c>
      <c r="E5" t="s">
        <v>28</v>
      </c>
      <c r="F5" t="s">
        <v>24</v>
      </c>
      <c r="G5" t="s">
        <v>25</v>
      </c>
      <c r="H5" t="s">
        <v>15</v>
      </c>
      <c r="I5" t="s">
        <v>16</v>
      </c>
      <c r="J5" t="s">
        <v>835</v>
      </c>
      <c r="K5">
        <v>138</v>
      </c>
    </row>
    <row r="6" spans="1:11">
      <c r="A6" t="s">
        <v>29</v>
      </c>
      <c r="B6">
        <v>3222228676</v>
      </c>
      <c r="C6">
        <v>1250</v>
      </c>
      <c r="D6" t="s">
        <v>47</v>
      </c>
      <c r="E6" t="s">
        <v>30</v>
      </c>
      <c r="F6" t="s">
        <v>31</v>
      </c>
      <c r="G6" t="s">
        <v>32</v>
      </c>
      <c r="H6" t="s">
        <v>15</v>
      </c>
      <c r="I6" t="s">
        <v>16</v>
      </c>
      <c r="J6" t="s">
        <v>834</v>
      </c>
      <c r="K6">
        <v>150</v>
      </c>
    </row>
    <row r="7" spans="1:11">
      <c r="A7" t="s">
        <v>33</v>
      </c>
      <c r="B7">
        <v>3339127895</v>
      </c>
      <c r="C7">
        <v>1400</v>
      </c>
      <c r="D7" t="s">
        <v>34</v>
      </c>
      <c r="E7" t="s">
        <v>35</v>
      </c>
      <c r="F7" t="s">
        <v>39</v>
      </c>
      <c r="G7" t="s">
        <v>36</v>
      </c>
      <c r="H7" t="s">
        <v>15</v>
      </c>
      <c r="I7" t="s">
        <v>16</v>
      </c>
      <c r="J7" t="s">
        <v>834</v>
      </c>
      <c r="K7">
        <v>168</v>
      </c>
    </row>
    <row r="8" spans="1:11">
      <c r="A8" t="s">
        <v>37</v>
      </c>
      <c r="B8">
        <v>3327550332</v>
      </c>
      <c r="C8">
        <v>1050</v>
      </c>
      <c r="D8" t="s">
        <v>38</v>
      </c>
      <c r="E8" t="s">
        <v>40</v>
      </c>
      <c r="F8" t="s">
        <v>39</v>
      </c>
      <c r="G8" t="s">
        <v>25</v>
      </c>
      <c r="H8" t="s">
        <v>41</v>
      </c>
      <c r="I8" t="s">
        <v>16</v>
      </c>
      <c r="J8" t="s">
        <v>833</v>
      </c>
      <c r="K8">
        <v>126</v>
      </c>
    </row>
    <row r="9" spans="1:11">
      <c r="A9" t="s">
        <v>42</v>
      </c>
      <c r="B9">
        <v>3009504813</v>
      </c>
      <c r="C9">
        <v>1300</v>
      </c>
      <c r="D9" t="s">
        <v>43</v>
      </c>
      <c r="E9" t="s">
        <v>44</v>
      </c>
      <c r="F9" t="s">
        <v>31</v>
      </c>
      <c r="G9" t="s">
        <v>46</v>
      </c>
      <c r="H9" t="s">
        <v>15</v>
      </c>
      <c r="I9" t="s">
        <v>16</v>
      </c>
      <c r="J9" t="s">
        <v>833</v>
      </c>
      <c r="K9">
        <v>156</v>
      </c>
    </row>
    <row r="10" spans="1:11">
      <c r="A10" t="s">
        <v>48</v>
      </c>
      <c r="B10">
        <v>3310288116</v>
      </c>
      <c r="C10">
        <v>1250</v>
      </c>
      <c r="D10" t="s">
        <v>49</v>
      </c>
      <c r="E10" t="s">
        <v>50</v>
      </c>
      <c r="F10" t="s">
        <v>31</v>
      </c>
      <c r="G10" t="s">
        <v>51</v>
      </c>
      <c r="H10" t="s">
        <v>41</v>
      </c>
      <c r="I10" t="s">
        <v>16</v>
      </c>
      <c r="J10" t="s">
        <v>833</v>
      </c>
      <c r="K10">
        <v>150</v>
      </c>
    </row>
    <row r="11" spans="1:11">
      <c r="A11" t="s">
        <v>54</v>
      </c>
      <c r="B11">
        <v>3360200470</v>
      </c>
      <c r="C11">
        <v>1700</v>
      </c>
      <c r="D11" t="s">
        <v>53</v>
      </c>
      <c r="E11" t="s">
        <v>50</v>
      </c>
      <c r="F11" t="s">
        <v>31</v>
      </c>
      <c r="G11" t="s">
        <v>52</v>
      </c>
      <c r="H11" t="s">
        <v>41</v>
      </c>
      <c r="I11" t="s">
        <v>16</v>
      </c>
      <c r="J11" t="s">
        <v>833</v>
      </c>
      <c r="K11">
        <v>204</v>
      </c>
    </row>
    <row r="12" spans="1:11">
      <c r="A12" t="s">
        <v>55</v>
      </c>
      <c r="B12">
        <v>3018668802</v>
      </c>
      <c r="C12">
        <v>1150</v>
      </c>
      <c r="D12" t="s">
        <v>56</v>
      </c>
      <c r="E12" t="s">
        <v>57</v>
      </c>
      <c r="F12" t="s">
        <v>24</v>
      </c>
      <c r="G12" t="s">
        <v>25</v>
      </c>
      <c r="H12" t="s">
        <v>15</v>
      </c>
      <c r="I12" t="s">
        <v>16</v>
      </c>
      <c r="J12" t="s">
        <v>832</v>
      </c>
      <c r="K12">
        <v>138</v>
      </c>
    </row>
    <row r="13" spans="1:11">
      <c r="A13" t="s">
        <v>61</v>
      </c>
      <c r="B13">
        <v>3007711632</v>
      </c>
      <c r="C13">
        <v>1150</v>
      </c>
      <c r="D13" t="s">
        <v>62</v>
      </c>
      <c r="E13" t="s">
        <v>57</v>
      </c>
      <c r="F13" t="s">
        <v>24</v>
      </c>
      <c r="G13" t="s">
        <v>25</v>
      </c>
      <c r="H13" t="s">
        <v>15</v>
      </c>
      <c r="I13" t="s">
        <v>16</v>
      </c>
      <c r="J13" t="s">
        <v>832</v>
      </c>
      <c r="K13">
        <v>138</v>
      </c>
    </row>
    <row r="14" spans="1:11">
      <c r="A14" t="s">
        <v>65</v>
      </c>
      <c r="B14">
        <v>3034080363</v>
      </c>
      <c r="C14">
        <v>1150</v>
      </c>
      <c r="D14" t="s">
        <v>66</v>
      </c>
      <c r="E14" t="s">
        <v>67</v>
      </c>
      <c r="F14" t="s">
        <v>24</v>
      </c>
      <c r="G14" t="s">
        <v>25</v>
      </c>
      <c r="H14" t="s">
        <v>15</v>
      </c>
      <c r="I14" t="s">
        <v>16</v>
      </c>
      <c r="J14" t="s">
        <v>832</v>
      </c>
      <c r="K14">
        <v>138</v>
      </c>
    </row>
    <row r="15" spans="1:11">
      <c r="A15" t="s">
        <v>68</v>
      </c>
      <c r="B15">
        <v>3154047321</v>
      </c>
      <c r="C15">
        <v>1150</v>
      </c>
      <c r="D15" t="s">
        <v>69</v>
      </c>
      <c r="E15" t="s">
        <v>23</v>
      </c>
      <c r="F15" t="s">
        <v>24</v>
      </c>
      <c r="G15" t="s">
        <v>25</v>
      </c>
      <c r="H15" t="s">
        <v>15</v>
      </c>
      <c r="I15" t="s">
        <v>16</v>
      </c>
      <c r="J15" t="s">
        <v>832</v>
      </c>
      <c r="K15">
        <v>138</v>
      </c>
    </row>
    <row r="16" spans="1:11">
      <c r="A16" t="s">
        <v>70</v>
      </c>
      <c r="B16">
        <v>3139445328</v>
      </c>
      <c r="C16">
        <v>1150</v>
      </c>
      <c r="D16" t="s">
        <v>71</v>
      </c>
      <c r="E16" t="s">
        <v>19</v>
      </c>
      <c r="F16" t="s">
        <v>24</v>
      </c>
      <c r="G16" t="s">
        <v>25</v>
      </c>
      <c r="H16" t="s">
        <v>15</v>
      </c>
      <c r="I16" t="s">
        <v>16</v>
      </c>
      <c r="J16" t="s">
        <v>832</v>
      </c>
      <c r="K16">
        <v>138</v>
      </c>
    </row>
    <row r="17" spans="1:11">
      <c r="A17" t="s">
        <v>72</v>
      </c>
      <c r="B17">
        <v>3449790116</v>
      </c>
      <c r="C17">
        <v>1150</v>
      </c>
      <c r="D17" t="s">
        <v>73</v>
      </c>
      <c r="E17" t="s">
        <v>35</v>
      </c>
      <c r="F17" t="s">
        <v>24</v>
      </c>
      <c r="G17" t="s">
        <v>25</v>
      </c>
      <c r="H17" t="s">
        <v>15</v>
      </c>
      <c r="I17" t="s">
        <v>16</v>
      </c>
      <c r="J17" t="s">
        <v>832</v>
      </c>
      <c r="K17">
        <v>138</v>
      </c>
    </row>
    <row r="18" spans="1:11">
      <c r="A18" t="s">
        <v>74</v>
      </c>
      <c r="B18">
        <v>3439110000</v>
      </c>
      <c r="C18">
        <v>1150</v>
      </c>
      <c r="D18" t="s">
        <v>75</v>
      </c>
      <c r="E18" t="s">
        <v>76</v>
      </c>
      <c r="F18" t="s">
        <v>24</v>
      </c>
      <c r="G18" t="s">
        <v>25</v>
      </c>
      <c r="H18" t="s">
        <v>15</v>
      </c>
      <c r="I18" t="s">
        <v>16</v>
      </c>
      <c r="J18" t="s">
        <v>832</v>
      </c>
      <c r="K18">
        <v>138</v>
      </c>
    </row>
    <row r="19" spans="1:11">
      <c r="A19" t="s">
        <v>822</v>
      </c>
      <c r="B19">
        <v>3363002138</v>
      </c>
      <c r="C19">
        <v>1500</v>
      </c>
      <c r="D19" t="s">
        <v>823</v>
      </c>
      <c r="E19" t="s">
        <v>50</v>
      </c>
      <c r="F19" t="s">
        <v>24</v>
      </c>
      <c r="G19" t="s">
        <v>824</v>
      </c>
      <c r="H19" t="s">
        <v>41</v>
      </c>
      <c r="I19" t="s">
        <v>16</v>
      </c>
      <c r="J19" s="38">
        <v>42228</v>
      </c>
    </row>
    <row r="20" spans="1:11">
      <c r="A20" t="s">
        <v>79</v>
      </c>
      <c r="B20">
        <v>3332116015</v>
      </c>
      <c r="C20">
        <v>1150</v>
      </c>
      <c r="D20" t="s">
        <v>80</v>
      </c>
      <c r="E20" t="s">
        <v>50</v>
      </c>
      <c r="F20" t="s">
        <v>24</v>
      </c>
      <c r="G20" t="s">
        <v>25</v>
      </c>
      <c r="H20" t="s">
        <v>15</v>
      </c>
      <c r="I20" t="s">
        <v>16</v>
      </c>
      <c r="J20" t="s">
        <v>832</v>
      </c>
      <c r="K20">
        <v>138</v>
      </c>
    </row>
    <row r="21" spans="1:11">
      <c r="A21" t="s">
        <v>63</v>
      </c>
      <c r="B21">
        <v>3462579579</v>
      </c>
      <c r="C21">
        <v>1500</v>
      </c>
      <c r="D21" t="s">
        <v>64</v>
      </c>
      <c r="E21" t="s">
        <v>50</v>
      </c>
      <c r="F21" t="s">
        <v>24</v>
      </c>
      <c r="G21" t="s">
        <v>58</v>
      </c>
      <c r="H21" t="s">
        <v>15</v>
      </c>
      <c r="I21" t="s">
        <v>16</v>
      </c>
      <c r="J21" t="s">
        <v>832</v>
      </c>
      <c r="K21">
        <v>180</v>
      </c>
    </row>
    <row r="22" spans="1:11">
      <c r="A22" t="s">
        <v>59</v>
      </c>
      <c r="B22">
        <v>3343808400</v>
      </c>
      <c r="C22">
        <v>1150</v>
      </c>
      <c r="D22" t="s">
        <v>60</v>
      </c>
      <c r="E22" t="s">
        <v>19</v>
      </c>
      <c r="F22" t="s">
        <v>24</v>
      </c>
      <c r="G22" t="s">
        <v>25</v>
      </c>
      <c r="H22" t="s">
        <v>15</v>
      </c>
      <c r="I22" t="s">
        <v>16</v>
      </c>
      <c r="J22" t="s">
        <v>832</v>
      </c>
      <c r="K22">
        <v>138</v>
      </c>
    </row>
    <row r="23" spans="1:11">
      <c r="A23" t="s">
        <v>81</v>
      </c>
      <c r="B23">
        <v>3345466101</v>
      </c>
      <c r="C23">
        <v>1050</v>
      </c>
      <c r="D23" t="s">
        <v>82</v>
      </c>
      <c r="E23" t="s">
        <v>12</v>
      </c>
      <c r="F23" t="s">
        <v>24</v>
      </c>
      <c r="G23" t="s">
        <v>25</v>
      </c>
      <c r="H23" t="s">
        <v>15</v>
      </c>
      <c r="I23" t="s">
        <v>16</v>
      </c>
      <c r="J23" t="s">
        <v>831</v>
      </c>
      <c r="K23">
        <v>126</v>
      </c>
    </row>
    <row r="24" spans="1:11">
      <c r="A24" t="s">
        <v>83</v>
      </c>
      <c r="B24">
        <v>3313890188</v>
      </c>
      <c r="C24">
        <v>1050</v>
      </c>
      <c r="D24" t="s">
        <v>84</v>
      </c>
      <c r="E24" t="s">
        <v>85</v>
      </c>
      <c r="F24" t="s">
        <v>24</v>
      </c>
      <c r="G24" t="s">
        <v>130</v>
      </c>
      <c r="H24" t="s">
        <v>15</v>
      </c>
      <c r="I24" t="s">
        <v>16</v>
      </c>
      <c r="J24" t="s">
        <v>831</v>
      </c>
      <c r="K24">
        <v>126</v>
      </c>
    </row>
    <row r="25" spans="1:11">
      <c r="A25" t="s">
        <v>86</v>
      </c>
      <c r="B25">
        <v>3072771611</v>
      </c>
      <c r="C25">
        <v>1400</v>
      </c>
      <c r="D25" t="s">
        <v>87</v>
      </c>
      <c r="E25" t="s">
        <v>50</v>
      </c>
      <c r="F25" t="s">
        <v>24</v>
      </c>
      <c r="G25" t="s">
        <v>88</v>
      </c>
      <c r="H25" t="s">
        <v>41</v>
      </c>
      <c r="I25" t="s">
        <v>16</v>
      </c>
      <c r="J25" t="s">
        <v>830</v>
      </c>
      <c r="K25">
        <v>168</v>
      </c>
    </row>
    <row r="26" spans="1:11" ht="165">
      <c r="A26" t="s">
        <v>91</v>
      </c>
      <c r="B26">
        <v>3035210796</v>
      </c>
      <c r="C26">
        <v>680</v>
      </c>
      <c r="D26" s="51" t="s">
        <v>89</v>
      </c>
      <c r="E26" t="s">
        <v>12</v>
      </c>
      <c r="F26" t="s">
        <v>24</v>
      </c>
      <c r="G26" t="s">
        <v>90</v>
      </c>
      <c r="H26" t="s">
        <v>15</v>
      </c>
      <c r="I26" t="s">
        <v>16</v>
      </c>
      <c r="J26" s="38">
        <v>42014</v>
      </c>
      <c r="K26">
        <v>81.599999999999994</v>
      </c>
    </row>
    <row r="27" spans="1:11">
      <c r="A27" t="s">
        <v>92</v>
      </c>
      <c r="B27">
        <v>3139120912</v>
      </c>
      <c r="C27">
        <v>1450</v>
      </c>
      <c r="D27" t="s">
        <v>93</v>
      </c>
      <c r="E27" t="s">
        <v>35</v>
      </c>
      <c r="F27" t="s">
        <v>13</v>
      </c>
      <c r="G27" t="s">
        <v>94</v>
      </c>
      <c r="H27" t="s">
        <v>15</v>
      </c>
      <c r="I27" t="s">
        <v>16</v>
      </c>
      <c r="J27" s="38">
        <v>42014</v>
      </c>
      <c r="K27">
        <v>174</v>
      </c>
    </row>
    <row r="28" spans="1:11">
      <c r="A28" t="s">
        <v>97</v>
      </c>
      <c r="B28">
        <v>3227220585</v>
      </c>
      <c r="C28">
        <v>1530</v>
      </c>
      <c r="D28" t="s">
        <v>96</v>
      </c>
      <c r="E28" t="s">
        <v>23</v>
      </c>
      <c r="F28" t="s">
        <v>24</v>
      </c>
      <c r="G28" t="s">
        <v>95</v>
      </c>
      <c r="H28" t="s">
        <v>15</v>
      </c>
      <c r="I28" t="s">
        <v>16</v>
      </c>
      <c r="J28" s="38">
        <v>42014</v>
      </c>
      <c r="K28">
        <v>183.6</v>
      </c>
    </row>
    <row r="29" spans="1:11">
      <c r="A29" t="s">
        <v>98</v>
      </c>
      <c r="B29">
        <v>3004113225</v>
      </c>
      <c r="C29">
        <v>1150</v>
      </c>
      <c r="D29" t="s">
        <v>99</v>
      </c>
      <c r="E29" t="s">
        <v>19</v>
      </c>
      <c r="F29" t="s">
        <v>24</v>
      </c>
      <c r="G29" t="s">
        <v>100</v>
      </c>
      <c r="H29" t="s">
        <v>15</v>
      </c>
      <c r="I29" t="s">
        <v>16</v>
      </c>
      <c r="J29" s="38">
        <v>42014</v>
      </c>
      <c r="K29">
        <v>138</v>
      </c>
    </row>
    <row r="30" spans="1:11">
      <c r="A30" t="s">
        <v>819</v>
      </c>
      <c r="B30">
        <v>3162586693</v>
      </c>
      <c r="C30">
        <v>900</v>
      </c>
      <c r="D30" t="s">
        <v>821</v>
      </c>
      <c r="E30" t="s">
        <v>50</v>
      </c>
      <c r="F30" t="s">
        <v>31</v>
      </c>
      <c r="G30" t="s">
        <v>557</v>
      </c>
      <c r="H30" t="s">
        <v>41</v>
      </c>
      <c r="I30" t="s">
        <v>16</v>
      </c>
      <c r="J30" s="38">
        <v>42228</v>
      </c>
    </row>
    <row r="31" spans="1:11">
      <c r="A31" t="s">
        <v>105</v>
      </c>
      <c r="B31">
        <v>3030533041</v>
      </c>
      <c r="C31">
        <v>1400</v>
      </c>
      <c r="D31" t="s">
        <v>106</v>
      </c>
      <c r="E31" t="s">
        <v>19</v>
      </c>
      <c r="F31" t="s">
        <v>31</v>
      </c>
      <c r="G31" t="s">
        <v>107</v>
      </c>
      <c r="H31" t="s">
        <v>41</v>
      </c>
      <c r="I31" t="s">
        <v>16</v>
      </c>
      <c r="J31" s="38">
        <v>42045</v>
      </c>
      <c r="K31" t="e">
        <v>#VALUE!</v>
      </c>
    </row>
    <row r="32" spans="1:11">
      <c r="A32" t="s">
        <v>108</v>
      </c>
      <c r="B32">
        <v>3332182155</v>
      </c>
      <c r="C32">
        <v>1400</v>
      </c>
      <c r="D32" t="s">
        <v>109</v>
      </c>
      <c r="E32" t="s">
        <v>50</v>
      </c>
      <c r="F32" t="s">
        <v>24</v>
      </c>
      <c r="G32" t="s">
        <v>110</v>
      </c>
      <c r="H32" t="s">
        <v>41</v>
      </c>
      <c r="I32" t="s">
        <v>16</v>
      </c>
      <c r="J32" s="38">
        <v>74945</v>
      </c>
      <c r="K32">
        <v>168</v>
      </c>
    </row>
    <row r="33" spans="1:11">
      <c r="A33" t="s">
        <v>111</v>
      </c>
      <c r="B33">
        <v>3135974447</v>
      </c>
      <c r="C33">
        <v>1800</v>
      </c>
      <c r="D33" t="s">
        <v>112</v>
      </c>
      <c r="E33" t="s">
        <v>50</v>
      </c>
      <c r="F33" t="s">
        <v>13</v>
      </c>
      <c r="G33" t="s">
        <v>114</v>
      </c>
      <c r="H33" t="s">
        <v>41</v>
      </c>
      <c r="I33" t="s">
        <v>16</v>
      </c>
      <c r="J33" s="38">
        <v>42134</v>
      </c>
      <c r="K33">
        <v>216</v>
      </c>
    </row>
    <row r="34" spans="1:11">
      <c r="A34" t="s">
        <v>116</v>
      </c>
      <c r="B34">
        <v>3322215251</v>
      </c>
      <c r="C34">
        <v>1450</v>
      </c>
      <c r="D34" t="s">
        <v>117</v>
      </c>
      <c r="E34" t="s">
        <v>50</v>
      </c>
      <c r="F34" t="s">
        <v>13</v>
      </c>
      <c r="G34" t="s">
        <v>118</v>
      </c>
      <c r="H34" t="s">
        <v>15</v>
      </c>
      <c r="I34" t="s">
        <v>16</v>
      </c>
      <c r="J34" s="38">
        <v>42134</v>
      </c>
      <c r="K34">
        <v>174</v>
      </c>
    </row>
    <row r="35" spans="1:11">
      <c r="A35" t="s">
        <v>115</v>
      </c>
      <c r="B35">
        <v>3338628258</v>
      </c>
      <c r="C35">
        <v>1350</v>
      </c>
      <c r="D35" t="s">
        <v>119</v>
      </c>
      <c r="E35" t="s">
        <v>120</v>
      </c>
      <c r="F35" t="s">
        <v>31</v>
      </c>
      <c r="G35" t="s">
        <v>121</v>
      </c>
      <c r="H35" t="s">
        <v>41</v>
      </c>
      <c r="I35" t="s">
        <v>16</v>
      </c>
      <c r="J35" s="38">
        <v>42134</v>
      </c>
      <c r="K35">
        <v>162</v>
      </c>
    </row>
    <row r="36" spans="1:11">
      <c r="A36" t="s">
        <v>123</v>
      </c>
      <c r="B36">
        <v>3073310592</v>
      </c>
      <c r="C36">
        <v>1500</v>
      </c>
      <c r="D36" t="s">
        <v>124</v>
      </c>
      <c r="E36" t="s">
        <v>125</v>
      </c>
      <c r="F36" t="s">
        <v>31</v>
      </c>
      <c r="G36" t="s">
        <v>126</v>
      </c>
      <c r="H36" t="s">
        <v>41</v>
      </c>
      <c r="I36" t="s">
        <v>16</v>
      </c>
      <c r="J36" s="38">
        <v>42134</v>
      </c>
      <c r="K36">
        <v>180</v>
      </c>
    </row>
    <row r="37" spans="1:11">
      <c r="A37" t="s">
        <v>127</v>
      </c>
      <c r="B37">
        <v>3111681317</v>
      </c>
      <c r="C37">
        <v>1100</v>
      </c>
      <c r="D37" t="s">
        <v>128</v>
      </c>
      <c r="E37" t="s">
        <v>129</v>
      </c>
      <c r="F37" t="s">
        <v>31</v>
      </c>
      <c r="G37" t="s">
        <v>32</v>
      </c>
      <c r="H37" t="s">
        <v>15</v>
      </c>
      <c r="I37" t="s">
        <v>16</v>
      </c>
      <c r="J37" s="38">
        <v>42134</v>
      </c>
      <c r="K37">
        <v>132</v>
      </c>
    </row>
    <row r="38" spans="1:11">
      <c r="A38" t="s">
        <v>131</v>
      </c>
      <c r="B38">
        <v>3212371775</v>
      </c>
      <c r="C38">
        <v>1100</v>
      </c>
      <c r="D38" t="s">
        <v>132</v>
      </c>
      <c r="E38" t="s">
        <v>50</v>
      </c>
      <c r="F38" t="s">
        <v>133</v>
      </c>
      <c r="G38" t="s">
        <v>134</v>
      </c>
      <c r="H38" t="s">
        <v>15</v>
      </c>
      <c r="I38" t="s">
        <v>16</v>
      </c>
      <c r="J38" s="38">
        <v>42165</v>
      </c>
      <c r="K38">
        <v>132</v>
      </c>
    </row>
    <row r="39" spans="1:11">
      <c r="A39" t="s">
        <v>136</v>
      </c>
      <c r="B39">
        <v>3207366457</v>
      </c>
      <c r="C39">
        <v>1900</v>
      </c>
      <c r="D39" t="s">
        <v>135</v>
      </c>
      <c r="E39" t="s">
        <v>57</v>
      </c>
      <c r="F39" t="s">
        <v>133</v>
      </c>
      <c r="G39" t="s">
        <v>137</v>
      </c>
      <c r="H39" t="s">
        <v>15</v>
      </c>
      <c r="I39" t="s">
        <v>16</v>
      </c>
      <c r="J39" s="38">
        <v>42165</v>
      </c>
      <c r="K39">
        <v>228</v>
      </c>
    </row>
    <row r="40" spans="1:11">
      <c r="A40" t="s">
        <v>138</v>
      </c>
      <c r="B40">
        <v>3411484525</v>
      </c>
      <c r="C40">
        <v>1250</v>
      </c>
      <c r="D40" t="s">
        <v>139</v>
      </c>
      <c r="E40" t="s">
        <v>201</v>
      </c>
      <c r="F40" t="s">
        <v>24</v>
      </c>
      <c r="G40" t="s">
        <v>88</v>
      </c>
      <c r="H40" t="s">
        <v>15</v>
      </c>
      <c r="I40" t="s">
        <v>16</v>
      </c>
      <c r="J40" s="38">
        <v>42165</v>
      </c>
      <c r="K40">
        <v>150</v>
      </c>
    </row>
    <row r="41" spans="1:11">
      <c r="A41" t="s">
        <v>140</v>
      </c>
      <c r="B41">
        <v>3133149408</v>
      </c>
      <c r="C41">
        <v>1130</v>
      </c>
      <c r="D41" t="s">
        <v>141</v>
      </c>
      <c r="E41" t="s">
        <v>142</v>
      </c>
      <c r="F41" t="s">
        <v>133</v>
      </c>
      <c r="G41" t="s">
        <v>134</v>
      </c>
      <c r="H41" t="s">
        <v>15</v>
      </c>
      <c r="I41" t="s">
        <v>16</v>
      </c>
      <c r="J41" s="38">
        <v>42165</v>
      </c>
      <c r="K41">
        <v>135.6</v>
      </c>
    </row>
    <row r="42" spans="1:11">
      <c r="A42" t="s">
        <v>143</v>
      </c>
      <c r="B42">
        <v>3218823930</v>
      </c>
      <c r="C42">
        <v>1530</v>
      </c>
      <c r="D42" t="s">
        <v>144</v>
      </c>
      <c r="E42" t="s">
        <v>23</v>
      </c>
      <c r="F42" t="s">
        <v>24</v>
      </c>
      <c r="G42" t="s">
        <v>145</v>
      </c>
      <c r="H42" t="s">
        <v>15</v>
      </c>
      <c r="I42" t="s">
        <v>16</v>
      </c>
      <c r="J42" s="38">
        <v>42165</v>
      </c>
      <c r="K42">
        <v>183.6</v>
      </c>
    </row>
    <row r="43" spans="1:11">
      <c r="A43" t="s">
        <v>146</v>
      </c>
      <c r="B43">
        <v>3133426091</v>
      </c>
      <c r="C43">
        <v>2400</v>
      </c>
      <c r="D43" t="s">
        <v>147</v>
      </c>
      <c r="E43" t="s">
        <v>148</v>
      </c>
      <c r="F43" t="s">
        <v>24</v>
      </c>
      <c r="G43" t="s">
        <v>149</v>
      </c>
      <c r="H43" t="s">
        <v>150</v>
      </c>
      <c r="I43" t="s">
        <v>16</v>
      </c>
      <c r="J43" s="38">
        <v>42165</v>
      </c>
      <c r="K43">
        <v>288</v>
      </c>
    </row>
    <row r="44" spans="1:11">
      <c r="A44" t="s">
        <v>819</v>
      </c>
      <c r="B44">
        <v>3343755124</v>
      </c>
      <c r="C44">
        <v>1500</v>
      </c>
      <c r="D44" t="s">
        <v>820</v>
      </c>
      <c r="E44" t="s">
        <v>50</v>
      </c>
      <c r="F44" t="s">
        <v>515</v>
      </c>
      <c r="G44" t="s">
        <v>632</v>
      </c>
      <c r="H44" t="s">
        <v>41</v>
      </c>
      <c r="I44" t="s">
        <v>16</v>
      </c>
      <c r="J44" s="38">
        <v>42228</v>
      </c>
    </row>
    <row r="45" spans="1:11">
      <c r="A45" t="s">
        <v>156</v>
      </c>
      <c r="B45">
        <v>3315301911</v>
      </c>
      <c r="C45">
        <v>1130</v>
      </c>
      <c r="D45" t="s">
        <v>157</v>
      </c>
      <c r="E45" t="s">
        <v>19</v>
      </c>
      <c r="F45" t="s">
        <v>31</v>
      </c>
      <c r="G45" t="s">
        <v>158</v>
      </c>
      <c r="H45" t="s">
        <v>15</v>
      </c>
      <c r="I45" t="s">
        <v>16</v>
      </c>
      <c r="J45" s="38">
        <v>42226</v>
      </c>
      <c r="K45">
        <v>135.6</v>
      </c>
    </row>
    <row r="46" spans="1:11">
      <c r="A46" t="s">
        <v>159</v>
      </c>
      <c r="B46">
        <v>3322244123</v>
      </c>
      <c r="C46">
        <v>700</v>
      </c>
      <c r="D46" t="s">
        <v>160</v>
      </c>
      <c r="E46" t="s">
        <v>50</v>
      </c>
      <c r="F46" t="s">
        <v>31</v>
      </c>
      <c r="G46" t="s">
        <v>161</v>
      </c>
      <c r="H46" t="s">
        <v>41</v>
      </c>
      <c r="I46" t="s">
        <v>16</v>
      </c>
      <c r="J46" s="38">
        <v>42257</v>
      </c>
      <c r="K46">
        <v>84</v>
      </c>
    </row>
    <row r="47" spans="1:11">
      <c r="A47" t="s">
        <v>162</v>
      </c>
      <c r="B47">
        <v>3222141820</v>
      </c>
      <c r="C47">
        <v>1000</v>
      </c>
      <c r="D47" t="s">
        <v>163</v>
      </c>
      <c r="E47" t="s">
        <v>50</v>
      </c>
      <c r="F47" t="s">
        <v>24</v>
      </c>
      <c r="G47" t="s">
        <v>164</v>
      </c>
      <c r="H47" t="s">
        <v>15</v>
      </c>
      <c r="I47" t="s">
        <v>16</v>
      </c>
      <c r="J47" s="38">
        <v>42257</v>
      </c>
      <c r="K47">
        <v>120</v>
      </c>
    </row>
    <row r="48" spans="1:11">
      <c r="A48" t="s">
        <v>165</v>
      </c>
      <c r="B48">
        <v>3245400004</v>
      </c>
      <c r="C48">
        <v>1400</v>
      </c>
      <c r="D48" t="s">
        <v>166</v>
      </c>
      <c r="E48" t="s">
        <v>40</v>
      </c>
      <c r="F48" t="s">
        <v>133</v>
      </c>
      <c r="G48" t="s">
        <v>167</v>
      </c>
      <c r="H48" t="s">
        <v>15</v>
      </c>
      <c r="I48" t="s">
        <v>16</v>
      </c>
      <c r="J48" s="38">
        <v>42257</v>
      </c>
      <c r="K48">
        <v>168</v>
      </c>
    </row>
    <row r="49" spans="1:11">
      <c r="A49" t="s">
        <v>168</v>
      </c>
      <c r="B49">
        <v>3475564903</v>
      </c>
      <c r="C49">
        <v>1500</v>
      </c>
      <c r="D49" t="s">
        <v>169</v>
      </c>
      <c r="E49" t="s">
        <v>170</v>
      </c>
      <c r="F49" t="s">
        <v>31</v>
      </c>
      <c r="G49" t="s">
        <v>171</v>
      </c>
      <c r="H49" t="s">
        <v>15</v>
      </c>
      <c r="I49" t="s">
        <v>16</v>
      </c>
      <c r="J49" s="38">
        <v>42257</v>
      </c>
      <c r="K49">
        <v>180</v>
      </c>
    </row>
    <row r="50" spans="1:11">
      <c r="A50" t="s">
        <v>172</v>
      </c>
      <c r="B50">
        <v>3070614559</v>
      </c>
      <c r="C50">
        <v>1300</v>
      </c>
      <c r="D50" t="s">
        <v>173</v>
      </c>
      <c r="E50" t="s">
        <v>174</v>
      </c>
      <c r="F50" t="s">
        <v>31</v>
      </c>
      <c r="G50" t="s">
        <v>46</v>
      </c>
      <c r="H50" t="s">
        <v>15</v>
      </c>
      <c r="I50" t="s">
        <v>16</v>
      </c>
      <c r="J50" s="38">
        <v>42287</v>
      </c>
      <c r="K50">
        <v>156</v>
      </c>
    </row>
    <row r="51" spans="1:11">
      <c r="A51" t="s">
        <v>175</v>
      </c>
      <c r="B51">
        <v>3151880753</v>
      </c>
      <c r="C51">
        <v>1050</v>
      </c>
      <c r="D51" t="s">
        <v>176</v>
      </c>
      <c r="E51" t="s">
        <v>177</v>
      </c>
      <c r="F51" t="s">
        <v>24</v>
      </c>
      <c r="G51" t="s">
        <v>178</v>
      </c>
      <c r="H51" t="s">
        <v>15</v>
      </c>
      <c r="I51" t="s">
        <v>16</v>
      </c>
      <c r="J51" s="38">
        <v>42287</v>
      </c>
      <c r="K51">
        <v>126</v>
      </c>
    </row>
    <row r="52" spans="1:11">
      <c r="A52" t="s">
        <v>179</v>
      </c>
      <c r="B52">
        <v>3462220229</v>
      </c>
      <c r="C52">
        <v>1000</v>
      </c>
      <c r="D52" t="s">
        <v>180</v>
      </c>
      <c r="E52" t="s">
        <v>50</v>
      </c>
      <c r="F52" t="s">
        <v>13</v>
      </c>
      <c r="G52" t="s">
        <v>181</v>
      </c>
      <c r="H52" t="s">
        <v>41</v>
      </c>
      <c r="I52" t="s">
        <v>16</v>
      </c>
      <c r="J52" s="38">
        <v>42318</v>
      </c>
    </row>
    <row r="53" spans="1:11">
      <c r="A53" t="s">
        <v>214</v>
      </c>
      <c r="B53">
        <v>3102879934</v>
      </c>
      <c r="C53">
        <v>700</v>
      </c>
      <c r="D53" t="s">
        <v>182</v>
      </c>
      <c r="E53" t="s">
        <v>50</v>
      </c>
      <c r="F53" t="s">
        <v>31</v>
      </c>
      <c r="G53" t="s">
        <v>183</v>
      </c>
      <c r="H53" t="s">
        <v>41</v>
      </c>
      <c r="I53" t="s">
        <v>16</v>
      </c>
      <c r="J53" s="38">
        <v>42318</v>
      </c>
    </row>
    <row r="54" spans="1:11">
      <c r="A54" t="s">
        <v>184</v>
      </c>
      <c r="B54">
        <v>3218383567</v>
      </c>
      <c r="C54">
        <v>1100</v>
      </c>
      <c r="D54" t="s">
        <v>185</v>
      </c>
      <c r="E54" t="s">
        <v>50</v>
      </c>
      <c r="F54" t="s">
        <v>24</v>
      </c>
      <c r="G54" t="s">
        <v>186</v>
      </c>
      <c r="H54" t="s">
        <v>41</v>
      </c>
      <c r="I54" t="s">
        <v>16</v>
      </c>
      <c r="J54" s="38">
        <v>42318</v>
      </c>
    </row>
    <row r="55" spans="1:11">
      <c r="A55" t="s">
        <v>187</v>
      </c>
      <c r="B55">
        <v>3217555548</v>
      </c>
      <c r="C55">
        <v>3100</v>
      </c>
      <c r="D55" t="s">
        <v>188</v>
      </c>
      <c r="E55" t="s">
        <v>23</v>
      </c>
      <c r="F55" t="s">
        <v>31</v>
      </c>
      <c r="G55" t="s">
        <v>189</v>
      </c>
      <c r="H55" t="s">
        <v>41</v>
      </c>
      <c r="I55" t="s">
        <v>16</v>
      </c>
      <c r="J55" s="38">
        <v>42318</v>
      </c>
    </row>
    <row r="56" spans="1:11">
      <c r="A56" t="s">
        <v>190</v>
      </c>
      <c r="B56">
        <v>3214226230</v>
      </c>
      <c r="C56">
        <v>2000</v>
      </c>
      <c r="D56" t="s">
        <v>102</v>
      </c>
      <c r="E56" t="s">
        <v>23</v>
      </c>
      <c r="F56" t="s">
        <v>24</v>
      </c>
      <c r="G56" t="s">
        <v>101</v>
      </c>
      <c r="H56" t="s">
        <v>15</v>
      </c>
      <c r="I56" t="s">
        <v>16</v>
      </c>
      <c r="J56" s="38">
        <v>42318</v>
      </c>
    </row>
    <row r="57" spans="1:11">
      <c r="A57" t="s">
        <v>192</v>
      </c>
      <c r="B57">
        <v>3460337677</v>
      </c>
      <c r="C57">
        <v>1450</v>
      </c>
      <c r="D57" t="s">
        <v>193</v>
      </c>
      <c r="E57" t="s">
        <v>50</v>
      </c>
      <c r="F57" t="s">
        <v>31</v>
      </c>
      <c r="G57" t="s">
        <v>46</v>
      </c>
      <c r="H57" t="s">
        <v>41</v>
      </c>
      <c r="I57" t="s">
        <v>16</v>
      </c>
      <c r="J57" s="38">
        <v>42348</v>
      </c>
    </row>
    <row r="58" spans="1:11">
      <c r="A58" t="s">
        <v>194</v>
      </c>
      <c r="B58">
        <v>3127095434</v>
      </c>
      <c r="C58">
        <v>1150</v>
      </c>
      <c r="D58" t="s">
        <v>195</v>
      </c>
      <c r="E58" t="s">
        <v>50</v>
      </c>
      <c r="F58" t="s">
        <v>31</v>
      </c>
      <c r="G58" t="s">
        <v>196</v>
      </c>
      <c r="H58" t="s">
        <v>15</v>
      </c>
      <c r="I58" t="s">
        <v>16</v>
      </c>
      <c r="J58" s="38">
        <v>42348</v>
      </c>
    </row>
    <row r="59" spans="1:11">
      <c r="A59" t="s">
        <v>197</v>
      </c>
      <c r="B59">
        <v>3349195544</v>
      </c>
      <c r="C59">
        <v>1250</v>
      </c>
      <c r="D59" t="s">
        <v>198</v>
      </c>
      <c r="E59" t="s">
        <v>199</v>
      </c>
      <c r="F59" t="s">
        <v>24</v>
      </c>
      <c r="G59" t="s">
        <v>164</v>
      </c>
      <c r="H59" t="s">
        <v>15</v>
      </c>
      <c r="I59" t="s">
        <v>16</v>
      </c>
      <c r="J59" s="38">
        <v>42348</v>
      </c>
    </row>
    <row r="60" spans="1:11">
      <c r="A60" t="s">
        <v>817</v>
      </c>
      <c r="C60">
        <v>1500</v>
      </c>
      <c r="D60" t="s">
        <v>818</v>
      </c>
      <c r="E60" t="s">
        <v>50</v>
      </c>
      <c r="F60" t="s">
        <v>133</v>
      </c>
      <c r="G60" t="s">
        <v>134</v>
      </c>
      <c r="H60" t="s">
        <v>41</v>
      </c>
      <c r="I60" t="s">
        <v>16</v>
      </c>
      <c r="J60" s="38">
        <v>42197</v>
      </c>
    </row>
    <row r="61" spans="1:11">
      <c r="A61" t="s">
        <v>205</v>
      </c>
      <c r="B61">
        <v>3064451812</v>
      </c>
      <c r="C61">
        <v>1300</v>
      </c>
      <c r="D61" t="s">
        <v>206</v>
      </c>
      <c r="E61" t="s">
        <v>207</v>
      </c>
      <c r="F61" t="s">
        <v>24</v>
      </c>
      <c r="G61" t="s">
        <v>203</v>
      </c>
      <c r="H61" t="s">
        <v>15</v>
      </c>
      <c r="I61" t="s">
        <v>16</v>
      </c>
      <c r="J61" t="s">
        <v>204</v>
      </c>
    </row>
    <row r="62" spans="1:11">
      <c r="A62" t="s">
        <v>208</v>
      </c>
      <c r="B62">
        <v>3114790647</v>
      </c>
      <c r="C62">
        <v>710</v>
      </c>
      <c r="D62" t="s">
        <v>209</v>
      </c>
      <c r="E62" t="s">
        <v>210</v>
      </c>
      <c r="F62" t="s">
        <v>24</v>
      </c>
      <c r="G62" t="s">
        <v>36</v>
      </c>
      <c r="H62" t="s">
        <v>15</v>
      </c>
      <c r="I62" t="s">
        <v>16</v>
      </c>
      <c r="J62" t="s">
        <v>204</v>
      </c>
    </row>
    <row r="63" spans="1:11">
      <c r="A63" t="s">
        <v>211</v>
      </c>
      <c r="B63">
        <v>3131015717</v>
      </c>
      <c r="C63">
        <v>1400</v>
      </c>
      <c r="D63" t="s">
        <v>212</v>
      </c>
      <c r="E63" t="s">
        <v>50</v>
      </c>
      <c r="F63" t="s">
        <v>31</v>
      </c>
      <c r="G63" t="s">
        <v>213</v>
      </c>
      <c r="H63" t="s">
        <v>41</v>
      </c>
      <c r="I63" t="s">
        <v>16</v>
      </c>
      <c r="J63" t="s">
        <v>204</v>
      </c>
    </row>
    <row r="64" spans="1:11">
      <c r="A64" t="s">
        <v>215</v>
      </c>
      <c r="B64">
        <v>3217279170</v>
      </c>
      <c r="C64">
        <v>850</v>
      </c>
      <c r="D64" t="s">
        <v>216</v>
      </c>
      <c r="E64" t="s">
        <v>57</v>
      </c>
      <c r="F64" t="s">
        <v>39</v>
      </c>
      <c r="G64" t="s">
        <v>25</v>
      </c>
      <c r="H64" t="s">
        <v>15</v>
      </c>
      <c r="I64" t="s">
        <v>16</v>
      </c>
      <c r="J64" t="s">
        <v>217</v>
      </c>
    </row>
    <row r="65" spans="1:10">
      <c r="A65" t="s">
        <v>218</v>
      </c>
      <c r="B65">
        <v>3319614452</v>
      </c>
      <c r="C65">
        <v>1430</v>
      </c>
      <c r="D65" t="s">
        <v>219</v>
      </c>
      <c r="E65" t="s">
        <v>30</v>
      </c>
      <c r="F65" t="s">
        <v>39</v>
      </c>
      <c r="G65" t="s">
        <v>220</v>
      </c>
      <c r="H65" t="s">
        <v>15</v>
      </c>
      <c r="I65" t="s">
        <v>16</v>
      </c>
      <c r="J65" t="s">
        <v>217</v>
      </c>
    </row>
    <row r="66" spans="1:10">
      <c r="A66" t="s">
        <v>221</v>
      </c>
      <c r="B66">
        <v>3455281827</v>
      </c>
      <c r="C66">
        <v>2000</v>
      </c>
      <c r="D66" t="s">
        <v>222</v>
      </c>
      <c r="E66" t="s">
        <v>12</v>
      </c>
      <c r="F66" t="s">
        <v>223</v>
      </c>
      <c r="G66" t="s">
        <v>224</v>
      </c>
      <c r="H66" t="s">
        <v>15</v>
      </c>
      <c r="I66" t="s">
        <v>16</v>
      </c>
      <c r="J66" t="s">
        <v>217</v>
      </c>
    </row>
    <row r="67" spans="1:10">
      <c r="A67" t="s">
        <v>187</v>
      </c>
      <c r="B67">
        <v>3217555548</v>
      </c>
      <c r="C67">
        <v>2550</v>
      </c>
      <c r="D67" t="s">
        <v>188</v>
      </c>
      <c r="E67" t="s">
        <v>23</v>
      </c>
      <c r="F67" t="s">
        <v>31</v>
      </c>
      <c r="G67" t="s">
        <v>225</v>
      </c>
      <c r="H67" t="s">
        <v>41</v>
      </c>
      <c r="I67" t="s">
        <v>16</v>
      </c>
      <c r="J67" t="s">
        <v>217</v>
      </c>
    </row>
    <row r="68" spans="1:10">
      <c r="A68" t="s">
        <v>226</v>
      </c>
      <c r="B68">
        <v>3151316294</v>
      </c>
      <c r="C68">
        <v>1170</v>
      </c>
      <c r="D68" t="s">
        <v>227</v>
      </c>
      <c r="E68" t="s">
        <v>125</v>
      </c>
      <c r="F68" t="s">
        <v>31</v>
      </c>
      <c r="G68" t="s">
        <v>228</v>
      </c>
      <c r="H68" t="s">
        <v>15</v>
      </c>
      <c r="I68" t="s">
        <v>16</v>
      </c>
      <c r="J68" t="s">
        <v>217</v>
      </c>
    </row>
    <row r="69" spans="1:10">
      <c r="A69" t="s">
        <v>229</v>
      </c>
      <c r="B69">
        <v>3227264703</v>
      </c>
      <c r="C69">
        <v>1600</v>
      </c>
      <c r="D69" t="s">
        <v>232</v>
      </c>
      <c r="E69" t="s">
        <v>230</v>
      </c>
      <c r="F69" t="s">
        <v>24</v>
      </c>
      <c r="G69" t="s">
        <v>231</v>
      </c>
      <c r="H69" t="s">
        <v>15</v>
      </c>
      <c r="I69" t="s">
        <v>16</v>
      </c>
      <c r="J69" t="s">
        <v>217</v>
      </c>
    </row>
    <row r="70" spans="1:10">
      <c r="A70" t="s">
        <v>233</v>
      </c>
      <c r="B70">
        <v>3015141428</v>
      </c>
      <c r="C70">
        <v>1250</v>
      </c>
      <c r="D70" t="s">
        <v>234</v>
      </c>
      <c r="E70" t="s">
        <v>235</v>
      </c>
      <c r="F70" t="s">
        <v>31</v>
      </c>
      <c r="G70" t="s">
        <v>236</v>
      </c>
      <c r="H70" t="s">
        <v>41</v>
      </c>
      <c r="I70" t="s">
        <v>16</v>
      </c>
      <c r="J70" t="s">
        <v>217</v>
      </c>
    </row>
    <row r="71" spans="1:10">
      <c r="A71" t="s">
        <v>237</v>
      </c>
      <c r="B71">
        <v>3360067883</v>
      </c>
      <c r="C71">
        <v>1000</v>
      </c>
      <c r="D71" t="s">
        <v>238</v>
      </c>
      <c r="E71" t="s">
        <v>12</v>
      </c>
      <c r="F71" t="s">
        <v>133</v>
      </c>
      <c r="G71" t="s">
        <v>134</v>
      </c>
      <c r="H71" t="s">
        <v>15</v>
      </c>
      <c r="I71" t="s">
        <v>16</v>
      </c>
      <c r="J71" t="s">
        <v>239</v>
      </c>
    </row>
    <row r="72" spans="1:10">
      <c r="A72" t="s">
        <v>240</v>
      </c>
      <c r="B72">
        <v>3232052231</v>
      </c>
      <c r="C72">
        <v>1900</v>
      </c>
      <c r="D72" t="s">
        <v>241</v>
      </c>
      <c r="E72" t="s">
        <v>50</v>
      </c>
      <c r="F72" t="s">
        <v>24</v>
      </c>
      <c r="G72" t="s">
        <v>242</v>
      </c>
      <c r="H72" t="s">
        <v>15</v>
      </c>
      <c r="I72" t="s">
        <v>16</v>
      </c>
      <c r="J72" t="s">
        <v>239</v>
      </c>
    </row>
    <row r="73" spans="1:10">
      <c r="A73" t="s">
        <v>244</v>
      </c>
      <c r="B73">
        <v>3452492689</v>
      </c>
      <c r="C73">
        <v>1100</v>
      </c>
      <c r="D73" t="s">
        <v>245</v>
      </c>
      <c r="E73" t="s">
        <v>50</v>
      </c>
      <c r="F73" t="s">
        <v>31</v>
      </c>
      <c r="G73" t="s">
        <v>246</v>
      </c>
      <c r="H73" t="s">
        <v>15</v>
      </c>
      <c r="I73" t="s">
        <v>16</v>
      </c>
      <c r="J73" t="s">
        <v>243</v>
      </c>
    </row>
    <row r="74" spans="1:10">
      <c r="A74" t="s">
        <v>247</v>
      </c>
      <c r="B74">
        <v>3354941966</v>
      </c>
      <c r="C74">
        <v>900</v>
      </c>
      <c r="D74" t="s">
        <v>248</v>
      </c>
      <c r="E74" t="s">
        <v>23</v>
      </c>
      <c r="F74" t="s">
        <v>24</v>
      </c>
      <c r="G74" t="s">
        <v>178</v>
      </c>
      <c r="H74" t="s">
        <v>15</v>
      </c>
      <c r="I74" t="s">
        <v>16</v>
      </c>
      <c r="J74" t="s">
        <v>243</v>
      </c>
    </row>
    <row r="75" spans="1:10">
      <c r="A75" t="s">
        <v>249</v>
      </c>
      <c r="B75">
        <v>3355976801</v>
      </c>
      <c r="C75">
        <v>900</v>
      </c>
      <c r="D75" t="s">
        <v>250</v>
      </c>
      <c r="E75" t="s">
        <v>35</v>
      </c>
      <c r="F75" t="s">
        <v>24</v>
      </c>
      <c r="G75" t="s">
        <v>178</v>
      </c>
      <c r="H75" t="s">
        <v>15</v>
      </c>
      <c r="I75" t="s">
        <v>16</v>
      </c>
      <c r="J75" t="s">
        <v>243</v>
      </c>
    </row>
    <row r="76" spans="1:10">
      <c r="A76" t="s">
        <v>251</v>
      </c>
      <c r="B76">
        <v>3465317632</v>
      </c>
      <c r="C76">
        <v>1250</v>
      </c>
      <c r="D76" t="s">
        <v>252</v>
      </c>
      <c r="E76" t="s">
        <v>19</v>
      </c>
      <c r="F76" t="s">
        <v>31</v>
      </c>
      <c r="G76" t="s">
        <v>253</v>
      </c>
      <c r="H76" t="s">
        <v>41</v>
      </c>
      <c r="I76" t="s">
        <v>16</v>
      </c>
      <c r="J76" t="s">
        <v>243</v>
      </c>
    </row>
    <row r="77" spans="1:10">
      <c r="A77" t="s">
        <v>254</v>
      </c>
      <c r="B77">
        <v>3122124938</v>
      </c>
      <c r="C77">
        <v>1300</v>
      </c>
      <c r="D77" t="s">
        <v>255</v>
      </c>
      <c r="E77" t="s">
        <v>50</v>
      </c>
      <c r="F77" t="s">
        <v>24</v>
      </c>
      <c r="G77" t="s">
        <v>256</v>
      </c>
      <c r="H77" t="s">
        <v>15</v>
      </c>
      <c r="I77" t="s">
        <v>16</v>
      </c>
      <c r="J77" t="s">
        <v>257</v>
      </c>
    </row>
    <row r="78" spans="1:10">
      <c r="A78" t="s">
        <v>258</v>
      </c>
      <c r="B78">
        <v>3414002096</v>
      </c>
      <c r="C78">
        <v>710</v>
      </c>
      <c r="D78" t="s">
        <v>269</v>
      </c>
      <c r="E78" t="s">
        <v>23</v>
      </c>
      <c r="F78" t="s">
        <v>24</v>
      </c>
      <c r="G78" t="s">
        <v>259</v>
      </c>
      <c r="H78" t="s">
        <v>15</v>
      </c>
      <c r="I78" t="s">
        <v>16</v>
      </c>
      <c r="J78" t="s">
        <v>257</v>
      </c>
    </row>
    <row r="79" spans="1:10">
      <c r="A79" t="s">
        <v>262</v>
      </c>
      <c r="B79">
        <v>3243372882</v>
      </c>
      <c r="C79">
        <v>1000</v>
      </c>
      <c r="D79" t="s">
        <v>261</v>
      </c>
      <c r="E79" t="s">
        <v>50</v>
      </c>
      <c r="F79" t="s">
        <v>24</v>
      </c>
      <c r="G79" t="s">
        <v>260</v>
      </c>
      <c r="H79" t="s">
        <v>15</v>
      </c>
      <c r="I79" t="s">
        <v>16</v>
      </c>
      <c r="J79" t="s">
        <v>257</v>
      </c>
    </row>
    <row r="80" spans="1:10">
      <c r="A80" t="s">
        <v>263</v>
      </c>
      <c r="B80">
        <v>3329216611</v>
      </c>
      <c r="C80">
        <v>1500</v>
      </c>
      <c r="D80" t="s">
        <v>264</v>
      </c>
      <c r="E80" t="s">
        <v>35</v>
      </c>
      <c r="F80" t="s">
        <v>24</v>
      </c>
      <c r="G80" t="s">
        <v>231</v>
      </c>
      <c r="H80" t="s">
        <v>15</v>
      </c>
      <c r="I80" t="s">
        <v>16</v>
      </c>
      <c r="J80" t="s">
        <v>265</v>
      </c>
    </row>
    <row r="81" spans="1:10">
      <c r="A81" t="s">
        <v>266</v>
      </c>
      <c r="B81">
        <v>3358407040</v>
      </c>
      <c r="C81">
        <v>1300</v>
      </c>
      <c r="D81" t="s">
        <v>267</v>
      </c>
      <c r="E81" t="s">
        <v>35</v>
      </c>
      <c r="F81" t="s">
        <v>31</v>
      </c>
      <c r="G81" t="s">
        <v>268</v>
      </c>
      <c r="H81" t="s">
        <v>15</v>
      </c>
      <c r="I81" t="s">
        <v>16</v>
      </c>
      <c r="J81" t="s">
        <v>265</v>
      </c>
    </row>
    <row r="82" spans="1:10">
      <c r="A82" t="s">
        <v>270</v>
      </c>
      <c r="B82">
        <v>3318200117</v>
      </c>
      <c r="C82">
        <v>1050</v>
      </c>
      <c r="D82" t="s">
        <v>271</v>
      </c>
      <c r="E82" t="s">
        <v>272</v>
      </c>
      <c r="F82" t="s">
        <v>24</v>
      </c>
      <c r="G82" t="s">
        <v>178</v>
      </c>
      <c r="H82" t="s">
        <v>15</v>
      </c>
      <c r="I82" t="s">
        <v>16</v>
      </c>
      <c r="J82" t="s">
        <v>265</v>
      </c>
    </row>
    <row r="83" spans="1:10">
      <c r="A83" t="s">
        <v>273</v>
      </c>
      <c r="B83">
        <v>3101828048</v>
      </c>
      <c r="C83">
        <v>2200</v>
      </c>
      <c r="D83" t="s">
        <v>274</v>
      </c>
      <c r="E83" t="s">
        <v>85</v>
      </c>
      <c r="F83" t="s">
        <v>24</v>
      </c>
      <c r="G83" t="s">
        <v>275</v>
      </c>
      <c r="H83" t="s">
        <v>15</v>
      </c>
      <c r="I83" t="s">
        <v>16</v>
      </c>
      <c r="J83" t="s">
        <v>276</v>
      </c>
    </row>
    <row r="84" spans="1:10">
      <c r="A84" t="s">
        <v>277</v>
      </c>
      <c r="B84">
        <v>3337028705</v>
      </c>
      <c r="C84">
        <v>1170</v>
      </c>
      <c r="D84" t="s">
        <v>278</v>
      </c>
      <c r="E84" t="s">
        <v>279</v>
      </c>
      <c r="F84" t="s">
        <v>24</v>
      </c>
      <c r="G84" t="s">
        <v>88</v>
      </c>
      <c r="H84" t="s">
        <v>15</v>
      </c>
      <c r="I84" t="s">
        <v>16</v>
      </c>
      <c r="J84" t="s">
        <v>276</v>
      </c>
    </row>
    <row r="85" spans="1:10">
      <c r="A85" t="s">
        <v>282</v>
      </c>
      <c r="B85">
        <v>3432778874</v>
      </c>
      <c r="C85">
        <v>1300</v>
      </c>
      <c r="D85" t="s">
        <v>283</v>
      </c>
      <c r="E85" t="s">
        <v>50</v>
      </c>
      <c r="F85" t="s">
        <v>31</v>
      </c>
      <c r="G85" t="s">
        <v>121</v>
      </c>
      <c r="H85" t="s">
        <v>284</v>
      </c>
      <c r="I85" t="s">
        <v>16</v>
      </c>
      <c r="J85" t="s">
        <v>276</v>
      </c>
    </row>
    <row r="86" spans="1:10">
      <c r="A86" t="s">
        <v>285</v>
      </c>
      <c r="B86">
        <v>3330514491</v>
      </c>
      <c r="C86">
        <v>1170</v>
      </c>
      <c r="D86" t="s">
        <v>286</v>
      </c>
      <c r="E86" t="s">
        <v>12</v>
      </c>
      <c r="F86" t="s">
        <v>31</v>
      </c>
      <c r="G86" t="s">
        <v>46</v>
      </c>
      <c r="H86" t="s">
        <v>15</v>
      </c>
      <c r="I86" t="s">
        <v>16</v>
      </c>
      <c r="J86" t="s">
        <v>276</v>
      </c>
    </row>
    <row r="87" spans="1:10">
      <c r="A87" t="s">
        <v>288</v>
      </c>
      <c r="B87">
        <v>3101828048</v>
      </c>
      <c r="C87">
        <v>2200</v>
      </c>
      <c r="D87" t="s">
        <v>274</v>
      </c>
      <c r="E87" t="s">
        <v>85</v>
      </c>
      <c r="F87" t="s">
        <v>24</v>
      </c>
      <c r="G87" t="s">
        <v>275</v>
      </c>
      <c r="H87" t="s">
        <v>15</v>
      </c>
      <c r="I87" t="s">
        <v>16</v>
      </c>
      <c r="J87" t="s">
        <v>287</v>
      </c>
    </row>
    <row r="88" spans="1:10">
      <c r="A88" t="s">
        <v>290</v>
      </c>
      <c r="B88">
        <v>3417580739</v>
      </c>
      <c r="C88">
        <v>1850</v>
      </c>
      <c r="D88" t="s">
        <v>291</v>
      </c>
      <c r="E88" t="s">
        <v>280</v>
      </c>
      <c r="F88" t="s">
        <v>24</v>
      </c>
      <c r="G88" t="s">
        <v>281</v>
      </c>
      <c r="H88" t="s">
        <v>15</v>
      </c>
      <c r="I88" t="s">
        <v>16</v>
      </c>
      <c r="J88" t="s">
        <v>287</v>
      </c>
    </row>
    <row r="89" spans="1:10">
      <c r="A89" t="s">
        <v>292</v>
      </c>
      <c r="B89">
        <v>3337028705</v>
      </c>
      <c r="C89">
        <v>1170</v>
      </c>
      <c r="D89" t="s">
        <v>278</v>
      </c>
      <c r="E89" t="s">
        <v>279</v>
      </c>
      <c r="F89" t="s">
        <v>24</v>
      </c>
      <c r="G89" t="s">
        <v>88</v>
      </c>
      <c r="H89" t="s">
        <v>15</v>
      </c>
      <c r="I89" t="s">
        <v>16</v>
      </c>
      <c r="J89" t="s">
        <v>287</v>
      </c>
    </row>
    <row r="90" spans="1:10">
      <c r="A90" t="s">
        <v>294</v>
      </c>
      <c r="B90">
        <v>3412589950</v>
      </c>
      <c r="C90">
        <v>950</v>
      </c>
      <c r="D90" t="s">
        <v>295</v>
      </c>
      <c r="E90" t="s">
        <v>50</v>
      </c>
      <c r="F90" t="s">
        <v>24</v>
      </c>
      <c r="G90" t="s">
        <v>25</v>
      </c>
      <c r="H90" t="s">
        <v>15</v>
      </c>
      <c r="I90" t="s">
        <v>16</v>
      </c>
      <c r="J90" t="s">
        <v>287</v>
      </c>
    </row>
    <row r="91" spans="1:10">
      <c r="A91" t="s">
        <v>296</v>
      </c>
      <c r="B91">
        <v>3145858090</v>
      </c>
      <c r="C91">
        <v>1200</v>
      </c>
      <c r="D91" t="s">
        <v>297</v>
      </c>
      <c r="E91" t="s">
        <v>23</v>
      </c>
      <c r="F91" t="s">
        <v>133</v>
      </c>
      <c r="G91" t="s">
        <v>298</v>
      </c>
      <c r="H91" t="s">
        <v>15</v>
      </c>
      <c r="I91" t="s">
        <v>16</v>
      </c>
      <c r="J91" t="s">
        <v>299</v>
      </c>
    </row>
    <row r="92" spans="1:10">
      <c r="A92" t="s">
        <v>300</v>
      </c>
      <c r="B92">
        <v>3322588749</v>
      </c>
      <c r="C92">
        <v>1290</v>
      </c>
      <c r="D92" t="s">
        <v>301</v>
      </c>
      <c r="E92" t="s">
        <v>302</v>
      </c>
      <c r="F92" t="s">
        <v>24</v>
      </c>
      <c r="G92" t="s">
        <v>303</v>
      </c>
      <c r="H92" t="s">
        <v>15</v>
      </c>
      <c r="I92" t="s">
        <v>16</v>
      </c>
      <c r="J92" t="s">
        <v>299</v>
      </c>
    </row>
    <row r="93" spans="1:10">
      <c r="A93" t="s">
        <v>304</v>
      </c>
      <c r="B93">
        <v>3314409501</v>
      </c>
      <c r="C93">
        <v>1170</v>
      </c>
      <c r="D93" t="s">
        <v>305</v>
      </c>
      <c r="E93" t="s">
        <v>23</v>
      </c>
      <c r="F93" t="s">
        <v>31</v>
      </c>
      <c r="G93" t="s">
        <v>228</v>
      </c>
      <c r="H93" t="s">
        <v>15</v>
      </c>
      <c r="I93" t="s">
        <v>16</v>
      </c>
      <c r="J93" t="s">
        <v>330</v>
      </c>
    </row>
    <row r="94" spans="1:10">
      <c r="A94" t="s">
        <v>306</v>
      </c>
      <c r="B94">
        <v>3343400800</v>
      </c>
      <c r="C94">
        <v>1300</v>
      </c>
      <c r="D94" t="s">
        <v>307</v>
      </c>
      <c r="E94" t="s">
        <v>50</v>
      </c>
      <c r="F94" t="s">
        <v>24</v>
      </c>
      <c r="G94" t="s">
        <v>308</v>
      </c>
      <c r="H94" t="s">
        <v>41</v>
      </c>
      <c r="I94" t="s">
        <v>16</v>
      </c>
      <c r="J94" t="s">
        <v>299</v>
      </c>
    </row>
    <row r="95" spans="1:10">
      <c r="A95" t="s">
        <v>309</v>
      </c>
      <c r="B95">
        <v>3324000084</v>
      </c>
      <c r="C95">
        <v>2450</v>
      </c>
      <c r="D95" t="s">
        <v>310</v>
      </c>
      <c r="E95" t="s">
        <v>50</v>
      </c>
      <c r="F95" t="s">
        <v>31</v>
      </c>
      <c r="G95" t="s">
        <v>311</v>
      </c>
      <c r="H95" t="s">
        <v>41</v>
      </c>
      <c r="I95" t="s">
        <v>16</v>
      </c>
      <c r="J95" t="s">
        <v>299</v>
      </c>
    </row>
    <row r="96" spans="1:10">
      <c r="A96" t="s">
        <v>312</v>
      </c>
      <c r="B96" t="s">
        <v>313</v>
      </c>
      <c r="C96">
        <v>2200</v>
      </c>
      <c r="D96" t="s">
        <v>314</v>
      </c>
      <c r="E96" t="s">
        <v>50</v>
      </c>
      <c r="F96" t="s">
        <v>31</v>
      </c>
      <c r="G96" t="s">
        <v>315</v>
      </c>
      <c r="H96" t="s">
        <v>41</v>
      </c>
      <c r="I96" t="s">
        <v>16</v>
      </c>
      <c r="J96" t="s">
        <v>299</v>
      </c>
    </row>
    <row r="97" spans="1:10">
      <c r="A97" t="s">
        <v>316</v>
      </c>
      <c r="B97">
        <v>3212885297</v>
      </c>
      <c r="C97">
        <v>800</v>
      </c>
      <c r="D97" t="s">
        <v>317</v>
      </c>
      <c r="E97" t="s">
        <v>50</v>
      </c>
      <c r="F97" t="s">
        <v>24</v>
      </c>
      <c r="G97" t="s">
        <v>318</v>
      </c>
      <c r="H97" t="s">
        <v>15</v>
      </c>
      <c r="I97" t="s">
        <v>16</v>
      </c>
      <c r="J97" t="s">
        <v>299</v>
      </c>
    </row>
    <row r="98" spans="1:10">
      <c r="A98" t="s">
        <v>319</v>
      </c>
      <c r="B98">
        <v>3242444067</v>
      </c>
      <c r="C98">
        <v>1300</v>
      </c>
      <c r="D98" t="s">
        <v>320</v>
      </c>
      <c r="E98" t="s">
        <v>50</v>
      </c>
      <c r="F98" t="s">
        <v>31</v>
      </c>
      <c r="G98" t="s">
        <v>196</v>
      </c>
      <c r="H98" t="s">
        <v>41</v>
      </c>
      <c r="I98" t="s">
        <v>16</v>
      </c>
      <c r="J98" t="s">
        <v>299</v>
      </c>
    </row>
    <row r="99" spans="1:10">
      <c r="A99" t="s">
        <v>321</v>
      </c>
      <c r="B99">
        <v>3368284355</v>
      </c>
      <c r="C99">
        <v>1500</v>
      </c>
      <c r="D99" t="s">
        <v>322</v>
      </c>
      <c r="E99" t="s">
        <v>50</v>
      </c>
      <c r="F99" t="s">
        <v>31</v>
      </c>
      <c r="G99" t="s">
        <v>213</v>
      </c>
      <c r="H99" t="s">
        <v>41</v>
      </c>
      <c r="I99" t="s">
        <v>16</v>
      </c>
      <c r="J99" t="s">
        <v>323</v>
      </c>
    </row>
    <row r="100" spans="1:10">
      <c r="A100" t="s">
        <v>324</v>
      </c>
      <c r="B100">
        <v>3073265414</v>
      </c>
      <c r="C100">
        <v>1200</v>
      </c>
      <c r="D100" t="s">
        <v>325</v>
      </c>
      <c r="E100" t="s">
        <v>125</v>
      </c>
      <c r="F100" t="s">
        <v>31</v>
      </c>
      <c r="G100" t="s">
        <v>46</v>
      </c>
      <c r="H100" t="s">
        <v>41</v>
      </c>
      <c r="I100" t="s">
        <v>16</v>
      </c>
      <c r="J100" t="s">
        <v>323</v>
      </c>
    </row>
    <row r="101" spans="1:10">
      <c r="A101" t="s">
        <v>45</v>
      </c>
      <c r="C101">
        <v>1000</v>
      </c>
      <c r="D101" t="s">
        <v>326</v>
      </c>
      <c r="E101" t="s">
        <v>50</v>
      </c>
      <c r="F101" t="s">
        <v>31</v>
      </c>
      <c r="G101" t="s">
        <v>327</v>
      </c>
      <c r="H101" t="s">
        <v>41</v>
      </c>
      <c r="I101" t="s">
        <v>16</v>
      </c>
      <c r="J101" t="s">
        <v>323</v>
      </c>
    </row>
    <row r="102" spans="1:10">
      <c r="A102" t="s">
        <v>328</v>
      </c>
      <c r="B102">
        <v>3332191203</v>
      </c>
      <c r="C102">
        <v>1000</v>
      </c>
      <c r="D102" t="s">
        <v>329</v>
      </c>
      <c r="E102" t="s">
        <v>148</v>
      </c>
      <c r="F102" t="s">
        <v>24</v>
      </c>
      <c r="G102" t="s">
        <v>25</v>
      </c>
      <c r="H102" t="s">
        <v>15</v>
      </c>
      <c r="I102" t="s">
        <v>16</v>
      </c>
      <c r="J102" t="s">
        <v>330</v>
      </c>
    </row>
    <row r="103" spans="1:10">
      <c r="A103" t="s">
        <v>331</v>
      </c>
      <c r="B103">
        <v>3115444842</v>
      </c>
      <c r="C103">
        <v>900</v>
      </c>
      <c r="D103" t="s">
        <v>332</v>
      </c>
      <c r="E103" t="s">
        <v>19</v>
      </c>
      <c r="F103" t="s">
        <v>24</v>
      </c>
      <c r="G103" t="s">
        <v>178</v>
      </c>
      <c r="H103" t="s">
        <v>15</v>
      </c>
      <c r="I103" t="s">
        <v>16</v>
      </c>
      <c r="J103" t="s">
        <v>330</v>
      </c>
    </row>
    <row r="104" spans="1:10">
      <c r="A104" t="s">
        <v>333</v>
      </c>
      <c r="B104">
        <v>3062130357</v>
      </c>
      <c r="C104">
        <v>1450</v>
      </c>
      <c r="D104" t="s">
        <v>334</v>
      </c>
      <c r="E104" t="s">
        <v>50</v>
      </c>
      <c r="F104" t="s">
        <v>24</v>
      </c>
      <c r="G104" t="s">
        <v>231</v>
      </c>
      <c r="H104" t="s">
        <v>15</v>
      </c>
      <c r="I104" t="s">
        <v>16</v>
      </c>
      <c r="J104" t="s">
        <v>330</v>
      </c>
    </row>
    <row r="105" spans="1:10">
      <c r="A105" t="s">
        <v>335</v>
      </c>
      <c r="B105">
        <v>3355127192</v>
      </c>
      <c r="C105">
        <v>1020</v>
      </c>
      <c r="D105" t="s">
        <v>336</v>
      </c>
      <c r="E105" t="s">
        <v>170</v>
      </c>
      <c r="F105" t="s">
        <v>24</v>
      </c>
      <c r="G105" t="s">
        <v>178</v>
      </c>
      <c r="H105" t="s">
        <v>15</v>
      </c>
      <c r="I105" t="s">
        <v>16</v>
      </c>
      <c r="J105" t="s">
        <v>330</v>
      </c>
    </row>
    <row r="106" spans="1:10">
      <c r="A106" t="s">
        <v>337</v>
      </c>
      <c r="B106">
        <v>3047376569</v>
      </c>
      <c r="C106">
        <v>1200</v>
      </c>
      <c r="D106" t="s">
        <v>338</v>
      </c>
      <c r="E106" t="s">
        <v>339</v>
      </c>
      <c r="F106" t="s">
        <v>24</v>
      </c>
      <c r="G106" t="s">
        <v>342</v>
      </c>
      <c r="H106" t="s">
        <v>15</v>
      </c>
      <c r="I106" t="s">
        <v>16</v>
      </c>
      <c r="J106" t="s">
        <v>330</v>
      </c>
    </row>
    <row r="107" spans="1:10">
      <c r="A107" t="s">
        <v>340</v>
      </c>
      <c r="B107">
        <v>3337845133</v>
      </c>
      <c r="C107">
        <v>1260</v>
      </c>
      <c r="D107" t="s">
        <v>341</v>
      </c>
      <c r="E107" t="s">
        <v>148</v>
      </c>
      <c r="F107" t="s">
        <v>31</v>
      </c>
      <c r="G107" t="s">
        <v>228</v>
      </c>
      <c r="H107" t="s">
        <v>15</v>
      </c>
      <c r="I107" t="s">
        <v>16</v>
      </c>
      <c r="J107" t="s">
        <v>330</v>
      </c>
    </row>
    <row r="108" spans="1:10">
      <c r="A108" t="s">
        <v>345</v>
      </c>
      <c r="B108">
        <v>3238106362</v>
      </c>
      <c r="C108">
        <v>900</v>
      </c>
      <c r="D108" t="s">
        <v>346</v>
      </c>
      <c r="E108" t="s">
        <v>347</v>
      </c>
      <c r="F108" t="s">
        <v>24</v>
      </c>
      <c r="G108" t="s">
        <v>343</v>
      </c>
      <c r="H108" t="s">
        <v>15</v>
      </c>
      <c r="I108" t="s">
        <v>16</v>
      </c>
      <c r="J108" t="s">
        <v>330</v>
      </c>
    </row>
    <row r="109" spans="1:10">
      <c r="A109" t="s">
        <v>344</v>
      </c>
      <c r="B109">
        <v>3315359798</v>
      </c>
      <c r="C109">
        <v>1100</v>
      </c>
      <c r="D109" t="s">
        <v>349</v>
      </c>
      <c r="E109" t="s">
        <v>23</v>
      </c>
      <c r="F109" t="s">
        <v>31</v>
      </c>
      <c r="G109" t="s">
        <v>348</v>
      </c>
      <c r="H109" t="s">
        <v>15</v>
      </c>
      <c r="I109" t="s">
        <v>16</v>
      </c>
      <c r="J109" t="s">
        <v>330</v>
      </c>
    </row>
    <row r="110" spans="1:10">
      <c r="A110" t="s">
        <v>350</v>
      </c>
      <c r="B110">
        <v>3052651435</v>
      </c>
      <c r="C110">
        <v>2000</v>
      </c>
      <c r="D110" t="s">
        <v>351</v>
      </c>
      <c r="E110" t="s">
        <v>50</v>
      </c>
      <c r="F110" t="s">
        <v>352</v>
      </c>
      <c r="G110" t="s">
        <v>353</v>
      </c>
      <c r="H110" t="s">
        <v>41</v>
      </c>
      <c r="I110" t="s">
        <v>16</v>
      </c>
      <c r="J110" t="s">
        <v>354</v>
      </c>
    </row>
    <row r="111" spans="1:10">
      <c r="A111" t="s">
        <v>355</v>
      </c>
      <c r="B111">
        <v>3341664164</v>
      </c>
      <c r="C111">
        <v>1450</v>
      </c>
      <c r="D111" t="s">
        <v>356</v>
      </c>
      <c r="E111" t="s">
        <v>50</v>
      </c>
      <c r="F111" t="s">
        <v>31</v>
      </c>
      <c r="G111" t="s">
        <v>357</v>
      </c>
      <c r="H111" t="s">
        <v>41</v>
      </c>
      <c r="I111" t="s">
        <v>16</v>
      </c>
      <c r="J111" t="s">
        <v>354</v>
      </c>
    </row>
    <row r="112" spans="1:10">
      <c r="A112" t="s">
        <v>358</v>
      </c>
      <c r="B112">
        <v>3335573787</v>
      </c>
      <c r="C112">
        <v>1350</v>
      </c>
      <c r="D112" t="s">
        <v>359</v>
      </c>
      <c r="E112" t="s">
        <v>12</v>
      </c>
      <c r="F112" t="s">
        <v>24</v>
      </c>
      <c r="G112" t="s">
        <v>360</v>
      </c>
      <c r="H112" t="s">
        <v>41</v>
      </c>
      <c r="I112" t="s">
        <v>16</v>
      </c>
      <c r="J112" t="s">
        <v>354</v>
      </c>
    </row>
    <row r="113" spans="1:10">
      <c r="A113" t="s">
        <v>361</v>
      </c>
      <c r="B113">
        <v>3008274645</v>
      </c>
      <c r="C113">
        <v>1000</v>
      </c>
      <c r="D113" t="s">
        <v>362</v>
      </c>
      <c r="E113" t="s">
        <v>50</v>
      </c>
      <c r="F113" t="s">
        <v>352</v>
      </c>
      <c r="G113" t="s">
        <v>363</v>
      </c>
      <c r="H113" t="s">
        <v>41</v>
      </c>
      <c r="I113" t="s">
        <v>16</v>
      </c>
      <c r="J113" t="s">
        <v>354</v>
      </c>
    </row>
    <row r="114" spans="1:10">
      <c r="A114" t="s">
        <v>364</v>
      </c>
      <c r="B114">
        <v>3333263266</v>
      </c>
      <c r="C114">
        <v>1150</v>
      </c>
      <c r="D114" t="s">
        <v>365</v>
      </c>
      <c r="E114" t="s">
        <v>50</v>
      </c>
      <c r="F114" t="s">
        <v>31</v>
      </c>
      <c r="G114" t="s">
        <v>366</v>
      </c>
      <c r="H114" t="s">
        <v>15</v>
      </c>
      <c r="I114" t="s">
        <v>16</v>
      </c>
      <c r="J114" t="s">
        <v>354</v>
      </c>
    </row>
    <row r="115" spans="1:10">
      <c r="A115" t="s">
        <v>367</v>
      </c>
      <c r="B115">
        <v>3148001545</v>
      </c>
      <c r="C115">
        <v>1350</v>
      </c>
      <c r="D115" t="s">
        <v>368</v>
      </c>
      <c r="E115" t="s">
        <v>50</v>
      </c>
      <c r="F115" t="s">
        <v>24</v>
      </c>
      <c r="G115" t="s">
        <v>360</v>
      </c>
      <c r="H115" t="s">
        <v>41</v>
      </c>
      <c r="I115" t="s">
        <v>16</v>
      </c>
      <c r="J115" t="s">
        <v>354</v>
      </c>
    </row>
    <row r="116" spans="1:10">
      <c r="A116" t="s">
        <v>369</v>
      </c>
      <c r="B116">
        <v>3003664225</v>
      </c>
      <c r="C116">
        <v>1400</v>
      </c>
      <c r="D116" t="s">
        <v>370</v>
      </c>
      <c r="E116" t="s">
        <v>50</v>
      </c>
      <c r="F116" t="s">
        <v>31</v>
      </c>
      <c r="G116" t="s">
        <v>46</v>
      </c>
      <c r="H116" t="s">
        <v>41</v>
      </c>
      <c r="I116" t="s">
        <v>16</v>
      </c>
      <c r="J116" t="s">
        <v>371</v>
      </c>
    </row>
    <row r="117" spans="1:10">
      <c r="A117" t="s">
        <v>374</v>
      </c>
      <c r="B117">
        <v>3222788979</v>
      </c>
      <c r="C117">
        <v>1400</v>
      </c>
      <c r="D117" t="s">
        <v>373</v>
      </c>
      <c r="E117" t="s">
        <v>50</v>
      </c>
      <c r="F117" t="s">
        <v>13</v>
      </c>
      <c r="G117" t="s">
        <v>372</v>
      </c>
      <c r="H117" t="s">
        <v>41</v>
      </c>
      <c r="I117" t="s">
        <v>16</v>
      </c>
      <c r="J117" t="s">
        <v>371</v>
      </c>
    </row>
    <row r="118" spans="1:10">
      <c r="A118" t="s">
        <v>375</v>
      </c>
      <c r="B118">
        <v>3458645481</v>
      </c>
      <c r="C118">
        <v>2250</v>
      </c>
      <c r="D118" t="s">
        <v>376</v>
      </c>
      <c r="E118" t="s">
        <v>377</v>
      </c>
      <c r="F118" t="s">
        <v>378</v>
      </c>
      <c r="G118" t="s">
        <v>224</v>
      </c>
      <c r="H118" t="s">
        <v>15</v>
      </c>
      <c r="I118" t="s">
        <v>16</v>
      </c>
      <c r="J118" t="s">
        <v>371</v>
      </c>
    </row>
    <row r="119" spans="1:10">
      <c r="A119" t="s">
        <v>379</v>
      </c>
      <c r="B119">
        <v>3334556734</v>
      </c>
      <c r="C119">
        <v>1450</v>
      </c>
      <c r="D119" t="s">
        <v>380</v>
      </c>
      <c r="E119" t="s">
        <v>23</v>
      </c>
      <c r="F119" t="s">
        <v>31</v>
      </c>
      <c r="G119" t="s">
        <v>46</v>
      </c>
      <c r="H119" t="s">
        <v>41</v>
      </c>
      <c r="I119" t="s">
        <v>16</v>
      </c>
      <c r="J119" t="s">
        <v>371</v>
      </c>
    </row>
    <row r="120" spans="1:10">
      <c r="A120" t="s">
        <v>381</v>
      </c>
      <c r="B120">
        <v>3346854512</v>
      </c>
      <c r="C120">
        <v>1220</v>
      </c>
      <c r="D120" t="s">
        <v>382</v>
      </c>
      <c r="E120" t="s">
        <v>272</v>
      </c>
      <c r="F120" t="s">
        <v>13</v>
      </c>
      <c r="G120" t="s">
        <v>94</v>
      </c>
      <c r="H120" t="s">
        <v>15</v>
      </c>
      <c r="I120" t="s">
        <v>16</v>
      </c>
      <c r="J120" t="s">
        <v>371</v>
      </c>
    </row>
    <row r="121" spans="1:10">
      <c r="A121" t="s">
        <v>383</v>
      </c>
      <c r="B121">
        <v>3332949188</v>
      </c>
      <c r="C121">
        <v>1020</v>
      </c>
      <c r="D121" t="s">
        <v>384</v>
      </c>
      <c r="E121" t="s">
        <v>385</v>
      </c>
      <c r="F121" t="s">
        <v>24</v>
      </c>
      <c r="G121" t="s">
        <v>388</v>
      </c>
      <c r="H121" t="s">
        <v>15</v>
      </c>
      <c r="I121" t="s">
        <v>16</v>
      </c>
      <c r="J121" t="s">
        <v>371</v>
      </c>
    </row>
    <row r="122" spans="1:10">
      <c r="A122" t="s">
        <v>386</v>
      </c>
      <c r="B122">
        <v>3008037786</v>
      </c>
      <c r="C122">
        <v>1120</v>
      </c>
      <c r="D122" t="s">
        <v>387</v>
      </c>
      <c r="E122" t="s">
        <v>23</v>
      </c>
      <c r="F122" t="s">
        <v>13</v>
      </c>
      <c r="G122" t="s">
        <v>372</v>
      </c>
      <c r="H122" t="s">
        <v>15</v>
      </c>
      <c r="I122" t="s">
        <v>16</v>
      </c>
      <c r="J122" t="s">
        <v>371</v>
      </c>
    </row>
    <row r="123" spans="1:10">
      <c r="A123" t="s">
        <v>389</v>
      </c>
      <c r="B123">
        <v>3434940982</v>
      </c>
      <c r="C123">
        <v>600</v>
      </c>
      <c r="D123" t="s">
        <v>390</v>
      </c>
      <c r="E123" t="s">
        <v>23</v>
      </c>
      <c r="F123" t="s">
        <v>24</v>
      </c>
      <c r="G123" t="s">
        <v>90</v>
      </c>
      <c r="H123" t="s">
        <v>15</v>
      </c>
      <c r="I123" t="s">
        <v>16</v>
      </c>
      <c r="J123" s="38">
        <v>42046</v>
      </c>
    </row>
    <row r="124" spans="1:10">
      <c r="A124" t="s">
        <v>251</v>
      </c>
      <c r="B124">
        <v>3465317632</v>
      </c>
      <c r="C124">
        <v>1300</v>
      </c>
      <c r="D124" t="s">
        <v>391</v>
      </c>
      <c r="E124" t="s">
        <v>19</v>
      </c>
      <c r="F124" t="s">
        <v>31</v>
      </c>
      <c r="G124" t="s">
        <v>392</v>
      </c>
      <c r="H124" t="s">
        <v>41</v>
      </c>
      <c r="I124" t="s">
        <v>16</v>
      </c>
      <c r="J124" s="38">
        <v>42046</v>
      </c>
    </row>
    <row r="125" spans="1:10">
      <c r="A125" t="s">
        <v>393</v>
      </c>
      <c r="B125">
        <v>3321461107</v>
      </c>
      <c r="C125">
        <v>1400</v>
      </c>
      <c r="D125" t="s">
        <v>394</v>
      </c>
      <c r="E125" t="s">
        <v>23</v>
      </c>
      <c r="F125" t="s">
        <v>31</v>
      </c>
      <c r="G125" t="s">
        <v>395</v>
      </c>
      <c r="H125" t="s">
        <v>41</v>
      </c>
      <c r="I125" t="s">
        <v>16</v>
      </c>
      <c r="J125" s="38">
        <v>42046</v>
      </c>
    </row>
    <row r="126" spans="1:10">
      <c r="A126" t="s">
        <v>396</v>
      </c>
      <c r="B126">
        <v>3429150025</v>
      </c>
      <c r="C126">
        <v>700</v>
      </c>
      <c r="D126" t="s">
        <v>397</v>
      </c>
      <c r="E126" t="s">
        <v>35</v>
      </c>
      <c r="F126" t="s">
        <v>31</v>
      </c>
      <c r="G126" t="s">
        <v>398</v>
      </c>
      <c r="H126" t="s">
        <v>41</v>
      </c>
      <c r="I126" t="s">
        <v>16</v>
      </c>
      <c r="J126" s="38">
        <v>42046</v>
      </c>
    </row>
    <row r="127" spans="1:10">
      <c r="A127" t="s">
        <v>399</v>
      </c>
      <c r="B127">
        <v>3008359466</v>
      </c>
      <c r="C127">
        <v>1500</v>
      </c>
      <c r="D127" t="s">
        <v>400</v>
      </c>
      <c r="E127" t="s">
        <v>401</v>
      </c>
      <c r="F127" t="s">
        <v>31</v>
      </c>
      <c r="G127" t="s">
        <v>402</v>
      </c>
      <c r="H127" t="s">
        <v>41</v>
      </c>
      <c r="I127" t="s">
        <v>16</v>
      </c>
      <c r="J127" s="38">
        <v>42046</v>
      </c>
    </row>
    <row r="128" spans="1:10">
      <c r="A128" t="s">
        <v>403</v>
      </c>
      <c r="B128">
        <v>3405195710</v>
      </c>
      <c r="C128">
        <v>850</v>
      </c>
      <c r="D128" t="s">
        <v>404</v>
      </c>
      <c r="E128" t="s">
        <v>12</v>
      </c>
      <c r="F128" t="s">
        <v>31</v>
      </c>
      <c r="G128" t="s">
        <v>405</v>
      </c>
      <c r="H128" t="s">
        <v>15</v>
      </c>
      <c r="I128" t="s">
        <v>16</v>
      </c>
      <c r="J128" s="38">
        <v>42046</v>
      </c>
    </row>
    <row r="129" spans="1:10">
      <c r="A129" t="s">
        <v>809</v>
      </c>
      <c r="B129">
        <v>3218739739</v>
      </c>
      <c r="C129">
        <v>1000</v>
      </c>
      <c r="D129" t="s">
        <v>810</v>
      </c>
      <c r="E129" t="s">
        <v>23</v>
      </c>
      <c r="F129" t="s">
        <v>24</v>
      </c>
      <c r="G129" t="s">
        <v>420</v>
      </c>
      <c r="H129" t="s">
        <v>15</v>
      </c>
      <c r="I129" t="s">
        <v>16</v>
      </c>
      <c r="J129" s="38">
        <v>42106</v>
      </c>
    </row>
    <row r="130" spans="1:10">
      <c r="A130" t="s">
        <v>407</v>
      </c>
      <c r="B130">
        <v>3342275717</v>
      </c>
      <c r="C130">
        <v>1150</v>
      </c>
      <c r="D130" t="s">
        <v>409</v>
      </c>
      <c r="E130" t="s">
        <v>50</v>
      </c>
      <c r="F130" t="s">
        <v>31</v>
      </c>
      <c r="G130" t="s">
        <v>46</v>
      </c>
      <c r="H130" t="s">
        <v>15</v>
      </c>
      <c r="I130" t="s">
        <v>16</v>
      </c>
      <c r="J130" s="38">
        <v>42046</v>
      </c>
    </row>
    <row r="131" spans="1:10">
      <c r="A131" t="s">
        <v>410</v>
      </c>
      <c r="C131">
        <v>2000</v>
      </c>
      <c r="D131" t="s">
        <v>411</v>
      </c>
      <c r="E131" t="s">
        <v>23</v>
      </c>
      <c r="F131" t="s">
        <v>24</v>
      </c>
      <c r="G131" t="s">
        <v>412</v>
      </c>
      <c r="H131" t="s">
        <v>413</v>
      </c>
      <c r="I131" t="s">
        <v>16</v>
      </c>
      <c r="J131" s="38">
        <v>42046</v>
      </c>
    </row>
    <row r="132" spans="1:10">
      <c r="A132" t="s">
        <v>414</v>
      </c>
      <c r="B132">
        <v>3452260945</v>
      </c>
      <c r="C132">
        <v>2150</v>
      </c>
      <c r="D132" t="s">
        <v>415</v>
      </c>
      <c r="E132" t="s">
        <v>50</v>
      </c>
      <c r="F132" t="s">
        <v>24</v>
      </c>
      <c r="G132" t="s">
        <v>416</v>
      </c>
      <c r="H132" t="s">
        <v>41</v>
      </c>
      <c r="I132" t="s">
        <v>16</v>
      </c>
      <c r="J132" s="38">
        <v>42074</v>
      </c>
    </row>
    <row r="133" spans="1:10">
      <c r="A133" t="s">
        <v>417</v>
      </c>
      <c r="B133">
        <v>3109980080</v>
      </c>
      <c r="C133">
        <v>1050</v>
      </c>
      <c r="D133" t="s">
        <v>418</v>
      </c>
      <c r="E133" t="s">
        <v>419</v>
      </c>
      <c r="F133" t="s">
        <v>24</v>
      </c>
      <c r="G133" t="s">
        <v>420</v>
      </c>
      <c r="H133" t="s">
        <v>15</v>
      </c>
      <c r="I133" t="s">
        <v>16</v>
      </c>
      <c r="J133" s="38">
        <v>42074</v>
      </c>
    </row>
    <row r="134" spans="1:10" ht="165">
      <c r="A134" t="s">
        <v>421</v>
      </c>
      <c r="B134">
        <v>3064208400</v>
      </c>
      <c r="C134">
        <v>1050</v>
      </c>
      <c r="D134" s="51" t="s">
        <v>422</v>
      </c>
      <c r="E134" t="s">
        <v>23</v>
      </c>
      <c r="F134" t="s">
        <v>24</v>
      </c>
      <c r="G134" t="s">
        <v>260</v>
      </c>
      <c r="H134" t="s">
        <v>15</v>
      </c>
      <c r="I134" t="s">
        <v>16</v>
      </c>
      <c r="J134" s="38">
        <v>42074</v>
      </c>
    </row>
    <row r="135" spans="1:10">
      <c r="A135" t="s">
        <v>807</v>
      </c>
      <c r="B135">
        <v>3007699957</v>
      </c>
      <c r="C135">
        <v>1200</v>
      </c>
      <c r="D135" t="s">
        <v>808</v>
      </c>
      <c r="E135" t="s">
        <v>174</v>
      </c>
      <c r="F135" t="s">
        <v>515</v>
      </c>
      <c r="G135" t="s">
        <v>594</v>
      </c>
      <c r="H135" t="s">
        <v>15</v>
      </c>
      <c r="I135" t="s">
        <v>16</v>
      </c>
      <c r="J135" s="38">
        <v>42106</v>
      </c>
    </row>
    <row r="136" spans="1:10">
      <c r="A136" t="s">
        <v>426</v>
      </c>
      <c r="B136">
        <v>3487699561</v>
      </c>
      <c r="C136">
        <v>1550</v>
      </c>
      <c r="D136" t="s">
        <v>425</v>
      </c>
      <c r="E136" t="s">
        <v>129</v>
      </c>
      <c r="F136" t="s">
        <v>24</v>
      </c>
      <c r="G136" t="s">
        <v>145</v>
      </c>
      <c r="H136" t="s">
        <v>15</v>
      </c>
      <c r="I136" t="s">
        <v>16</v>
      </c>
      <c r="J136" s="38">
        <v>42105</v>
      </c>
    </row>
    <row r="137" spans="1:10">
      <c r="A137" t="s">
        <v>427</v>
      </c>
      <c r="B137">
        <v>3013345679</v>
      </c>
      <c r="C137">
        <v>1380</v>
      </c>
      <c r="D137" t="s">
        <v>428</v>
      </c>
      <c r="E137" t="s">
        <v>50</v>
      </c>
      <c r="F137" t="s">
        <v>31</v>
      </c>
      <c r="G137" t="s">
        <v>429</v>
      </c>
      <c r="H137" t="s">
        <v>15</v>
      </c>
      <c r="I137" t="s">
        <v>16</v>
      </c>
      <c r="J137" s="38">
        <v>42135</v>
      </c>
    </row>
    <row r="138" spans="1:10">
      <c r="A138" t="s">
        <v>430</v>
      </c>
      <c r="B138">
        <v>3343501747</v>
      </c>
      <c r="C138">
        <v>1070</v>
      </c>
      <c r="D138" t="s">
        <v>431</v>
      </c>
      <c r="E138" t="s">
        <v>50</v>
      </c>
      <c r="F138" t="s">
        <v>31</v>
      </c>
      <c r="G138" t="s">
        <v>432</v>
      </c>
      <c r="H138" t="s">
        <v>15</v>
      </c>
      <c r="I138" t="s">
        <v>16</v>
      </c>
      <c r="J138" s="38">
        <v>42135</v>
      </c>
    </row>
    <row r="139" spans="1:10">
      <c r="A139" t="s">
        <v>1454</v>
      </c>
      <c r="B139">
        <v>3452820133</v>
      </c>
      <c r="C139">
        <v>1100</v>
      </c>
      <c r="D139" t="s">
        <v>433</v>
      </c>
      <c r="E139" t="s">
        <v>50</v>
      </c>
      <c r="F139" t="s">
        <v>24</v>
      </c>
      <c r="G139" t="s">
        <v>100</v>
      </c>
      <c r="H139" t="s">
        <v>15</v>
      </c>
      <c r="I139" t="s">
        <v>16</v>
      </c>
      <c r="J139" s="38">
        <v>42135</v>
      </c>
    </row>
    <row r="140" spans="1:10">
      <c r="A140" t="s">
        <v>434</v>
      </c>
      <c r="B140">
        <v>3024784064</v>
      </c>
      <c r="C140">
        <v>1220</v>
      </c>
      <c r="D140" t="s">
        <v>435</v>
      </c>
      <c r="E140" t="s">
        <v>23</v>
      </c>
      <c r="F140" t="s">
        <v>13</v>
      </c>
      <c r="G140" t="s">
        <v>94</v>
      </c>
      <c r="H140" t="s">
        <v>15</v>
      </c>
      <c r="I140" t="s">
        <v>16</v>
      </c>
      <c r="J140" s="38">
        <v>42135</v>
      </c>
    </row>
    <row r="141" spans="1:10">
      <c r="A141" t="s">
        <v>436</v>
      </c>
      <c r="B141">
        <v>3004710338</v>
      </c>
      <c r="C141">
        <v>1170</v>
      </c>
      <c r="D141" t="s">
        <v>437</v>
      </c>
      <c r="E141" t="s">
        <v>23</v>
      </c>
      <c r="F141" t="s">
        <v>31</v>
      </c>
      <c r="G141" t="s">
        <v>46</v>
      </c>
      <c r="H141" t="s">
        <v>15</v>
      </c>
      <c r="I141" t="s">
        <v>16</v>
      </c>
      <c r="J141" s="38">
        <v>42135</v>
      </c>
    </row>
    <row r="142" spans="1:10">
      <c r="A142" t="s">
        <v>803</v>
      </c>
      <c r="B142">
        <v>3035735688</v>
      </c>
      <c r="C142">
        <v>950</v>
      </c>
      <c r="D142" t="s">
        <v>804</v>
      </c>
      <c r="E142" t="s">
        <v>19</v>
      </c>
      <c r="F142" t="s">
        <v>31</v>
      </c>
      <c r="G142" t="s">
        <v>557</v>
      </c>
      <c r="H142" t="s">
        <v>15</v>
      </c>
      <c r="I142" t="s">
        <v>16</v>
      </c>
      <c r="J142" s="38">
        <v>42106</v>
      </c>
    </row>
    <row r="143" spans="1:10">
      <c r="A143" t="s">
        <v>440</v>
      </c>
      <c r="B143">
        <v>3448009788</v>
      </c>
      <c r="C143">
        <v>1000</v>
      </c>
      <c r="D143" t="s">
        <v>441</v>
      </c>
      <c r="E143" t="s">
        <v>148</v>
      </c>
      <c r="F143" t="s">
        <v>24</v>
      </c>
      <c r="G143" t="s">
        <v>442</v>
      </c>
      <c r="H143" t="s">
        <v>15</v>
      </c>
      <c r="I143" t="s">
        <v>16</v>
      </c>
      <c r="J143" s="38">
        <v>42196</v>
      </c>
    </row>
    <row r="144" spans="1:10">
      <c r="A144" t="s">
        <v>443</v>
      </c>
      <c r="B144" t="s">
        <v>445</v>
      </c>
      <c r="C144">
        <v>1250</v>
      </c>
      <c r="D144" t="s">
        <v>444</v>
      </c>
      <c r="E144" t="s">
        <v>19</v>
      </c>
      <c r="F144" t="s">
        <v>24</v>
      </c>
      <c r="G144" t="s">
        <v>446</v>
      </c>
      <c r="H144" t="s">
        <v>15</v>
      </c>
      <c r="I144" t="s">
        <v>16</v>
      </c>
      <c r="J144" s="38">
        <v>42196</v>
      </c>
    </row>
    <row r="145" spans="1:10">
      <c r="A145" t="s">
        <v>447</v>
      </c>
      <c r="B145">
        <v>3016620720</v>
      </c>
      <c r="C145">
        <v>800</v>
      </c>
      <c r="D145" t="s">
        <v>448</v>
      </c>
      <c r="E145" t="s">
        <v>19</v>
      </c>
      <c r="F145" t="s">
        <v>24</v>
      </c>
      <c r="G145" t="s">
        <v>318</v>
      </c>
      <c r="H145" t="s">
        <v>15</v>
      </c>
      <c r="I145" t="s">
        <v>16</v>
      </c>
      <c r="J145" s="38">
        <v>42196</v>
      </c>
    </row>
    <row r="146" spans="1:10">
      <c r="A146" t="s">
        <v>449</v>
      </c>
      <c r="B146">
        <v>3435000168</v>
      </c>
      <c r="C146">
        <v>1000</v>
      </c>
      <c r="D146" t="s">
        <v>450</v>
      </c>
      <c r="E146" t="s">
        <v>23</v>
      </c>
      <c r="F146" t="s">
        <v>24</v>
      </c>
      <c r="G146" t="s">
        <v>420</v>
      </c>
      <c r="H146" t="s">
        <v>15</v>
      </c>
      <c r="I146" t="s">
        <v>16</v>
      </c>
      <c r="J146" s="38">
        <v>42196</v>
      </c>
    </row>
    <row r="147" spans="1:10">
      <c r="A147" t="s">
        <v>451</v>
      </c>
      <c r="B147">
        <v>3334707299</v>
      </c>
      <c r="C147">
        <v>1140</v>
      </c>
      <c r="D147" t="s">
        <v>452</v>
      </c>
      <c r="E147" t="s">
        <v>453</v>
      </c>
      <c r="F147" t="s">
        <v>31</v>
      </c>
      <c r="G147" t="s">
        <v>454</v>
      </c>
      <c r="H147" t="s">
        <v>15</v>
      </c>
      <c r="I147" t="s">
        <v>16</v>
      </c>
      <c r="J147" s="38">
        <v>42196</v>
      </c>
    </row>
    <row r="148" spans="1:10">
      <c r="A148" t="s">
        <v>456</v>
      </c>
      <c r="B148" t="s">
        <v>456</v>
      </c>
      <c r="C148">
        <v>1300</v>
      </c>
      <c r="D148" t="s">
        <v>456</v>
      </c>
      <c r="E148" t="s">
        <v>50</v>
      </c>
      <c r="F148" t="s">
        <v>31</v>
      </c>
      <c r="G148" t="s">
        <v>455</v>
      </c>
      <c r="H148" t="s">
        <v>41</v>
      </c>
      <c r="I148" t="s">
        <v>16</v>
      </c>
      <c r="J148" s="38">
        <v>42196</v>
      </c>
    </row>
    <row r="149" spans="1:10">
      <c r="A149" t="s">
        <v>499</v>
      </c>
      <c r="B149">
        <v>3464161233</v>
      </c>
      <c r="C149">
        <v>1000</v>
      </c>
      <c r="D149" t="s">
        <v>500</v>
      </c>
      <c r="E149" t="s">
        <v>23</v>
      </c>
      <c r="F149" t="s">
        <v>24</v>
      </c>
      <c r="G149" t="s">
        <v>420</v>
      </c>
      <c r="H149" t="s">
        <v>15</v>
      </c>
      <c r="I149" t="s">
        <v>16</v>
      </c>
      <c r="J149" s="38">
        <v>42258</v>
      </c>
    </row>
    <row r="150" spans="1:10">
      <c r="A150" t="s">
        <v>457</v>
      </c>
      <c r="B150">
        <v>3223345939</v>
      </c>
      <c r="C150">
        <v>1230</v>
      </c>
      <c r="D150" t="s">
        <v>458</v>
      </c>
      <c r="E150" t="s">
        <v>50</v>
      </c>
      <c r="F150" t="s">
        <v>24</v>
      </c>
      <c r="G150" t="s">
        <v>446</v>
      </c>
      <c r="H150" t="s">
        <v>15</v>
      </c>
      <c r="I150" t="s">
        <v>16</v>
      </c>
      <c r="J150" s="38">
        <v>42258</v>
      </c>
    </row>
    <row r="151" spans="1:10">
      <c r="A151" t="s">
        <v>460</v>
      </c>
      <c r="B151">
        <v>3327925644</v>
      </c>
      <c r="C151">
        <v>1150</v>
      </c>
      <c r="D151" t="s">
        <v>459</v>
      </c>
      <c r="E151" t="s">
        <v>50</v>
      </c>
      <c r="F151" t="s">
        <v>31</v>
      </c>
      <c r="G151" t="s">
        <v>46</v>
      </c>
      <c r="H151" t="s">
        <v>15</v>
      </c>
      <c r="I151" t="s">
        <v>16</v>
      </c>
      <c r="J151" s="38">
        <v>42258</v>
      </c>
    </row>
    <row r="152" spans="1:10">
      <c r="A152" t="s">
        <v>461</v>
      </c>
      <c r="B152">
        <v>3453053894</v>
      </c>
      <c r="C152">
        <v>1120</v>
      </c>
      <c r="D152" t="s">
        <v>462</v>
      </c>
      <c r="E152" t="s">
        <v>50</v>
      </c>
      <c r="F152" t="s">
        <v>31</v>
      </c>
      <c r="G152" t="s">
        <v>46</v>
      </c>
      <c r="H152" t="s">
        <v>15</v>
      </c>
      <c r="I152" t="s">
        <v>16</v>
      </c>
      <c r="J152" s="38">
        <v>42258</v>
      </c>
    </row>
    <row r="153" spans="1:10">
      <c r="A153" t="s">
        <v>463</v>
      </c>
      <c r="B153" t="s">
        <v>463</v>
      </c>
      <c r="C153">
        <v>1500</v>
      </c>
      <c r="D153" t="s">
        <v>464</v>
      </c>
      <c r="E153" t="s">
        <v>50</v>
      </c>
      <c r="F153" t="s">
        <v>31</v>
      </c>
      <c r="G153" t="s">
        <v>213</v>
      </c>
      <c r="H153" t="s">
        <v>41</v>
      </c>
      <c r="I153" t="s">
        <v>16</v>
      </c>
      <c r="J153" s="38">
        <v>42258</v>
      </c>
    </row>
    <row r="154" spans="1:10">
      <c r="A154" t="s">
        <v>465</v>
      </c>
      <c r="B154">
        <v>3332831141</v>
      </c>
      <c r="C154">
        <v>950</v>
      </c>
      <c r="D154" t="s">
        <v>466</v>
      </c>
      <c r="E154" t="s">
        <v>50</v>
      </c>
      <c r="F154" t="s">
        <v>24</v>
      </c>
      <c r="G154" t="s">
        <v>420</v>
      </c>
      <c r="H154" t="s">
        <v>15</v>
      </c>
      <c r="I154" t="s">
        <v>16</v>
      </c>
      <c r="J154" s="38">
        <v>42258</v>
      </c>
    </row>
    <row r="155" spans="1:10">
      <c r="A155" t="s">
        <v>800</v>
      </c>
      <c r="B155">
        <v>3454687068</v>
      </c>
      <c r="C155">
        <v>1120</v>
      </c>
      <c r="D155" t="s">
        <v>801</v>
      </c>
      <c r="E155" t="s">
        <v>23</v>
      </c>
      <c r="F155" t="s">
        <v>24</v>
      </c>
      <c r="G155" t="s">
        <v>802</v>
      </c>
      <c r="H155" t="s">
        <v>15</v>
      </c>
      <c r="I155" t="s">
        <v>16</v>
      </c>
      <c r="J155" s="38">
        <v>42106</v>
      </c>
    </row>
    <row r="156" spans="1:10">
      <c r="A156" t="s">
        <v>470</v>
      </c>
      <c r="B156">
        <v>3357731777</v>
      </c>
      <c r="C156">
        <v>1100</v>
      </c>
      <c r="D156" t="s">
        <v>471</v>
      </c>
      <c r="E156" t="s">
        <v>19</v>
      </c>
      <c r="F156" t="s">
        <v>31</v>
      </c>
      <c r="G156" t="s">
        <v>454</v>
      </c>
      <c r="H156" t="s">
        <v>15</v>
      </c>
      <c r="I156" t="s">
        <v>16</v>
      </c>
      <c r="J156" s="38">
        <v>42258</v>
      </c>
    </row>
    <row r="157" spans="1:10">
      <c r="A157" t="s">
        <v>798</v>
      </c>
      <c r="B157">
        <v>3008144988</v>
      </c>
      <c r="C157">
        <v>950</v>
      </c>
      <c r="D157" t="s">
        <v>799</v>
      </c>
      <c r="E157" t="s">
        <v>23</v>
      </c>
      <c r="F157" t="s">
        <v>31</v>
      </c>
      <c r="G157" t="s">
        <v>557</v>
      </c>
      <c r="H157" t="s">
        <v>15</v>
      </c>
      <c r="I157" t="s">
        <v>16</v>
      </c>
      <c r="J157" s="38">
        <v>42106</v>
      </c>
    </row>
    <row r="158" spans="1:10">
      <c r="A158" t="s">
        <v>475</v>
      </c>
      <c r="B158">
        <v>3126969609</v>
      </c>
      <c r="C158">
        <v>1000</v>
      </c>
      <c r="D158" t="s">
        <v>476</v>
      </c>
      <c r="E158" t="s">
        <v>12</v>
      </c>
      <c r="F158" t="s">
        <v>24</v>
      </c>
      <c r="G158" t="s">
        <v>420</v>
      </c>
      <c r="H158" t="s">
        <v>15</v>
      </c>
      <c r="I158" t="s">
        <v>16</v>
      </c>
      <c r="J158" s="38">
        <v>42258</v>
      </c>
    </row>
    <row r="159" spans="1:10">
      <c r="A159" t="s">
        <v>477</v>
      </c>
      <c r="B159">
        <v>3449385746</v>
      </c>
      <c r="C159">
        <v>1300</v>
      </c>
      <c r="D159" t="s">
        <v>478</v>
      </c>
      <c r="E159" t="s">
        <v>170</v>
      </c>
      <c r="F159" t="s">
        <v>31</v>
      </c>
      <c r="G159" t="s">
        <v>455</v>
      </c>
      <c r="H159" t="s">
        <v>15</v>
      </c>
      <c r="I159" t="s">
        <v>16</v>
      </c>
      <c r="J159" s="38">
        <v>42258</v>
      </c>
    </row>
    <row r="160" spans="1:10">
      <c r="A160" t="s">
        <v>479</v>
      </c>
      <c r="B160">
        <v>3335559707</v>
      </c>
      <c r="C160">
        <v>1120</v>
      </c>
      <c r="D160" t="s">
        <v>480</v>
      </c>
      <c r="E160" t="s">
        <v>12</v>
      </c>
      <c r="F160" t="s">
        <v>24</v>
      </c>
      <c r="G160" t="s">
        <v>100</v>
      </c>
      <c r="H160" t="s">
        <v>15</v>
      </c>
      <c r="I160" t="s">
        <v>16</v>
      </c>
      <c r="J160" s="38">
        <v>42258</v>
      </c>
    </row>
    <row r="161" spans="1:10">
      <c r="A161" t="s">
        <v>481</v>
      </c>
      <c r="B161">
        <v>3430100223</v>
      </c>
      <c r="C161">
        <v>1050</v>
      </c>
      <c r="D161" t="s">
        <v>482</v>
      </c>
      <c r="E161" t="s">
        <v>23</v>
      </c>
      <c r="F161" t="s">
        <v>31</v>
      </c>
      <c r="G161" t="s">
        <v>495</v>
      </c>
      <c r="H161" t="s">
        <v>15</v>
      </c>
      <c r="I161" t="s">
        <v>16</v>
      </c>
      <c r="J161" s="38">
        <v>42258</v>
      </c>
    </row>
    <row r="162" spans="1:10">
      <c r="A162" t="s">
        <v>483</v>
      </c>
      <c r="B162">
        <v>3030972411</v>
      </c>
      <c r="C162">
        <v>1450</v>
      </c>
      <c r="D162" t="s">
        <v>484</v>
      </c>
      <c r="E162" t="s">
        <v>485</v>
      </c>
      <c r="F162" t="s">
        <v>31</v>
      </c>
      <c r="G162" t="s">
        <v>486</v>
      </c>
      <c r="H162" t="s">
        <v>41</v>
      </c>
      <c r="I162" t="s">
        <v>16</v>
      </c>
      <c r="J162" s="38">
        <v>42258</v>
      </c>
    </row>
    <row r="163" spans="1:10">
      <c r="A163" t="s">
        <v>487</v>
      </c>
      <c r="B163">
        <v>3333666960</v>
      </c>
      <c r="C163">
        <v>5150</v>
      </c>
      <c r="D163" t="s">
        <v>488</v>
      </c>
      <c r="E163" t="s">
        <v>50</v>
      </c>
      <c r="F163" t="s">
        <v>31</v>
      </c>
      <c r="G163" t="s">
        <v>489</v>
      </c>
      <c r="H163" t="s">
        <v>41</v>
      </c>
      <c r="I163" t="s">
        <v>16</v>
      </c>
      <c r="J163" s="38">
        <v>42258</v>
      </c>
    </row>
    <row r="164" spans="1:10">
      <c r="A164" t="s">
        <v>796</v>
      </c>
      <c r="B164">
        <v>3435282919</v>
      </c>
      <c r="C164">
        <v>1500</v>
      </c>
      <c r="D164" t="s">
        <v>797</v>
      </c>
      <c r="E164" t="s">
        <v>125</v>
      </c>
      <c r="F164" t="s">
        <v>31</v>
      </c>
      <c r="G164" t="s">
        <v>795</v>
      </c>
      <c r="H164" t="s">
        <v>41</v>
      </c>
      <c r="I164" t="s">
        <v>16</v>
      </c>
      <c r="J164" s="38">
        <v>42106</v>
      </c>
    </row>
    <row r="165" spans="1:10">
      <c r="A165" t="s">
        <v>492</v>
      </c>
      <c r="B165">
        <v>3334512471</v>
      </c>
      <c r="C165">
        <v>2900</v>
      </c>
      <c r="D165" t="s">
        <v>494</v>
      </c>
      <c r="E165" t="s">
        <v>23</v>
      </c>
      <c r="F165" t="s">
        <v>31</v>
      </c>
      <c r="G165" t="s">
        <v>493</v>
      </c>
      <c r="H165" t="s">
        <v>41</v>
      </c>
      <c r="I165" t="s">
        <v>16</v>
      </c>
      <c r="J165" s="38">
        <v>42319</v>
      </c>
    </row>
    <row r="166" spans="1:10">
      <c r="A166" t="s">
        <v>496</v>
      </c>
      <c r="B166">
        <v>3314645434</v>
      </c>
      <c r="C166">
        <v>4000</v>
      </c>
      <c r="D166" t="s">
        <v>497</v>
      </c>
      <c r="E166" t="s">
        <v>23</v>
      </c>
      <c r="F166" t="s">
        <v>24</v>
      </c>
      <c r="G166" t="s">
        <v>498</v>
      </c>
      <c r="H166" t="s">
        <v>15</v>
      </c>
      <c r="I166" t="s">
        <v>16</v>
      </c>
      <c r="J166" s="38">
        <v>42319</v>
      </c>
    </row>
    <row r="167" spans="1:10">
      <c r="A167" t="s">
        <v>501</v>
      </c>
      <c r="B167">
        <v>3242984905</v>
      </c>
      <c r="C167">
        <v>650</v>
      </c>
      <c r="D167" t="s">
        <v>502</v>
      </c>
      <c r="E167" t="s">
        <v>50</v>
      </c>
      <c r="F167" t="s">
        <v>31</v>
      </c>
      <c r="G167" t="s">
        <v>529</v>
      </c>
      <c r="H167" t="s">
        <v>41</v>
      </c>
      <c r="I167" t="s">
        <v>16</v>
      </c>
      <c r="J167" s="38">
        <v>42319</v>
      </c>
    </row>
    <row r="168" spans="1:10">
      <c r="A168" t="s">
        <v>503</v>
      </c>
      <c r="B168">
        <v>3461283211</v>
      </c>
      <c r="C168">
        <v>1300</v>
      </c>
      <c r="D168" t="s">
        <v>504</v>
      </c>
      <c r="E168" t="s">
        <v>50</v>
      </c>
      <c r="F168" t="s">
        <v>24</v>
      </c>
      <c r="G168" t="s">
        <v>420</v>
      </c>
      <c r="H168" t="s">
        <v>41</v>
      </c>
      <c r="I168" t="s">
        <v>16</v>
      </c>
      <c r="J168" s="38">
        <v>42319</v>
      </c>
    </row>
    <row r="169" spans="1:10">
      <c r="A169" t="s">
        <v>507</v>
      </c>
      <c r="B169">
        <v>3432998344</v>
      </c>
      <c r="C169">
        <v>1600</v>
      </c>
      <c r="D169" t="s">
        <v>511</v>
      </c>
      <c r="E169" t="s">
        <v>50</v>
      </c>
      <c r="F169" t="s">
        <v>24</v>
      </c>
      <c r="G169" t="s">
        <v>506</v>
      </c>
      <c r="H169" t="s">
        <v>41</v>
      </c>
      <c r="I169" t="s">
        <v>16</v>
      </c>
      <c r="J169" t="s">
        <v>505</v>
      </c>
    </row>
    <row r="170" spans="1:10">
      <c r="A170" t="s">
        <v>508</v>
      </c>
      <c r="B170">
        <v>3216442684</v>
      </c>
      <c r="C170">
        <v>1290</v>
      </c>
      <c r="D170" t="s">
        <v>509</v>
      </c>
      <c r="E170" t="s">
        <v>30</v>
      </c>
      <c r="F170" t="s">
        <v>24</v>
      </c>
      <c r="G170" t="s">
        <v>303</v>
      </c>
      <c r="H170" t="s">
        <v>15</v>
      </c>
      <c r="I170" t="s">
        <v>16</v>
      </c>
      <c r="J170" t="s">
        <v>505</v>
      </c>
    </row>
    <row r="171" spans="1:10">
      <c r="A171" t="s">
        <v>510</v>
      </c>
      <c r="B171">
        <v>3315050582</v>
      </c>
      <c r="C171">
        <v>850</v>
      </c>
      <c r="D171" t="s">
        <v>587</v>
      </c>
      <c r="E171" t="s">
        <v>12</v>
      </c>
      <c r="F171" t="s">
        <v>31</v>
      </c>
      <c r="G171" t="s">
        <v>512</v>
      </c>
      <c r="H171" t="s">
        <v>15</v>
      </c>
      <c r="I171" t="s">
        <v>16</v>
      </c>
      <c r="J171" t="s">
        <v>505</v>
      </c>
    </row>
    <row r="172" spans="1:10">
      <c r="A172" t="s">
        <v>513</v>
      </c>
      <c r="B172">
        <v>3454882587</v>
      </c>
      <c r="C172">
        <v>2200</v>
      </c>
      <c r="D172" t="s">
        <v>514</v>
      </c>
      <c r="E172" t="s">
        <v>148</v>
      </c>
      <c r="F172" t="s">
        <v>515</v>
      </c>
      <c r="G172" t="s">
        <v>516</v>
      </c>
      <c r="H172" t="s">
        <v>41</v>
      </c>
      <c r="I172" t="s">
        <v>16</v>
      </c>
      <c r="J172" t="s">
        <v>505</v>
      </c>
    </row>
    <row r="173" spans="1:10">
      <c r="A173" t="s">
        <v>517</v>
      </c>
      <c r="B173">
        <v>3218387575</v>
      </c>
      <c r="C173">
        <v>1500</v>
      </c>
      <c r="D173" t="s">
        <v>518</v>
      </c>
      <c r="E173" t="s">
        <v>23</v>
      </c>
      <c r="F173" t="s">
        <v>31</v>
      </c>
      <c r="G173" t="s">
        <v>213</v>
      </c>
      <c r="H173" t="s">
        <v>41</v>
      </c>
      <c r="I173" t="s">
        <v>16</v>
      </c>
      <c r="J173" t="s">
        <v>505</v>
      </c>
    </row>
    <row r="174" spans="1:10">
      <c r="A174" t="s">
        <v>519</v>
      </c>
      <c r="B174">
        <v>3333334358</v>
      </c>
      <c r="C174">
        <v>1020</v>
      </c>
      <c r="D174" t="s">
        <v>520</v>
      </c>
      <c r="E174" t="s">
        <v>474</v>
      </c>
      <c r="F174" t="s">
        <v>24</v>
      </c>
      <c r="G174" t="s">
        <v>420</v>
      </c>
      <c r="H174" t="s">
        <v>15</v>
      </c>
      <c r="I174" t="s">
        <v>16</v>
      </c>
      <c r="J174" t="s">
        <v>505</v>
      </c>
    </row>
    <row r="175" spans="1:10">
      <c r="A175" t="s">
        <v>521</v>
      </c>
      <c r="B175">
        <v>3212401473</v>
      </c>
      <c r="C175">
        <v>1000</v>
      </c>
      <c r="D175" t="s">
        <v>522</v>
      </c>
      <c r="E175" t="s">
        <v>50</v>
      </c>
      <c r="F175" t="s">
        <v>133</v>
      </c>
      <c r="G175" t="s">
        <v>134</v>
      </c>
      <c r="H175" t="s">
        <v>41</v>
      </c>
      <c r="I175" t="s">
        <v>16</v>
      </c>
      <c r="J175" t="s">
        <v>505</v>
      </c>
    </row>
    <row r="176" spans="1:10">
      <c r="A176" t="s">
        <v>523</v>
      </c>
      <c r="B176">
        <v>3152613344</v>
      </c>
      <c r="C176">
        <v>1050</v>
      </c>
      <c r="D176" t="s">
        <v>524</v>
      </c>
      <c r="E176" t="s">
        <v>50</v>
      </c>
      <c r="F176" t="s">
        <v>133</v>
      </c>
      <c r="G176" t="s">
        <v>134</v>
      </c>
      <c r="H176" t="s">
        <v>15</v>
      </c>
      <c r="I176" t="s">
        <v>16</v>
      </c>
      <c r="J176" t="s">
        <v>505</v>
      </c>
    </row>
    <row r="177" spans="1:10">
      <c r="A177" t="s">
        <v>525</v>
      </c>
      <c r="B177">
        <v>3248259757</v>
      </c>
      <c r="C177">
        <v>1120</v>
      </c>
      <c r="D177" t="s">
        <v>526</v>
      </c>
      <c r="E177" t="s">
        <v>50</v>
      </c>
      <c r="F177" t="s">
        <v>31</v>
      </c>
      <c r="G177" t="s">
        <v>46</v>
      </c>
      <c r="H177" t="s">
        <v>15</v>
      </c>
      <c r="I177" t="s">
        <v>16</v>
      </c>
      <c r="J177" t="s">
        <v>505</v>
      </c>
    </row>
    <row r="178" spans="1:10">
      <c r="A178" t="s">
        <v>527</v>
      </c>
      <c r="B178">
        <v>3472820633</v>
      </c>
      <c r="C178">
        <v>1080</v>
      </c>
      <c r="D178" t="s">
        <v>528</v>
      </c>
      <c r="E178" t="s">
        <v>50</v>
      </c>
      <c r="F178" t="s">
        <v>31</v>
      </c>
      <c r="G178" t="s">
        <v>454</v>
      </c>
      <c r="H178" t="s">
        <v>15</v>
      </c>
      <c r="I178" t="s">
        <v>16</v>
      </c>
      <c r="J178" t="s">
        <v>505</v>
      </c>
    </row>
    <row r="179" spans="1:10">
      <c r="A179" t="s">
        <v>530</v>
      </c>
      <c r="B179">
        <v>3318012874</v>
      </c>
      <c r="C179">
        <v>1220</v>
      </c>
      <c r="D179" t="s">
        <v>531</v>
      </c>
      <c r="E179" t="s">
        <v>201</v>
      </c>
      <c r="F179" t="s">
        <v>31</v>
      </c>
      <c r="G179" t="s">
        <v>94</v>
      </c>
      <c r="H179" t="s">
        <v>15</v>
      </c>
      <c r="I179" t="s">
        <v>16</v>
      </c>
      <c r="J179" t="s">
        <v>532</v>
      </c>
    </row>
    <row r="180" spans="1:10">
      <c r="A180" t="s">
        <v>533</v>
      </c>
      <c r="B180">
        <v>3126853922</v>
      </c>
      <c r="C180">
        <v>1500</v>
      </c>
      <c r="D180" t="s">
        <v>534</v>
      </c>
      <c r="E180" t="s">
        <v>535</v>
      </c>
      <c r="F180" t="s">
        <v>31</v>
      </c>
      <c r="G180" t="s">
        <v>536</v>
      </c>
      <c r="H180" t="s">
        <v>41</v>
      </c>
      <c r="I180" t="s">
        <v>16</v>
      </c>
      <c r="J180" t="s">
        <v>532</v>
      </c>
    </row>
    <row r="181" spans="1:10">
      <c r="A181" t="s">
        <v>537</v>
      </c>
      <c r="B181">
        <v>3338427273</v>
      </c>
      <c r="C181">
        <v>850</v>
      </c>
      <c r="D181" t="s">
        <v>538</v>
      </c>
      <c r="E181" t="s">
        <v>539</v>
      </c>
      <c r="F181" t="s">
        <v>24</v>
      </c>
      <c r="G181" t="s">
        <v>318</v>
      </c>
      <c r="H181" t="s">
        <v>15</v>
      </c>
      <c r="I181" t="s">
        <v>16</v>
      </c>
      <c r="J181" t="s">
        <v>532</v>
      </c>
    </row>
    <row r="182" spans="1:10">
      <c r="A182" t="s">
        <v>540</v>
      </c>
      <c r="B182">
        <v>3331238966</v>
      </c>
      <c r="C182">
        <v>1290</v>
      </c>
      <c r="D182" t="s">
        <v>541</v>
      </c>
      <c r="E182" t="s">
        <v>272</v>
      </c>
      <c r="F182" t="s">
        <v>24</v>
      </c>
      <c r="G182" t="s">
        <v>446</v>
      </c>
      <c r="H182" t="s">
        <v>15</v>
      </c>
      <c r="I182" t="s">
        <v>16</v>
      </c>
      <c r="J182" t="s">
        <v>532</v>
      </c>
    </row>
    <row r="183" spans="1:10">
      <c r="A183" t="s">
        <v>543</v>
      </c>
      <c r="B183">
        <v>3002114818</v>
      </c>
      <c r="C183">
        <v>660</v>
      </c>
      <c r="D183" t="s">
        <v>544</v>
      </c>
      <c r="E183" t="s">
        <v>50</v>
      </c>
      <c r="F183" t="s">
        <v>24</v>
      </c>
      <c r="G183" t="s">
        <v>259</v>
      </c>
      <c r="H183" t="s">
        <v>15</v>
      </c>
      <c r="I183" t="s">
        <v>16</v>
      </c>
      <c r="J183" t="s">
        <v>532</v>
      </c>
    </row>
    <row r="184" spans="1:10">
      <c r="A184" t="s">
        <v>545</v>
      </c>
      <c r="B184">
        <v>3152838664</v>
      </c>
      <c r="C184">
        <v>800</v>
      </c>
      <c r="D184" t="s">
        <v>546</v>
      </c>
      <c r="E184" t="s">
        <v>50</v>
      </c>
      <c r="F184" t="s">
        <v>24</v>
      </c>
      <c r="G184" t="s">
        <v>318</v>
      </c>
      <c r="H184" t="s">
        <v>15</v>
      </c>
      <c r="I184" t="s">
        <v>16</v>
      </c>
      <c r="J184" t="s">
        <v>532</v>
      </c>
    </row>
    <row r="185" spans="1:10">
      <c r="A185" t="s">
        <v>547</v>
      </c>
      <c r="B185">
        <v>3321663774</v>
      </c>
      <c r="C185">
        <v>850</v>
      </c>
      <c r="D185" t="s">
        <v>548</v>
      </c>
      <c r="E185" t="s">
        <v>57</v>
      </c>
      <c r="F185" t="s">
        <v>24</v>
      </c>
      <c r="G185" t="s">
        <v>318</v>
      </c>
      <c r="H185" t="s">
        <v>15</v>
      </c>
      <c r="I185" t="s">
        <v>16</v>
      </c>
      <c r="J185" t="s">
        <v>532</v>
      </c>
    </row>
    <row r="186" spans="1:10">
      <c r="A186" t="s">
        <v>551</v>
      </c>
      <c r="B186">
        <v>3003730465</v>
      </c>
      <c r="C186">
        <v>1700</v>
      </c>
      <c r="D186" t="s">
        <v>549</v>
      </c>
      <c r="E186" t="s">
        <v>550</v>
      </c>
      <c r="F186" t="s">
        <v>31</v>
      </c>
      <c r="G186" t="s">
        <v>372</v>
      </c>
      <c r="H186" t="s">
        <v>41</v>
      </c>
      <c r="I186" t="s">
        <v>16</v>
      </c>
      <c r="J186" t="s">
        <v>532</v>
      </c>
    </row>
    <row r="187" spans="1:10">
      <c r="A187" t="s">
        <v>554</v>
      </c>
      <c r="B187">
        <v>3120580010</v>
      </c>
      <c r="C187">
        <v>550</v>
      </c>
      <c r="D187" t="s">
        <v>552</v>
      </c>
      <c r="E187" t="s">
        <v>50</v>
      </c>
      <c r="F187" t="s">
        <v>31</v>
      </c>
      <c r="G187" t="s">
        <v>553</v>
      </c>
      <c r="H187" t="s">
        <v>41</v>
      </c>
      <c r="I187" t="s">
        <v>16</v>
      </c>
      <c r="J187" t="s">
        <v>532</v>
      </c>
    </row>
    <row r="188" spans="1:10">
      <c r="A188" t="s">
        <v>555</v>
      </c>
      <c r="B188">
        <v>3458335737</v>
      </c>
      <c r="C188">
        <v>900</v>
      </c>
      <c r="D188" t="s">
        <v>556</v>
      </c>
      <c r="E188" t="s">
        <v>148</v>
      </c>
      <c r="F188" t="s">
        <v>31</v>
      </c>
      <c r="G188" t="s">
        <v>557</v>
      </c>
      <c r="H188" t="s">
        <v>15</v>
      </c>
      <c r="I188" t="s">
        <v>16</v>
      </c>
      <c r="J188" t="s">
        <v>558</v>
      </c>
    </row>
    <row r="189" spans="1:10">
      <c r="A189" t="s">
        <v>559</v>
      </c>
      <c r="B189">
        <v>3205355678</v>
      </c>
      <c r="C189">
        <v>1000</v>
      </c>
      <c r="D189" t="s">
        <v>560</v>
      </c>
      <c r="E189" t="s">
        <v>50</v>
      </c>
      <c r="F189" t="s">
        <v>24</v>
      </c>
      <c r="G189" t="s">
        <v>420</v>
      </c>
      <c r="H189" t="s">
        <v>15</v>
      </c>
      <c r="I189" t="s">
        <v>16</v>
      </c>
      <c r="J189" t="s">
        <v>558</v>
      </c>
    </row>
    <row r="190" spans="1:10">
      <c r="A190" t="s">
        <v>561</v>
      </c>
      <c r="B190">
        <v>3002023010</v>
      </c>
      <c r="C190">
        <v>620</v>
      </c>
      <c r="D190" t="s">
        <v>562</v>
      </c>
      <c r="E190" t="s">
        <v>19</v>
      </c>
      <c r="F190" t="s">
        <v>31</v>
      </c>
      <c r="G190" t="s">
        <v>563</v>
      </c>
      <c r="H190" t="s">
        <v>15</v>
      </c>
      <c r="I190" t="s">
        <v>16</v>
      </c>
      <c r="J190" t="s">
        <v>558</v>
      </c>
    </row>
    <row r="191" spans="1:10">
      <c r="A191" t="s">
        <v>564</v>
      </c>
      <c r="B191">
        <v>3000914867</v>
      </c>
      <c r="C191">
        <v>1460</v>
      </c>
      <c r="D191" t="s">
        <v>565</v>
      </c>
      <c r="E191" t="s">
        <v>35</v>
      </c>
      <c r="F191" t="s">
        <v>31</v>
      </c>
      <c r="G191" t="s">
        <v>231</v>
      </c>
      <c r="H191" t="s">
        <v>15</v>
      </c>
      <c r="I191" t="s">
        <v>16</v>
      </c>
      <c r="J191" t="s">
        <v>558</v>
      </c>
    </row>
    <row r="192" spans="1:10">
      <c r="A192" t="s">
        <v>566</v>
      </c>
      <c r="B192">
        <v>3333277749</v>
      </c>
      <c r="C192">
        <v>800</v>
      </c>
      <c r="D192" t="s">
        <v>567</v>
      </c>
      <c r="E192" t="s">
        <v>50</v>
      </c>
      <c r="F192" t="s">
        <v>24</v>
      </c>
      <c r="G192" t="s">
        <v>318</v>
      </c>
      <c r="H192" t="s">
        <v>15</v>
      </c>
      <c r="I192" t="s">
        <v>16</v>
      </c>
      <c r="J192" t="s">
        <v>558</v>
      </c>
    </row>
    <row r="193" spans="1:10">
      <c r="A193" t="s">
        <v>568</v>
      </c>
      <c r="B193">
        <v>3083241726</v>
      </c>
      <c r="C193">
        <v>1500</v>
      </c>
      <c r="D193" t="s">
        <v>569</v>
      </c>
      <c r="E193" t="s">
        <v>125</v>
      </c>
      <c r="F193" t="s">
        <v>515</v>
      </c>
      <c r="G193" t="s">
        <v>575</v>
      </c>
      <c r="H193" t="s">
        <v>41</v>
      </c>
      <c r="I193" t="s">
        <v>16</v>
      </c>
      <c r="J193" t="s">
        <v>558</v>
      </c>
    </row>
    <row r="194" spans="1:10">
      <c r="A194" t="s">
        <v>570</v>
      </c>
      <c r="B194">
        <v>3012302366</v>
      </c>
      <c r="C194">
        <v>1070</v>
      </c>
      <c r="D194" t="s">
        <v>571</v>
      </c>
      <c r="E194" t="s">
        <v>19</v>
      </c>
      <c r="F194" t="s">
        <v>515</v>
      </c>
      <c r="G194" t="s">
        <v>594</v>
      </c>
      <c r="H194" t="s">
        <v>15</v>
      </c>
      <c r="I194" t="s">
        <v>16</v>
      </c>
      <c r="J194" t="s">
        <v>572</v>
      </c>
    </row>
    <row r="195" spans="1:10">
      <c r="A195" t="s">
        <v>573</v>
      </c>
      <c r="B195">
        <v>3339738004</v>
      </c>
      <c r="C195">
        <v>870</v>
      </c>
      <c r="D195" t="s">
        <v>574</v>
      </c>
      <c r="E195" t="s">
        <v>419</v>
      </c>
      <c r="F195" t="s">
        <v>24</v>
      </c>
      <c r="G195" t="s">
        <v>318</v>
      </c>
      <c r="H195" t="s">
        <v>15</v>
      </c>
      <c r="I195" t="s">
        <v>16</v>
      </c>
      <c r="J195" t="s">
        <v>572</v>
      </c>
    </row>
    <row r="196" spans="1:10">
      <c r="A196" t="s">
        <v>576</v>
      </c>
      <c r="B196">
        <v>3334504878</v>
      </c>
      <c r="C196">
        <v>1170</v>
      </c>
      <c r="D196" t="s">
        <v>577</v>
      </c>
      <c r="E196" t="s">
        <v>23</v>
      </c>
      <c r="F196" t="s">
        <v>31</v>
      </c>
      <c r="G196" t="s">
        <v>46</v>
      </c>
      <c r="H196" t="s">
        <v>15</v>
      </c>
      <c r="I196" t="s">
        <v>16</v>
      </c>
      <c r="J196" t="s">
        <v>572</v>
      </c>
    </row>
    <row r="197" spans="1:10">
      <c r="A197" t="s">
        <v>578</v>
      </c>
      <c r="B197">
        <v>3452944853</v>
      </c>
      <c r="C197">
        <v>1150</v>
      </c>
      <c r="D197" t="s">
        <v>579</v>
      </c>
      <c r="E197" t="s">
        <v>50</v>
      </c>
      <c r="F197" t="s">
        <v>31</v>
      </c>
      <c r="G197" t="s">
        <v>46</v>
      </c>
      <c r="H197" t="s">
        <v>15</v>
      </c>
      <c r="I197" t="s">
        <v>16</v>
      </c>
      <c r="J197" t="s">
        <v>572</v>
      </c>
    </row>
    <row r="198" spans="1:10">
      <c r="A198" t="s">
        <v>580</v>
      </c>
      <c r="B198" t="s">
        <v>581</v>
      </c>
      <c r="C198">
        <v>2900</v>
      </c>
      <c r="D198" t="s">
        <v>582</v>
      </c>
      <c r="E198" t="s">
        <v>12</v>
      </c>
      <c r="F198" t="s">
        <v>31</v>
      </c>
      <c r="G198" t="s">
        <v>583</v>
      </c>
      <c r="H198" t="s">
        <v>41</v>
      </c>
      <c r="I198" t="s">
        <v>16</v>
      </c>
      <c r="J198" t="s">
        <v>572</v>
      </c>
    </row>
    <row r="199" spans="1:10">
      <c r="A199" t="s">
        <v>584</v>
      </c>
      <c r="B199">
        <v>3136015944</v>
      </c>
      <c r="C199">
        <v>1800</v>
      </c>
      <c r="D199" t="s">
        <v>585</v>
      </c>
      <c r="E199" t="s">
        <v>339</v>
      </c>
      <c r="F199" t="s">
        <v>24</v>
      </c>
      <c r="G199" t="s">
        <v>586</v>
      </c>
      <c r="H199" t="s">
        <v>41</v>
      </c>
      <c r="I199" t="s">
        <v>16</v>
      </c>
      <c r="J199" t="s">
        <v>572</v>
      </c>
    </row>
    <row r="200" spans="1:10">
      <c r="A200" t="s">
        <v>588</v>
      </c>
      <c r="B200">
        <v>3455161120</v>
      </c>
      <c r="C200">
        <v>1000</v>
      </c>
      <c r="D200" t="s">
        <v>589</v>
      </c>
      <c r="E200" t="s">
        <v>19</v>
      </c>
      <c r="F200" t="s">
        <v>24</v>
      </c>
      <c r="G200" t="s">
        <v>318</v>
      </c>
      <c r="H200" t="s">
        <v>41</v>
      </c>
      <c r="I200" t="s">
        <v>16</v>
      </c>
      <c r="J200" t="s">
        <v>590</v>
      </c>
    </row>
    <row r="201" spans="1:10">
      <c r="A201" t="s">
        <v>591</v>
      </c>
      <c r="B201">
        <v>3003648233</v>
      </c>
      <c r="C201">
        <v>1220</v>
      </c>
      <c r="D201" t="s">
        <v>592</v>
      </c>
      <c r="E201" t="s">
        <v>593</v>
      </c>
      <c r="F201" t="s">
        <v>31</v>
      </c>
      <c r="G201" t="s">
        <v>94</v>
      </c>
      <c r="H201" t="s">
        <v>15</v>
      </c>
      <c r="I201" t="s">
        <v>16</v>
      </c>
      <c r="J201" t="s">
        <v>590</v>
      </c>
    </row>
    <row r="202" spans="1:10">
      <c r="A202" t="s">
        <v>595</v>
      </c>
      <c r="B202">
        <v>3365188073</v>
      </c>
      <c r="C202">
        <v>1220</v>
      </c>
      <c r="D202" t="s">
        <v>596</v>
      </c>
      <c r="E202" t="s">
        <v>76</v>
      </c>
      <c r="F202" t="s">
        <v>24</v>
      </c>
      <c r="G202" t="s">
        <v>94</v>
      </c>
      <c r="H202" t="s">
        <v>15</v>
      </c>
      <c r="I202" t="s">
        <v>16</v>
      </c>
      <c r="J202" t="s">
        <v>590</v>
      </c>
    </row>
    <row r="203" spans="1:10">
      <c r="A203" t="s">
        <v>597</v>
      </c>
      <c r="B203">
        <v>3406041445</v>
      </c>
      <c r="C203">
        <v>1300</v>
      </c>
      <c r="D203" t="s">
        <v>598</v>
      </c>
      <c r="E203" t="s">
        <v>600</v>
      </c>
      <c r="F203" t="s">
        <v>31</v>
      </c>
      <c r="G203" t="s">
        <v>599</v>
      </c>
      <c r="H203" t="s">
        <v>41</v>
      </c>
      <c r="I203" t="s">
        <v>16</v>
      </c>
      <c r="J203" t="s">
        <v>590</v>
      </c>
    </row>
    <row r="204" spans="1:10">
      <c r="A204" t="s">
        <v>601</v>
      </c>
      <c r="B204">
        <v>3062452564</v>
      </c>
      <c r="C204">
        <v>1150</v>
      </c>
      <c r="D204" t="s">
        <v>602</v>
      </c>
      <c r="E204" t="s">
        <v>50</v>
      </c>
      <c r="F204" t="s">
        <v>31</v>
      </c>
      <c r="G204" t="s">
        <v>46</v>
      </c>
      <c r="H204" t="s">
        <v>15</v>
      </c>
      <c r="I204" t="s">
        <v>16</v>
      </c>
      <c r="J204" t="s">
        <v>590</v>
      </c>
    </row>
    <row r="205" spans="1:10">
      <c r="A205" t="s">
        <v>603</v>
      </c>
      <c r="B205">
        <v>3323056946</v>
      </c>
      <c r="C205">
        <v>1080</v>
      </c>
      <c r="D205" t="s">
        <v>604</v>
      </c>
      <c r="E205" t="s">
        <v>50</v>
      </c>
      <c r="F205" t="s">
        <v>31</v>
      </c>
      <c r="G205" t="s">
        <v>348</v>
      </c>
      <c r="H205" t="s">
        <v>15</v>
      </c>
      <c r="I205" t="s">
        <v>16</v>
      </c>
      <c r="J205" t="s">
        <v>590</v>
      </c>
    </row>
    <row r="206" spans="1:10">
      <c r="A206" t="s">
        <v>605</v>
      </c>
      <c r="B206">
        <v>3032966289</v>
      </c>
      <c r="C206">
        <v>810</v>
      </c>
      <c r="D206" t="s">
        <v>606</v>
      </c>
      <c r="E206" t="s">
        <v>50</v>
      </c>
      <c r="F206" t="s">
        <v>24</v>
      </c>
      <c r="G206" t="s">
        <v>318</v>
      </c>
      <c r="H206" t="s">
        <v>15</v>
      </c>
      <c r="I206" t="s">
        <v>16</v>
      </c>
      <c r="J206" t="s">
        <v>590</v>
      </c>
    </row>
    <row r="207" spans="1:10">
      <c r="A207" t="s">
        <v>607</v>
      </c>
      <c r="B207">
        <v>3340079332</v>
      </c>
      <c r="C207">
        <v>1000</v>
      </c>
      <c r="D207" t="s">
        <v>608</v>
      </c>
      <c r="E207" t="s">
        <v>19</v>
      </c>
      <c r="F207" t="s">
        <v>24</v>
      </c>
      <c r="G207" t="s">
        <v>420</v>
      </c>
      <c r="H207" t="s">
        <v>15</v>
      </c>
      <c r="I207" t="s">
        <v>16</v>
      </c>
      <c r="J207" t="s">
        <v>590</v>
      </c>
    </row>
    <row r="208" spans="1:10">
      <c r="A208" t="s">
        <v>609</v>
      </c>
      <c r="B208">
        <v>3234143885</v>
      </c>
      <c r="C208">
        <v>1170</v>
      </c>
      <c r="D208" t="s">
        <v>610</v>
      </c>
      <c r="E208" t="s">
        <v>23</v>
      </c>
      <c r="F208" t="s">
        <v>31</v>
      </c>
      <c r="G208" t="s">
        <v>46</v>
      </c>
      <c r="H208" t="s">
        <v>15</v>
      </c>
      <c r="I208" t="s">
        <v>16</v>
      </c>
      <c r="J208" t="s">
        <v>590</v>
      </c>
    </row>
    <row r="209" spans="1:10">
      <c r="A209" t="s">
        <v>611</v>
      </c>
      <c r="B209">
        <v>3105054377</v>
      </c>
      <c r="C209">
        <v>1000</v>
      </c>
      <c r="D209" t="s">
        <v>612</v>
      </c>
      <c r="E209" t="s">
        <v>12</v>
      </c>
      <c r="F209" t="s">
        <v>31</v>
      </c>
      <c r="G209" t="s">
        <v>557</v>
      </c>
      <c r="H209" t="s">
        <v>15</v>
      </c>
      <c r="I209" t="s">
        <v>16</v>
      </c>
      <c r="J209" t="s">
        <v>590</v>
      </c>
    </row>
    <row r="210" spans="1:10">
      <c r="A210" t="s">
        <v>613</v>
      </c>
      <c r="B210">
        <v>3076302425</v>
      </c>
      <c r="C210">
        <v>950</v>
      </c>
      <c r="D210" t="s">
        <v>614</v>
      </c>
      <c r="E210" t="s">
        <v>35</v>
      </c>
      <c r="F210" t="s">
        <v>31</v>
      </c>
      <c r="G210" t="s">
        <v>557</v>
      </c>
      <c r="H210" t="s">
        <v>15</v>
      </c>
      <c r="I210" t="s">
        <v>16</v>
      </c>
      <c r="J210" t="s">
        <v>590</v>
      </c>
    </row>
    <row r="211" spans="1:10">
      <c r="A211" t="s">
        <v>615</v>
      </c>
      <c r="B211">
        <v>3152022232</v>
      </c>
      <c r="C211">
        <v>1230</v>
      </c>
      <c r="D211" t="s">
        <v>616</v>
      </c>
      <c r="E211" t="s">
        <v>50</v>
      </c>
      <c r="F211" t="s">
        <v>24</v>
      </c>
      <c r="G211" t="s">
        <v>446</v>
      </c>
      <c r="H211" t="s">
        <v>15</v>
      </c>
      <c r="I211" t="s">
        <v>16</v>
      </c>
      <c r="J211" t="s">
        <v>590</v>
      </c>
    </row>
    <row r="212" spans="1:10">
      <c r="A212" t="s">
        <v>619</v>
      </c>
      <c r="B212">
        <v>3036126022</v>
      </c>
      <c r="C212">
        <v>2900</v>
      </c>
      <c r="D212" t="s">
        <v>617</v>
      </c>
      <c r="E212" t="s">
        <v>50</v>
      </c>
      <c r="F212" t="s">
        <v>24</v>
      </c>
      <c r="G212" t="s">
        <v>618</v>
      </c>
      <c r="H212" t="s">
        <v>41</v>
      </c>
      <c r="I212" t="s">
        <v>16</v>
      </c>
      <c r="J212" t="s">
        <v>590</v>
      </c>
    </row>
    <row r="213" spans="1:10">
      <c r="A213" t="s">
        <v>620</v>
      </c>
      <c r="B213">
        <v>3323117901</v>
      </c>
      <c r="C213">
        <v>1280</v>
      </c>
      <c r="D213" t="s">
        <v>621</v>
      </c>
      <c r="E213" t="s">
        <v>50</v>
      </c>
      <c r="F213" t="s">
        <v>24</v>
      </c>
      <c r="G213" t="s">
        <v>622</v>
      </c>
      <c r="H213" t="s">
        <v>15</v>
      </c>
      <c r="I213" t="s">
        <v>16</v>
      </c>
      <c r="J213" t="s">
        <v>590</v>
      </c>
    </row>
    <row r="214" spans="1:10">
      <c r="A214" t="s">
        <v>793</v>
      </c>
      <c r="B214">
        <v>3331294639</v>
      </c>
      <c r="C214">
        <v>1500</v>
      </c>
      <c r="D214" t="s">
        <v>794</v>
      </c>
      <c r="E214" t="s">
        <v>125</v>
      </c>
      <c r="F214" t="s">
        <v>515</v>
      </c>
      <c r="G214" t="s">
        <v>632</v>
      </c>
      <c r="H214" t="s">
        <v>41</v>
      </c>
      <c r="I214" t="s">
        <v>16</v>
      </c>
      <c r="J214" s="38">
        <v>42106</v>
      </c>
    </row>
    <row r="215" spans="1:10">
      <c r="A215" t="s">
        <v>568</v>
      </c>
      <c r="B215">
        <v>3083241726</v>
      </c>
      <c r="C215">
        <v>1500</v>
      </c>
      <c r="D215" t="s">
        <v>569</v>
      </c>
      <c r="E215" t="s">
        <v>125</v>
      </c>
      <c r="F215" t="s">
        <v>515</v>
      </c>
      <c r="G215" t="s">
        <v>575</v>
      </c>
      <c r="H215" t="s">
        <v>41</v>
      </c>
      <c r="I215" t="s">
        <v>16</v>
      </c>
      <c r="J215" t="s">
        <v>626</v>
      </c>
    </row>
    <row r="216" spans="1:10">
      <c r="A216" t="s">
        <v>627</v>
      </c>
      <c r="B216">
        <v>3075124714</v>
      </c>
      <c r="C216">
        <v>1350</v>
      </c>
      <c r="D216" t="s">
        <v>628</v>
      </c>
      <c r="E216" t="s">
        <v>629</v>
      </c>
      <c r="F216" t="s">
        <v>31</v>
      </c>
      <c r="G216" t="s">
        <v>633</v>
      </c>
      <c r="H216" t="s">
        <v>41</v>
      </c>
      <c r="I216" t="s">
        <v>16</v>
      </c>
      <c r="J216" t="s">
        <v>626</v>
      </c>
    </row>
    <row r="217" spans="1:10">
      <c r="A217" t="s">
        <v>630</v>
      </c>
      <c r="B217">
        <v>3145452288</v>
      </c>
      <c r="C217">
        <v>1700</v>
      </c>
      <c r="D217" t="s">
        <v>631</v>
      </c>
      <c r="E217" t="s">
        <v>148</v>
      </c>
      <c r="F217" t="s">
        <v>515</v>
      </c>
      <c r="G217" t="s">
        <v>632</v>
      </c>
      <c r="H217" t="s">
        <v>41</v>
      </c>
      <c r="I217" t="s">
        <v>16</v>
      </c>
      <c r="J217" t="s">
        <v>626</v>
      </c>
    </row>
    <row r="218" spans="1:10">
      <c r="A218" t="s">
        <v>634</v>
      </c>
      <c r="B218">
        <v>3337813378</v>
      </c>
      <c r="C218">
        <v>1750</v>
      </c>
      <c r="D218" t="s">
        <v>635</v>
      </c>
      <c r="E218" t="s">
        <v>148</v>
      </c>
      <c r="F218" t="s">
        <v>24</v>
      </c>
      <c r="G218" t="s">
        <v>100</v>
      </c>
      <c r="H218" t="s">
        <v>150</v>
      </c>
      <c r="I218" t="s">
        <v>16</v>
      </c>
      <c r="J218" t="s">
        <v>626</v>
      </c>
    </row>
    <row r="219" spans="1:10">
      <c r="A219" t="s">
        <v>636</v>
      </c>
      <c r="B219">
        <v>3028504782</v>
      </c>
      <c r="C219">
        <v>1020</v>
      </c>
      <c r="D219" t="s">
        <v>637</v>
      </c>
      <c r="E219" t="s">
        <v>638</v>
      </c>
      <c r="F219" t="s">
        <v>24</v>
      </c>
      <c r="G219" t="s">
        <v>420</v>
      </c>
      <c r="H219" t="s">
        <v>15</v>
      </c>
      <c r="I219" t="s">
        <v>16</v>
      </c>
      <c r="J219" t="s">
        <v>626</v>
      </c>
    </row>
    <row r="220" spans="1:10">
      <c r="A220" t="s">
        <v>570</v>
      </c>
      <c r="B220">
        <v>3012302366</v>
      </c>
      <c r="C220">
        <v>800</v>
      </c>
      <c r="D220" t="s">
        <v>571</v>
      </c>
      <c r="E220" t="s">
        <v>19</v>
      </c>
      <c r="F220" t="s">
        <v>515</v>
      </c>
      <c r="G220" t="s">
        <v>594</v>
      </c>
      <c r="H220" t="s">
        <v>15</v>
      </c>
      <c r="I220" t="s">
        <v>16</v>
      </c>
      <c r="J220" t="s">
        <v>639</v>
      </c>
    </row>
    <row r="221" spans="1:10">
      <c r="A221" t="s">
        <v>640</v>
      </c>
      <c r="B221">
        <v>3070767802</v>
      </c>
      <c r="C221">
        <v>870</v>
      </c>
      <c r="D221" t="s">
        <v>641</v>
      </c>
      <c r="E221" t="s">
        <v>272</v>
      </c>
      <c r="F221" t="s">
        <v>24</v>
      </c>
      <c r="G221" t="s">
        <v>318</v>
      </c>
      <c r="H221" t="s">
        <v>15</v>
      </c>
      <c r="I221" t="s">
        <v>16</v>
      </c>
      <c r="J221" t="s">
        <v>639</v>
      </c>
    </row>
    <row r="222" spans="1:10">
      <c r="A222" t="s">
        <v>642</v>
      </c>
      <c r="B222">
        <v>3312485821</v>
      </c>
      <c r="C222">
        <v>1200</v>
      </c>
      <c r="D222" t="s">
        <v>643</v>
      </c>
      <c r="E222" t="s">
        <v>401</v>
      </c>
      <c r="F222" t="s">
        <v>31</v>
      </c>
      <c r="G222" t="s">
        <v>645</v>
      </c>
      <c r="H222" t="s">
        <v>15</v>
      </c>
      <c r="I222" t="s">
        <v>16</v>
      </c>
      <c r="J222" t="s">
        <v>639</v>
      </c>
    </row>
    <row r="223" spans="1:10">
      <c r="A223" t="s">
        <v>646</v>
      </c>
      <c r="B223">
        <v>3475743765</v>
      </c>
      <c r="C223">
        <v>1250</v>
      </c>
      <c r="D223" t="s">
        <v>647</v>
      </c>
      <c r="E223" t="s">
        <v>12</v>
      </c>
      <c r="F223" t="s">
        <v>24</v>
      </c>
      <c r="G223" t="s">
        <v>303</v>
      </c>
      <c r="H223" t="s">
        <v>15</v>
      </c>
      <c r="I223" t="s">
        <v>16</v>
      </c>
      <c r="J223" t="s">
        <v>639</v>
      </c>
    </row>
    <row r="224" spans="1:10">
      <c r="A224" t="s">
        <v>648</v>
      </c>
      <c r="B224">
        <v>3004332031</v>
      </c>
      <c r="C224">
        <v>1250</v>
      </c>
      <c r="D224" t="s">
        <v>649</v>
      </c>
      <c r="E224" t="s">
        <v>23</v>
      </c>
      <c r="F224" t="s">
        <v>24</v>
      </c>
      <c r="G224" t="s">
        <v>303</v>
      </c>
      <c r="H224" t="s">
        <v>15</v>
      </c>
      <c r="I224" t="s">
        <v>16</v>
      </c>
      <c r="J224" t="s">
        <v>639</v>
      </c>
    </row>
    <row r="225" spans="1:10">
      <c r="A225" t="s">
        <v>650</v>
      </c>
      <c r="B225">
        <v>3342677825</v>
      </c>
      <c r="C225">
        <v>1290</v>
      </c>
      <c r="D225" t="s">
        <v>651</v>
      </c>
      <c r="E225" t="s">
        <v>652</v>
      </c>
      <c r="F225" t="s">
        <v>24</v>
      </c>
      <c r="G225" t="s">
        <v>303</v>
      </c>
      <c r="H225" t="s">
        <v>15</v>
      </c>
      <c r="I225" t="s">
        <v>16</v>
      </c>
      <c r="J225" t="s">
        <v>639</v>
      </c>
    </row>
    <row r="226" spans="1:10">
      <c r="A226" t="s">
        <v>653</v>
      </c>
      <c r="B226">
        <v>3363007276</v>
      </c>
      <c r="C226">
        <v>1000</v>
      </c>
      <c r="D226" t="s">
        <v>654</v>
      </c>
      <c r="E226" t="s">
        <v>50</v>
      </c>
      <c r="F226" t="s">
        <v>31</v>
      </c>
      <c r="G226" t="s">
        <v>213</v>
      </c>
      <c r="H226" t="s">
        <v>413</v>
      </c>
      <c r="I226" t="s">
        <v>16</v>
      </c>
      <c r="J226" t="s">
        <v>655</v>
      </c>
    </row>
    <row r="227" spans="1:10">
      <c r="A227" t="s">
        <v>658</v>
      </c>
      <c r="B227">
        <v>3343397629</v>
      </c>
      <c r="C227">
        <v>5000</v>
      </c>
      <c r="D227" t="s">
        <v>657</v>
      </c>
      <c r="E227" t="s">
        <v>50</v>
      </c>
      <c r="F227" t="s">
        <v>24</v>
      </c>
      <c r="G227" t="s">
        <v>656</v>
      </c>
      <c r="H227" t="s">
        <v>41</v>
      </c>
      <c r="I227" t="s">
        <v>16</v>
      </c>
      <c r="J227" t="s">
        <v>655</v>
      </c>
    </row>
    <row r="228" spans="1:10">
      <c r="A228" t="s">
        <v>588</v>
      </c>
      <c r="B228">
        <v>3455161120</v>
      </c>
      <c r="C228">
        <v>1600</v>
      </c>
      <c r="D228" t="s">
        <v>589</v>
      </c>
      <c r="E228" t="s">
        <v>19</v>
      </c>
      <c r="F228" t="s">
        <v>24</v>
      </c>
      <c r="G228" t="s">
        <v>659</v>
      </c>
      <c r="H228" t="s">
        <v>41</v>
      </c>
      <c r="I228" t="s">
        <v>16</v>
      </c>
      <c r="J228" t="s">
        <v>655</v>
      </c>
    </row>
    <row r="229" spans="1:10">
      <c r="A229" t="s">
        <v>787</v>
      </c>
      <c r="B229">
        <v>3332380958</v>
      </c>
      <c r="C229">
        <v>1220</v>
      </c>
      <c r="D229" t="s">
        <v>788</v>
      </c>
      <c r="E229" t="s">
        <v>50</v>
      </c>
      <c r="F229" t="s">
        <v>24</v>
      </c>
      <c r="G229" t="s">
        <v>789</v>
      </c>
      <c r="H229" t="s">
        <v>15</v>
      </c>
      <c r="I229" t="s">
        <v>16</v>
      </c>
      <c r="J229" s="38">
        <v>42106</v>
      </c>
    </row>
    <row r="230" spans="1:10">
      <c r="A230" t="s">
        <v>662</v>
      </c>
      <c r="B230">
        <v>3239919990</v>
      </c>
      <c r="C230">
        <v>1120</v>
      </c>
      <c r="D230" t="s">
        <v>663</v>
      </c>
      <c r="E230" t="s">
        <v>23</v>
      </c>
      <c r="F230" t="s">
        <v>31</v>
      </c>
      <c r="G230" t="s">
        <v>664</v>
      </c>
      <c r="H230" t="s">
        <v>15</v>
      </c>
      <c r="I230" t="s">
        <v>16</v>
      </c>
      <c r="J230" t="s">
        <v>655</v>
      </c>
    </row>
    <row r="231" spans="1:10">
      <c r="A231" t="s">
        <v>665</v>
      </c>
      <c r="B231">
        <v>3234014432</v>
      </c>
      <c r="C231">
        <v>1250</v>
      </c>
      <c r="D231" t="s">
        <v>666</v>
      </c>
      <c r="E231" t="s">
        <v>23</v>
      </c>
      <c r="F231" t="s">
        <v>24</v>
      </c>
      <c r="G231" t="s">
        <v>303</v>
      </c>
      <c r="H231" t="s">
        <v>15</v>
      </c>
      <c r="I231" t="s">
        <v>16</v>
      </c>
      <c r="J231" t="s">
        <v>655</v>
      </c>
    </row>
    <row r="232" spans="1:10">
      <c r="A232" t="s">
        <v>667</v>
      </c>
      <c r="B232">
        <v>3218481000</v>
      </c>
      <c r="C232">
        <v>1170</v>
      </c>
      <c r="D232" t="s">
        <v>668</v>
      </c>
      <c r="E232" t="s">
        <v>23</v>
      </c>
      <c r="F232" t="s">
        <v>24</v>
      </c>
      <c r="G232" t="s">
        <v>46</v>
      </c>
      <c r="H232" t="s">
        <v>15</v>
      </c>
      <c r="I232" t="s">
        <v>16</v>
      </c>
      <c r="J232" t="s">
        <v>655</v>
      </c>
    </row>
    <row r="233" spans="1:10">
      <c r="A233" t="s">
        <v>669</v>
      </c>
      <c r="B233">
        <v>3336841523</v>
      </c>
      <c r="C233">
        <v>750</v>
      </c>
      <c r="D233" t="s">
        <v>670</v>
      </c>
      <c r="E233" t="s">
        <v>280</v>
      </c>
      <c r="F233" t="s">
        <v>31</v>
      </c>
      <c r="G233" t="s">
        <v>671</v>
      </c>
      <c r="H233" t="s">
        <v>41</v>
      </c>
      <c r="I233" t="s">
        <v>16</v>
      </c>
      <c r="J233" t="s">
        <v>655</v>
      </c>
    </row>
    <row r="234" spans="1:10">
      <c r="A234" t="s">
        <v>672</v>
      </c>
      <c r="B234">
        <v>3062643135</v>
      </c>
      <c r="C234">
        <v>1350</v>
      </c>
      <c r="D234" t="s">
        <v>673</v>
      </c>
      <c r="E234" t="s">
        <v>23</v>
      </c>
      <c r="F234" t="s">
        <v>515</v>
      </c>
      <c r="G234" t="s">
        <v>632</v>
      </c>
      <c r="H234" t="s">
        <v>41</v>
      </c>
      <c r="I234" t="s">
        <v>16</v>
      </c>
      <c r="J234" t="s">
        <v>655</v>
      </c>
    </row>
    <row r="235" spans="1:10">
      <c r="A235" t="s">
        <v>674</v>
      </c>
      <c r="B235">
        <v>3313514458</v>
      </c>
      <c r="C235">
        <v>1750</v>
      </c>
      <c r="D235" t="s">
        <v>675</v>
      </c>
      <c r="E235" t="s">
        <v>125</v>
      </c>
      <c r="F235" t="s">
        <v>31</v>
      </c>
      <c r="G235" t="s">
        <v>676</v>
      </c>
      <c r="H235" t="s">
        <v>41</v>
      </c>
      <c r="I235" t="s">
        <v>16</v>
      </c>
      <c r="J235" t="s">
        <v>677</v>
      </c>
    </row>
    <row r="236" spans="1:10">
      <c r="A236" t="s">
        <v>785</v>
      </c>
      <c r="B236">
        <v>3343509054</v>
      </c>
      <c r="C236">
        <v>1230</v>
      </c>
      <c r="D236" t="s">
        <v>786</v>
      </c>
      <c r="E236" t="s">
        <v>50</v>
      </c>
      <c r="F236" t="s">
        <v>31</v>
      </c>
      <c r="G236" t="s">
        <v>633</v>
      </c>
      <c r="H236" t="s">
        <v>15</v>
      </c>
      <c r="I236" t="s">
        <v>16</v>
      </c>
      <c r="J236" s="38">
        <v>42106</v>
      </c>
    </row>
    <row r="237" spans="1:10">
      <c r="A237" t="s">
        <v>680</v>
      </c>
      <c r="B237">
        <v>3447067287</v>
      </c>
      <c r="C237">
        <v>1140</v>
      </c>
      <c r="D237" t="s">
        <v>681</v>
      </c>
      <c r="E237" t="s">
        <v>474</v>
      </c>
      <c r="F237" t="s">
        <v>31</v>
      </c>
      <c r="G237" t="s">
        <v>348</v>
      </c>
      <c r="H237" t="s">
        <v>15</v>
      </c>
      <c r="I237" t="s">
        <v>16</v>
      </c>
      <c r="J237" t="s">
        <v>677</v>
      </c>
    </row>
    <row r="238" spans="1:10">
      <c r="A238" t="s">
        <v>682</v>
      </c>
      <c r="B238">
        <v>3479292532</v>
      </c>
      <c r="C238">
        <v>1300</v>
      </c>
      <c r="D238" t="s">
        <v>683</v>
      </c>
      <c r="E238" t="s">
        <v>453</v>
      </c>
      <c r="F238" t="s">
        <v>31</v>
      </c>
      <c r="G238" t="s">
        <v>46</v>
      </c>
      <c r="H238" t="s">
        <v>15</v>
      </c>
      <c r="I238" t="s">
        <v>16</v>
      </c>
      <c r="J238" t="s">
        <v>677</v>
      </c>
    </row>
    <row r="239" spans="1:10">
      <c r="A239" t="s">
        <v>684</v>
      </c>
      <c r="B239">
        <v>3123549950</v>
      </c>
      <c r="C239">
        <v>1000</v>
      </c>
      <c r="D239" t="s">
        <v>685</v>
      </c>
      <c r="E239" t="s">
        <v>686</v>
      </c>
      <c r="F239" t="s">
        <v>31</v>
      </c>
      <c r="G239" t="s">
        <v>557</v>
      </c>
      <c r="H239" t="s">
        <v>15</v>
      </c>
      <c r="I239" t="s">
        <v>16</v>
      </c>
      <c r="J239" t="s">
        <v>677</v>
      </c>
    </row>
    <row r="240" spans="1:10">
      <c r="A240" t="s">
        <v>687</v>
      </c>
      <c r="B240">
        <v>3337400001</v>
      </c>
      <c r="C240">
        <v>930</v>
      </c>
      <c r="D240" t="s">
        <v>688</v>
      </c>
      <c r="E240" t="s">
        <v>50</v>
      </c>
      <c r="F240" t="s">
        <v>31</v>
      </c>
      <c r="G240" t="s">
        <v>557</v>
      </c>
      <c r="H240" t="s">
        <v>15</v>
      </c>
      <c r="I240" t="s">
        <v>16</v>
      </c>
      <c r="J240" t="s">
        <v>677</v>
      </c>
    </row>
    <row r="241" spans="1:10">
      <c r="A241" t="s">
        <v>689</v>
      </c>
      <c r="B241">
        <v>3128637219</v>
      </c>
      <c r="C241">
        <v>1150</v>
      </c>
      <c r="D241" t="s">
        <v>690</v>
      </c>
      <c r="E241" t="s">
        <v>50</v>
      </c>
      <c r="F241" t="s">
        <v>31</v>
      </c>
      <c r="G241" t="s">
        <v>46</v>
      </c>
      <c r="H241" t="s">
        <v>15</v>
      </c>
      <c r="I241" t="s">
        <v>16</v>
      </c>
      <c r="J241" t="s">
        <v>677</v>
      </c>
    </row>
    <row r="242" spans="1:10">
      <c r="A242" t="s">
        <v>691</v>
      </c>
      <c r="B242">
        <v>3045999001</v>
      </c>
      <c r="C242">
        <v>1200</v>
      </c>
      <c r="D242" t="s">
        <v>692</v>
      </c>
      <c r="E242" t="s">
        <v>50</v>
      </c>
      <c r="F242" t="s">
        <v>31</v>
      </c>
      <c r="G242" t="s">
        <v>693</v>
      </c>
      <c r="H242" t="s">
        <v>15</v>
      </c>
      <c r="I242" t="s">
        <v>16</v>
      </c>
      <c r="J242" t="s">
        <v>677</v>
      </c>
    </row>
    <row r="243" spans="1:10">
      <c r="A243" t="s">
        <v>694</v>
      </c>
      <c r="B243">
        <v>3151030034</v>
      </c>
      <c r="C243">
        <v>810</v>
      </c>
      <c r="D243" t="s">
        <v>695</v>
      </c>
      <c r="E243" t="s">
        <v>50</v>
      </c>
      <c r="F243" t="s">
        <v>24</v>
      </c>
      <c r="G243" t="s">
        <v>318</v>
      </c>
      <c r="H243" t="s">
        <v>15</v>
      </c>
      <c r="I243" t="s">
        <v>16</v>
      </c>
      <c r="J243" t="s">
        <v>677</v>
      </c>
    </row>
    <row r="244" spans="1:10">
      <c r="A244" t="s">
        <v>697</v>
      </c>
      <c r="B244">
        <v>3028265444</v>
      </c>
      <c r="C244">
        <v>1150</v>
      </c>
      <c r="D244" t="s">
        <v>698</v>
      </c>
      <c r="E244" t="s">
        <v>50</v>
      </c>
      <c r="F244" t="s">
        <v>515</v>
      </c>
      <c r="G244" t="s">
        <v>181</v>
      </c>
      <c r="H244" t="s">
        <v>15</v>
      </c>
      <c r="I244" t="s">
        <v>16</v>
      </c>
      <c r="J244" t="s">
        <v>699</v>
      </c>
    </row>
    <row r="245" spans="1:10">
      <c r="A245" t="s">
        <v>700</v>
      </c>
      <c r="B245">
        <v>3446396211</v>
      </c>
      <c r="C245">
        <v>1100</v>
      </c>
      <c r="D245" t="s">
        <v>701</v>
      </c>
      <c r="E245" t="s">
        <v>550</v>
      </c>
      <c r="F245" t="s">
        <v>515</v>
      </c>
      <c r="G245" t="s">
        <v>702</v>
      </c>
      <c r="H245" t="s">
        <v>41</v>
      </c>
      <c r="I245" t="s">
        <v>16</v>
      </c>
      <c r="J245" t="s">
        <v>699</v>
      </c>
    </row>
    <row r="246" spans="1:10">
      <c r="A246" t="s">
        <v>703</v>
      </c>
      <c r="B246">
        <v>3316884447</v>
      </c>
      <c r="C246">
        <v>1130</v>
      </c>
      <c r="D246" t="s">
        <v>704</v>
      </c>
      <c r="E246" t="s">
        <v>453</v>
      </c>
      <c r="F246" t="s">
        <v>31</v>
      </c>
      <c r="G246" t="s">
        <v>46</v>
      </c>
      <c r="H246" t="s">
        <v>41</v>
      </c>
      <c r="I246" t="s">
        <v>16</v>
      </c>
      <c r="J246" t="s">
        <v>699</v>
      </c>
    </row>
    <row r="247" spans="1:10">
      <c r="A247" t="s">
        <v>705</v>
      </c>
      <c r="B247">
        <v>3451643002</v>
      </c>
      <c r="C247">
        <v>830</v>
      </c>
      <c r="D247" t="s">
        <v>706</v>
      </c>
      <c r="E247" t="s">
        <v>23</v>
      </c>
      <c r="F247" t="s">
        <v>24</v>
      </c>
      <c r="G247" t="s">
        <v>318</v>
      </c>
      <c r="H247" t="s">
        <v>15</v>
      </c>
      <c r="I247" t="s">
        <v>16</v>
      </c>
      <c r="J247" t="s">
        <v>699</v>
      </c>
    </row>
    <row r="248" spans="1:10">
      <c r="A248" t="s">
        <v>783</v>
      </c>
      <c r="B248">
        <v>3212388329</v>
      </c>
      <c r="C248">
        <v>1300</v>
      </c>
      <c r="D248" t="s">
        <v>784</v>
      </c>
      <c r="E248" t="s">
        <v>50</v>
      </c>
      <c r="F248" t="s">
        <v>24</v>
      </c>
      <c r="G248" t="s">
        <v>420</v>
      </c>
      <c r="H248" t="s">
        <v>41</v>
      </c>
      <c r="I248" t="s">
        <v>16</v>
      </c>
      <c r="J248" s="38">
        <v>42106</v>
      </c>
    </row>
    <row r="249" spans="1:10">
      <c r="A249" t="s">
        <v>709</v>
      </c>
      <c r="B249">
        <v>3430100223</v>
      </c>
      <c r="C249">
        <v>2600</v>
      </c>
      <c r="D249" t="s">
        <v>710</v>
      </c>
      <c r="E249" t="s">
        <v>23</v>
      </c>
      <c r="F249" t="s">
        <v>31</v>
      </c>
      <c r="G249" t="s">
        <v>711</v>
      </c>
      <c r="H249" t="s">
        <v>41</v>
      </c>
      <c r="I249" t="s">
        <v>16</v>
      </c>
      <c r="J249" t="s">
        <v>699</v>
      </c>
    </row>
    <row r="250" spans="1:10">
      <c r="A250" t="s">
        <v>727</v>
      </c>
      <c r="B250">
        <v>3023975197</v>
      </c>
      <c r="C250">
        <v>1900</v>
      </c>
      <c r="D250" t="s">
        <v>728</v>
      </c>
      <c r="E250" t="s">
        <v>125</v>
      </c>
      <c r="F250" t="s">
        <v>31</v>
      </c>
      <c r="G250" t="s">
        <v>372</v>
      </c>
      <c r="H250" t="s">
        <v>15</v>
      </c>
      <c r="I250" t="s">
        <v>16</v>
      </c>
      <c r="J250" t="s">
        <v>699</v>
      </c>
    </row>
    <row r="251" spans="1:10">
      <c r="A251" t="s">
        <v>729</v>
      </c>
      <c r="B251">
        <v>3022296281</v>
      </c>
      <c r="C251">
        <v>1000</v>
      </c>
      <c r="D251" t="s">
        <v>730</v>
      </c>
      <c r="E251" t="s">
        <v>731</v>
      </c>
      <c r="F251" t="s">
        <v>31</v>
      </c>
      <c r="G251" t="s">
        <v>557</v>
      </c>
      <c r="H251" t="s">
        <v>15</v>
      </c>
      <c r="I251" t="s">
        <v>16</v>
      </c>
      <c r="J251" t="s">
        <v>699</v>
      </c>
    </row>
    <row r="252" spans="1:10">
      <c r="A252" t="s">
        <v>732</v>
      </c>
      <c r="B252">
        <v>3417098506</v>
      </c>
      <c r="C252">
        <v>1230</v>
      </c>
      <c r="D252" t="s">
        <v>733</v>
      </c>
      <c r="E252" t="s">
        <v>50</v>
      </c>
      <c r="F252" t="s">
        <v>24</v>
      </c>
      <c r="G252" t="s">
        <v>303</v>
      </c>
      <c r="H252" t="s">
        <v>15</v>
      </c>
      <c r="I252" t="s">
        <v>16</v>
      </c>
      <c r="J252" t="s">
        <v>699</v>
      </c>
    </row>
    <row r="253" spans="1:10">
      <c r="A253" t="s">
        <v>737</v>
      </c>
      <c r="B253">
        <v>3316161193</v>
      </c>
      <c r="C253">
        <v>1140</v>
      </c>
      <c r="D253" t="s">
        <v>738</v>
      </c>
      <c r="E253" t="s">
        <v>170</v>
      </c>
      <c r="F253" t="s">
        <v>31</v>
      </c>
      <c r="G253" t="s">
        <v>736</v>
      </c>
      <c r="H253" t="s">
        <v>15</v>
      </c>
      <c r="I253" t="s">
        <v>16</v>
      </c>
      <c r="J253" t="s">
        <v>699</v>
      </c>
    </row>
    <row r="254" spans="1:10">
      <c r="A254" t="s">
        <v>734</v>
      </c>
      <c r="B254">
        <v>3000570683</v>
      </c>
      <c r="C254">
        <v>1500</v>
      </c>
      <c r="D254" t="s">
        <v>735</v>
      </c>
      <c r="E254" t="s">
        <v>12</v>
      </c>
      <c r="F254" t="s">
        <v>515</v>
      </c>
      <c r="G254" t="s">
        <v>632</v>
      </c>
      <c r="H254" t="s">
        <v>15</v>
      </c>
      <c r="I254" t="s">
        <v>16</v>
      </c>
      <c r="J254" t="s">
        <v>699</v>
      </c>
    </row>
    <row r="255" spans="1:10">
      <c r="A255" t="s">
        <v>780</v>
      </c>
      <c r="B255">
        <v>3242828490</v>
      </c>
      <c r="C255">
        <v>1100</v>
      </c>
      <c r="D255" t="s">
        <v>781</v>
      </c>
      <c r="E255" t="s">
        <v>50</v>
      </c>
      <c r="F255" t="s">
        <v>31</v>
      </c>
      <c r="G255" t="s">
        <v>782</v>
      </c>
      <c r="H255" t="s">
        <v>15</v>
      </c>
      <c r="I255" t="s">
        <v>16</v>
      </c>
      <c r="J255" s="38">
        <v>42106</v>
      </c>
    </row>
    <row r="256" spans="1:10">
      <c r="A256" t="s">
        <v>719</v>
      </c>
      <c r="B256">
        <v>3110265125</v>
      </c>
      <c r="C256">
        <v>960</v>
      </c>
      <c r="D256" t="s">
        <v>720</v>
      </c>
      <c r="E256" t="s">
        <v>50</v>
      </c>
      <c r="F256" t="s">
        <v>24</v>
      </c>
      <c r="G256" t="s">
        <v>420</v>
      </c>
      <c r="H256" t="s">
        <v>15</v>
      </c>
      <c r="I256" t="s">
        <v>16</v>
      </c>
      <c r="J256" t="s">
        <v>717</v>
      </c>
    </row>
    <row r="257" spans="1:10">
      <c r="A257" t="s">
        <v>722</v>
      </c>
      <c r="B257" t="s">
        <v>456</v>
      </c>
      <c r="C257">
        <v>900</v>
      </c>
      <c r="D257" t="s">
        <v>721</v>
      </c>
      <c r="E257" t="s">
        <v>50</v>
      </c>
      <c r="F257" t="s">
        <v>24</v>
      </c>
      <c r="H257" t="s">
        <v>41</v>
      </c>
      <c r="I257" t="s">
        <v>16</v>
      </c>
      <c r="J257" t="s">
        <v>717</v>
      </c>
    </row>
    <row r="258" spans="1:10">
      <c r="A258" t="s">
        <v>723</v>
      </c>
      <c r="B258">
        <v>3453060329</v>
      </c>
      <c r="C258">
        <v>1110</v>
      </c>
      <c r="D258" t="s">
        <v>724</v>
      </c>
      <c r="E258" t="s">
        <v>50</v>
      </c>
      <c r="F258" t="s">
        <v>725</v>
      </c>
      <c r="G258" t="s">
        <v>726</v>
      </c>
      <c r="H258" t="s">
        <v>15</v>
      </c>
      <c r="I258" t="s">
        <v>16</v>
      </c>
      <c r="J258" t="s">
        <v>717</v>
      </c>
    </row>
    <row r="259" spans="1:10">
      <c r="A259" t="s">
        <v>709</v>
      </c>
      <c r="B259">
        <v>3430100223</v>
      </c>
      <c r="C259">
        <v>1450</v>
      </c>
      <c r="D259" t="s">
        <v>710</v>
      </c>
      <c r="E259" t="s">
        <v>23</v>
      </c>
      <c r="F259" t="s">
        <v>31</v>
      </c>
      <c r="G259" t="s">
        <v>726</v>
      </c>
      <c r="H259" t="s">
        <v>41</v>
      </c>
      <c r="I259" t="s">
        <v>16</v>
      </c>
      <c r="J259" t="s">
        <v>699</v>
      </c>
    </row>
    <row r="260" spans="1:10">
      <c r="A260" t="s">
        <v>739</v>
      </c>
      <c r="B260">
        <v>3330350428</v>
      </c>
      <c r="C260">
        <v>700</v>
      </c>
      <c r="D260" t="s">
        <v>740</v>
      </c>
      <c r="E260" t="s">
        <v>741</v>
      </c>
      <c r="F260" t="s">
        <v>24</v>
      </c>
      <c r="G260" t="s">
        <v>742</v>
      </c>
      <c r="H260" t="s">
        <v>15</v>
      </c>
      <c r="I260" t="s">
        <v>16</v>
      </c>
      <c r="J260" s="38">
        <v>42016</v>
      </c>
    </row>
    <row r="261" spans="1:10">
      <c r="A261" t="s">
        <v>743</v>
      </c>
      <c r="B261">
        <v>3330377333</v>
      </c>
      <c r="C261">
        <v>870</v>
      </c>
      <c r="D261" t="s">
        <v>744</v>
      </c>
      <c r="E261" t="s">
        <v>745</v>
      </c>
      <c r="F261" t="s">
        <v>24</v>
      </c>
      <c r="G261" t="s">
        <v>318</v>
      </c>
      <c r="H261" t="s">
        <v>15</v>
      </c>
      <c r="I261" t="s">
        <v>16</v>
      </c>
      <c r="J261" s="38">
        <v>42016</v>
      </c>
    </row>
    <row r="262" spans="1:10">
      <c r="A262" t="s">
        <v>776</v>
      </c>
      <c r="B262">
        <v>3335315332</v>
      </c>
      <c r="C262">
        <v>1250</v>
      </c>
      <c r="D262" t="s">
        <v>777</v>
      </c>
      <c r="E262" t="s">
        <v>23</v>
      </c>
      <c r="F262" t="s">
        <v>24</v>
      </c>
      <c r="G262" t="s">
        <v>303</v>
      </c>
      <c r="H262" t="s">
        <v>15</v>
      </c>
      <c r="I262" t="s">
        <v>16</v>
      </c>
      <c r="J262" s="38">
        <v>42047</v>
      </c>
    </row>
    <row r="263" spans="1:10">
      <c r="A263" t="s">
        <v>748</v>
      </c>
      <c r="B263">
        <v>3335170418</v>
      </c>
      <c r="C263">
        <v>1100</v>
      </c>
      <c r="D263" t="s">
        <v>749</v>
      </c>
      <c r="E263" t="s">
        <v>12</v>
      </c>
      <c r="F263" t="s">
        <v>31</v>
      </c>
      <c r="G263" t="s">
        <v>348</v>
      </c>
      <c r="H263" t="s">
        <v>15</v>
      </c>
      <c r="I263" t="s">
        <v>16</v>
      </c>
      <c r="J263" s="38">
        <v>42016</v>
      </c>
    </row>
    <row r="264" spans="1:10">
      <c r="A264" t="s">
        <v>750</v>
      </c>
      <c r="B264">
        <v>3043343118</v>
      </c>
      <c r="C264">
        <v>2950</v>
      </c>
      <c r="D264" t="s">
        <v>751</v>
      </c>
      <c r="E264" t="s">
        <v>125</v>
      </c>
      <c r="F264" t="s">
        <v>31</v>
      </c>
      <c r="G264" t="s">
        <v>752</v>
      </c>
      <c r="H264" t="s">
        <v>41</v>
      </c>
      <c r="I264" t="s">
        <v>16</v>
      </c>
      <c r="J264" s="38">
        <v>42016</v>
      </c>
    </row>
    <row r="265" spans="1:10">
      <c r="A265" t="s">
        <v>753</v>
      </c>
      <c r="B265">
        <v>3443230698</v>
      </c>
      <c r="C265">
        <v>1500</v>
      </c>
      <c r="D265" t="s">
        <v>754</v>
      </c>
      <c r="E265" t="s">
        <v>385</v>
      </c>
      <c r="F265" t="s">
        <v>515</v>
      </c>
      <c r="G265" t="s">
        <v>632</v>
      </c>
      <c r="H265" t="s">
        <v>41</v>
      </c>
      <c r="I265" t="s">
        <v>16</v>
      </c>
      <c r="J265" s="38">
        <v>42016</v>
      </c>
    </row>
    <row r="266" spans="1:10">
      <c r="A266" t="s">
        <v>756</v>
      </c>
      <c r="B266">
        <v>3313538399</v>
      </c>
      <c r="C266">
        <v>1350</v>
      </c>
      <c r="D266" t="s">
        <v>757</v>
      </c>
      <c r="E266" t="s">
        <v>125</v>
      </c>
      <c r="F266" t="s">
        <v>31</v>
      </c>
      <c r="G266" t="s">
        <v>726</v>
      </c>
      <c r="H266" t="s">
        <v>41</v>
      </c>
      <c r="I266" t="s">
        <v>16</v>
      </c>
      <c r="J266" s="38">
        <v>42016</v>
      </c>
    </row>
    <row r="267" spans="1:10">
      <c r="A267" t="s">
        <v>758</v>
      </c>
      <c r="B267">
        <v>3469000224</v>
      </c>
      <c r="C267">
        <v>1500</v>
      </c>
      <c r="D267" t="s">
        <v>759</v>
      </c>
      <c r="E267" t="s">
        <v>35</v>
      </c>
      <c r="F267" t="s">
        <v>31</v>
      </c>
      <c r="G267" t="s">
        <v>726</v>
      </c>
      <c r="H267" t="s">
        <v>41</v>
      </c>
      <c r="I267" t="s">
        <v>16</v>
      </c>
      <c r="J267" s="38">
        <v>42016</v>
      </c>
    </row>
    <row r="268" spans="1:10">
      <c r="A268" t="s">
        <v>760</v>
      </c>
      <c r="B268">
        <v>3112115833</v>
      </c>
      <c r="C268">
        <v>1600</v>
      </c>
      <c r="D268" t="s">
        <v>761</v>
      </c>
      <c r="E268" t="s">
        <v>50</v>
      </c>
      <c r="F268" t="s">
        <v>24</v>
      </c>
      <c r="G268" t="s">
        <v>762</v>
      </c>
      <c r="H268" t="s">
        <v>15</v>
      </c>
      <c r="I268" t="s">
        <v>16</v>
      </c>
      <c r="J268" s="38">
        <v>42106</v>
      </c>
    </row>
    <row r="269" spans="1:10">
      <c r="A269" t="s">
        <v>763</v>
      </c>
      <c r="B269">
        <v>3348000805</v>
      </c>
      <c r="C269">
        <v>1250</v>
      </c>
      <c r="D269" t="s">
        <v>764</v>
      </c>
      <c r="E269" t="s">
        <v>23</v>
      </c>
      <c r="F269" t="s">
        <v>24</v>
      </c>
      <c r="G269" t="s">
        <v>446</v>
      </c>
      <c r="H269" t="s">
        <v>15</v>
      </c>
      <c r="I269" t="s">
        <v>16</v>
      </c>
      <c r="J269" s="38">
        <v>42047</v>
      </c>
    </row>
    <row r="270" spans="1:10">
      <c r="A270" t="s">
        <v>765</v>
      </c>
      <c r="B270">
        <v>3349612737</v>
      </c>
      <c r="C270">
        <v>870</v>
      </c>
      <c r="D270" t="s">
        <v>766</v>
      </c>
      <c r="E270" t="s">
        <v>767</v>
      </c>
      <c r="F270" t="s">
        <v>24</v>
      </c>
      <c r="G270" t="s">
        <v>318</v>
      </c>
      <c r="H270" t="s">
        <v>15</v>
      </c>
      <c r="I270" t="s">
        <v>16</v>
      </c>
      <c r="J270" s="38">
        <v>42047</v>
      </c>
    </row>
    <row r="271" spans="1:10">
      <c r="A271" t="s">
        <v>774</v>
      </c>
      <c r="B271">
        <v>3459058303</v>
      </c>
      <c r="C271">
        <v>1000</v>
      </c>
      <c r="D271" t="s">
        <v>775</v>
      </c>
      <c r="E271" t="s">
        <v>35</v>
      </c>
      <c r="F271" t="s">
        <v>24</v>
      </c>
      <c r="G271" t="s">
        <v>420</v>
      </c>
      <c r="H271" t="s">
        <v>15</v>
      </c>
      <c r="I271" t="s">
        <v>16</v>
      </c>
      <c r="J271" s="38">
        <v>42047</v>
      </c>
    </row>
    <row r="272" spans="1:10">
      <c r="A272" t="s">
        <v>770</v>
      </c>
      <c r="B272">
        <v>3009383770</v>
      </c>
      <c r="C272">
        <v>1140</v>
      </c>
      <c r="D272" t="s">
        <v>771</v>
      </c>
      <c r="E272" t="s">
        <v>148</v>
      </c>
      <c r="F272" t="s">
        <v>31</v>
      </c>
      <c r="G272" t="s">
        <v>348</v>
      </c>
      <c r="H272" t="s">
        <v>15</v>
      </c>
      <c r="I272" t="s">
        <v>16</v>
      </c>
      <c r="J272" s="38">
        <v>42047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48"/>
  <sheetViews>
    <sheetView workbookViewId="0">
      <selection activeCell="F8" sqref="F8:G10"/>
    </sheetView>
  </sheetViews>
  <sheetFormatPr defaultRowHeight="15"/>
  <cols>
    <col min="1" max="1" width="12.85546875" customWidth="1"/>
    <col min="2" max="2" width="14.5703125" customWidth="1"/>
    <col min="3" max="3" width="12" customWidth="1"/>
    <col min="4" max="4" width="11.140625" customWidth="1"/>
    <col min="5" max="5" width="17" customWidth="1"/>
    <col min="6" max="6" width="19.5703125" customWidth="1"/>
    <col min="7" max="7" width="17" customWidth="1"/>
    <col min="8" max="8" width="19.5703125" customWidth="1"/>
    <col min="9" max="20" width="4" customWidth="1"/>
    <col min="21" max="71" width="5" customWidth="1"/>
    <col min="72" max="72" width="12" customWidth="1"/>
    <col min="73" max="78" width="4" customWidth="1"/>
    <col min="79" max="83" width="5" customWidth="1"/>
    <col min="84" max="84" width="4" customWidth="1"/>
    <col min="85" max="87" width="5" customWidth="1"/>
    <col min="88" max="88" width="4" customWidth="1"/>
    <col min="89" max="89" width="5" customWidth="1"/>
    <col min="90" max="90" width="4" customWidth="1"/>
    <col min="91" max="91" width="6" customWidth="1"/>
    <col min="92" max="93" width="5" customWidth="1"/>
    <col min="94" max="94" width="6" customWidth="1"/>
    <col min="95" max="96" width="5" customWidth="1"/>
    <col min="97" max="97" width="6" customWidth="1"/>
    <col min="98" max="101" width="5" customWidth="1"/>
    <col min="102" max="103" width="6" customWidth="1"/>
    <col min="104" max="106" width="5" customWidth="1"/>
    <col min="107" max="107" width="6" customWidth="1"/>
    <col min="108" max="110" width="5" customWidth="1"/>
    <col min="111" max="111" width="6" customWidth="1"/>
    <col min="112" max="113" width="5" customWidth="1"/>
    <col min="114" max="114" width="6" customWidth="1"/>
    <col min="115" max="115" width="5" customWidth="1"/>
    <col min="116" max="116" width="6" customWidth="1"/>
    <col min="117" max="118" width="5" customWidth="1"/>
    <col min="119" max="119" width="6" customWidth="1"/>
    <col min="120" max="141" width="5" customWidth="1"/>
    <col min="142" max="142" width="21.7109375" bestFit="1" customWidth="1"/>
    <col min="143" max="143" width="17" bestFit="1" customWidth="1"/>
  </cols>
  <sheetData>
    <row r="3" spans="1:3">
      <c r="A3" s="15" t="s">
        <v>836</v>
      </c>
      <c r="B3" t="s">
        <v>1416</v>
      </c>
    </row>
    <row r="4" spans="1:3">
      <c r="A4" s="16" t="s">
        <v>16</v>
      </c>
      <c r="B4" s="17">
        <v>279</v>
      </c>
    </row>
    <row r="5" spans="1:3">
      <c r="A5" s="16" t="s">
        <v>837</v>
      </c>
      <c r="B5" s="17">
        <v>279</v>
      </c>
    </row>
    <row r="10" spans="1:3">
      <c r="A10" s="15" t="s">
        <v>836</v>
      </c>
      <c r="B10" t="s">
        <v>976</v>
      </c>
      <c r="C10" t="s">
        <v>838</v>
      </c>
    </row>
    <row r="11" spans="1:3">
      <c r="A11" s="16" t="s">
        <v>76</v>
      </c>
      <c r="B11" s="17">
        <v>3</v>
      </c>
      <c r="C11" s="17">
        <v>3660</v>
      </c>
    </row>
    <row r="12" spans="1:3">
      <c r="A12" s="16" t="s">
        <v>235</v>
      </c>
      <c r="B12" s="17">
        <v>1</v>
      </c>
      <c r="C12" s="17">
        <v>1250</v>
      </c>
    </row>
    <row r="13" spans="1:3">
      <c r="A13" s="16" t="s">
        <v>272</v>
      </c>
      <c r="B13" s="17">
        <v>4</v>
      </c>
      <c r="C13" s="17">
        <v>4430</v>
      </c>
    </row>
    <row r="14" spans="1:3">
      <c r="A14" s="16" t="s">
        <v>280</v>
      </c>
      <c r="B14" s="17">
        <v>2</v>
      </c>
      <c r="C14" s="17">
        <v>2600</v>
      </c>
    </row>
    <row r="15" spans="1:3">
      <c r="A15" s="16" t="s">
        <v>813</v>
      </c>
      <c r="B15" s="17">
        <v>1</v>
      </c>
      <c r="C15" s="17">
        <v>1290</v>
      </c>
    </row>
    <row r="16" spans="1:3">
      <c r="A16" s="16" t="s">
        <v>207</v>
      </c>
      <c r="B16" s="17">
        <v>1</v>
      </c>
      <c r="C16" s="17">
        <v>1300</v>
      </c>
    </row>
    <row r="17" spans="1:3">
      <c r="A17" s="16" t="s">
        <v>385</v>
      </c>
      <c r="B17" s="17">
        <v>2</v>
      </c>
      <c r="C17" s="17">
        <v>2520</v>
      </c>
    </row>
    <row r="18" spans="1:3">
      <c r="A18" s="16" t="s">
        <v>629</v>
      </c>
      <c r="B18" s="17">
        <v>1</v>
      </c>
      <c r="C18" s="17">
        <v>1350</v>
      </c>
    </row>
    <row r="19" spans="1:3">
      <c r="A19" s="16" t="s">
        <v>177</v>
      </c>
      <c r="B19" s="17">
        <v>1</v>
      </c>
      <c r="C19" s="17">
        <v>1050</v>
      </c>
    </row>
    <row r="20" spans="1:3">
      <c r="A20" s="16" t="s">
        <v>57</v>
      </c>
      <c r="B20" s="17">
        <v>6</v>
      </c>
      <c r="C20" s="17">
        <v>7190</v>
      </c>
    </row>
    <row r="21" spans="1:3">
      <c r="A21" s="16" t="s">
        <v>85</v>
      </c>
      <c r="B21" s="17">
        <v>3</v>
      </c>
      <c r="C21" s="17">
        <v>5450</v>
      </c>
    </row>
    <row r="22" spans="1:3">
      <c r="A22" s="16" t="s">
        <v>767</v>
      </c>
      <c r="B22" s="17">
        <v>1</v>
      </c>
      <c r="C22" s="17">
        <v>870</v>
      </c>
    </row>
    <row r="23" spans="1:3">
      <c r="A23" s="16" t="s">
        <v>44</v>
      </c>
      <c r="B23" s="17">
        <v>1</v>
      </c>
      <c r="C23" s="17">
        <v>1300</v>
      </c>
    </row>
    <row r="24" spans="1:3">
      <c r="A24" s="16" t="s">
        <v>30</v>
      </c>
      <c r="B24" s="17">
        <v>4</v>
      </c>
      <c r="C24" s="17">
        <v>5820</v>
      </c>
    </row>
    <row r="25" spans="1:3">
      <c r="A25" s="16" t="s">
        <v>600</v>
      </c>
      <c r="B25" s="17">
        <v>1</v>
      </c>
      <c r="C25" s="17">
        <v>1300</v>
      </c>
    </row>
    <row r="26" spans="1:3">
      <c r="A26" s="16" t="s">
        <v>686</v>
      </c>
      <c r="B26" s="17">
        <v>1</v>
      </c>
      <c r="C26" s="17">
        <v>1000</v>
      </c>
    </row>
    <row r="27" spans="1:3">
      <c r="A27" s="16" t="s">
        <v>125</v>
      </c>
      <c r="B27" s="17">
        <v>13</v>
      </c>
      <c r="C27" s="17">
        <v>19240</v>
      </c>
    </row>
    <row r="28" spans="1:3">
      <c r="A28" s="16" t="s">
        <v>19</v>
      </c>
      <c r="B28" s="17">
        <v>19</v>
      </c>
      <c r="C28" s="17">
        <v>20970</v>
      </c>
    </row>
    <row r="29" spans="1:3">
      <c r="A29" s="16" t="s">
        <v>652</v>
      </c>
      <c r="B29" s="17">
        <v>1</v>
      </c>
      <c r="C29" s="17">
        <v>1290</v>
      </c>
    </row>
    <row r="30" spans="1:3">
      <c r="A30" s="16" t="s">
        <v>792</v>
      </c>
      <c r="B30" s="17">
        <v>2</v>
      </c>
      <c r="C30" s="17">
        <v>1770</v>
      </c>
    </row>
    <row r="31" spans="1:3">
      <c r="A31" s="16" t="s">
        <v>50</v>
      </c>
      <c r="B31" s="17">
        <v>93</v>
      </c>
      <c r="C31" s="17">
        <v>122450</v>
      </c>
    </row>
    <row r="32" spans="1:3">
      <c r="A32" s="16" t="s">
        <v>67</v>
      </c>
      <c r="B32" s="17">
        <v>2</v>
      </c>
      <c r="C32" s="17">
        <v>2300</v>
      </c>
    </row>
    <row r="33" spans="1:3">
      <c r="A33" s="16" t="s">
        <v>142</v>
      </c>
      <c r="B33" s="17">
        <v>1</v>
      </c>
      <c r="C33" s="17">
        <v>1130</v>
      </c>
    </row>
    <row r="34" spans="1:3">
      <c r="A34" s="16" t="s">
        <v>339</v>
      </c>
      <c r="B34" s="17">
        <v>2</v>
      </c>
      <c r="C34" s="17">
        <v>3000</v>
      </c>
    </row>
    <row r="35" spans="1:3">
      <c r="A35" s="16" t="s">
        <v>741</v>
      </c>
      <c r="B35" s="17">
        <v>1</v>
      </c>
      <c r="C35" s="17">
        <v>700</v>
      </c>
    </row>
    <row r="36" spans="1:3">
      <c r="A36" s="16" t="s">
        <v>731</v>
      </c>
      <c r="B36" s="17">
        <v>1</v>
      </c>
      <c r="C36" s="17">
        <v>1000</v>
      </c>
    </row>
    <row r="37" spans="1:3">
      <c r="A37" s="16" t="s">
        <v>153</v>
      </c>
      <c r="B37" s="17">
        <v>1</v>
      </c>
      <c r="C37" s="17">
        <v>750</v>
      </c>
    </row>
    <row r="38" spans="1:3">
      <c r="A38" s="16" t="s">
        <v>23</v>
      </c>
      <c r="B38" s="17">
        <v>45</v>
      </c>
      <c r="C38" s="17">
        <v>63690</v>
      </c>
    </row>
    <row r="39" spans="1:3">
      <c r="A39" s="16" t="s">
        <v>419</v>
      </c>
      <c r="B39" s="17">
        <v>2</v>
      </c>
      <c r="C39" s="17">
        <v>1920</v>
      </c>
    </row>
    <row r="40" spans="1:3">
      <c r="A40" s="16" t="s">
        <v>485</v>
      </c>
      <c r="B40" s="17">
        <v>1</v>
      </c>
      <c r="C40" s="17">
        <v>1450</v>
      </c>
    </row>
    <row r="41" spans="1:3">
      <c r="A41" s="16" t="s">
        <v>201</v>
      </c>
      <c r="B41" s="17">
        <v>3</v>
      </c>
      <c r="C41" s="17">
        <v>3770</v>
      </c>
    </row>
    <row r="42" spans="1:3">
      <c r="A42" s="16" t="s">
        <v>401</v>
      </c>
      <c r="B42" s="17">
        <v>2</v>
      </c>
      <c r="C42" s="17">
        <v>2700</v>
      </c>
    </row>
    <row r="43" spans="1:3">
      <c r="A43" s="16" t="s">
        <v>40</v>
      </c>
      <c r="B43" s="17">
        <v>3</v>
      </c>
      <c r="C43" s="17">
        <v>3470</v>
      </c>
    </row>
    <row r="44" spans="1:3">
      <c r="A44" s="16" t="s">
        <v>199</v>
      </c>
      <c r="B44" s="17">
        <v>1</v>
      </c>
      <c r="C44" s="17">
        <v>1250</v>
      </c>
    </row>
    <row r="45" spans="1:3">
      <c r="A45" s="16" t="s">
        <v>170</v>
      </c>
      <c r="B45" s="17">
        <v>4</v>
      </c>
      <c r="C45" s="17">
        <v>4960</v>
      </c>
    </row>
    <row r="46" spans="1:3">
      <c r="A46" s="16" t="s">
        <v>474</v>
      </c>
      <c r="B46" s="17">
        <v>3</v>
      </c>
      <c r="C46" s="17">
        <v>3300</v>
      </c>
    </row>
    <row r="47" spans="1:3">
      <c r="A47" s="16" t="s">
        <v>638</v>
      </c>
      <c r="B47" s="17">
        <v>1</v>
      </c>
      <c r="C47" s="17">
        <v>1020</v>
      </c>
    </row>
    <row r="48" spans="1:3">
      <c r="A48" s="16" t="s">
        <v>550</v>
      </c>
      <c r="B48" s="17">
        <v>3</v>
      </c>
      <c r="C48" s="17">
        <v>3750</v>
      </c>
    </row>
    <row r="49" spans="1:3">
      <c r="A49" s="16" t="s">
        <v>279</v>
      </c>
      <c r="B49" s="17">
        <v>2</v>
      </c>
      <c r="C49" s="17">
        <v>2340</v>
      </c>
    </row>
    <row r="50" spans="1:3">
      <c r="A50" s="16" t="s">
        <v>539</v>
      </c>
      <c r="B50" s="17">
        <v>1</v>
      </c>
      <c r="C50" s="17">
        <v>850</v>
      </c>
    </row>
    <row r="51" spans="1:3">
      <c r="A51" s="16" t="s">
        <v>210</v>
      </c>
      <c r="B51" s="17">
        <v>1</v>
      </c>
      <c r="C51" s="17">
        <v>710</v>
      </c>
    </row>
    <row r="52" spans="1:3">
      <c r="A52" s="16" t="s">
        <v>129</v>
      </c>
      <c r="B52" s="17">
        <v>2</v>
      </c>
      <c r="C52" s="17">
        <v>2650</v>
      </c>
    </row>
    <row r="53" spans="1:3">
      <c r="A53" s="16" t="s">
        <v>35</v>
      </c>
      <c r="B53" s="17">
        <v>11</v>
      </c>
      <c r="C53" s="17">
        <v>13310</v>
      </c>
    </row>
    <row r="54" spans="1:3">
      <c r="A54" s="16" t="s">
        <v>148</v>
      </c>
      <c r="B54" s="17">
        <v>10</v>
      </c>
      <c r="C54" s="17">
        <v>14650</v>
      </c>
    </row>
    <row r="55" spans="1:3">
      <c r="A55" s="16" t="s">
        <v>28</v>
      </c>
      <c r="B55" s="17">
        <v>1</v>
      </c>
      <c r="C55" s="17">
        <v>1150</v>
      </c>
    </row>
    <row r="56" spans="1:3">
      <c r="A56" s="16" t="s">
        <v>12</v>
      </c>
      <c r="B56" s="17">
        <v>16</v>
      </c>
      <c r="C56" s="17">
        <v>20270</v>
      </c>
    </row>
    <row r="57" spans="1:3">
      <c r="A57" s="16" t="s">
        <v>535</v>
      </c>
      <c r="B57" s="17">
        <v>1</v>
      </c>
      <c r="C57" s="17">
        <v>1500</v>
      </c>
    </row>
    <row r="58" spans="1:3">
      <c r="A58" s="16" t="s">
        <v>377</v>
      </c>
      <c r="B58" s="17">
        <v>2</v>
      </c>
      <c r="C58" s="17">
        <v>3280</v>
      </c>
    </row>
    <row r="59" spans="1:3">
      <c r="A59" s="16" t="s">
        <v>230</v>
      </c>
      <c r="B59" s="17">
        <v>2</v>
      </c>
      <c r="C59" s="17">
        <v>3070</v>
      </c>
    </row>
    <row r="60" spans="1:3">
      <c r="A60" s="16" t="s">
        <v>302</v>
      </c>
      <c r="B60" s="17">
        <v>1</v>
      </c>
      <c r="C60" s="17">
        <v>1290</v>
      </c>
    </row>
    <row r="61" spans="1:3">
      <c r="A61" s="16" t="s">
        <v>120</v>
      </c>
      <c r="B61" s="17">
        <v>2</v>
      </c>
      <c r="C61" s="17">
        <v>2400</v>
      </c>
    </row>
    <row r="62" spans="1:3">
      <c r="A62" s="16" t="s">
        <v>745</v>
      </c>
      <c r="B62" s="17">
        <v>1</v>
      </c>
      <c r="C62" s="17">
        <v>870</v>
      </c>
    </row>
    <row r="63" spans="1:3">
      <c r="A63" s="16" t="s">
        <v>593</v>
      </c>
      <c r="B63" s="17">
        <v>1</v>
      </c>
      <c r="C63" s="17">
        <v>1220</v>
      </c>
    </row>
    <row r="64" spans="1:3">
      <c r="A64" s="16" t="s">
        <v>174</v>
      </c>
      <c r="B64" s="17">
        <v>2</v>
      </c>
      <c r="C64" s="17">
        <v>2500</v>
      </c>
    </row>
    <row r="65" spans="1:5">
      <c r="A65" s="16" t="s">
        <v>347</v>
      </c>
      <c r="B65" s="17">
        <v>1</v>
      </c>
      <c r="C65" s="17">
        <v>900</v>
      </c>
      <c r="D65" t="s">
        <v>1418</v>
      </c>
      <c r="E65">
        <f>MAX(C11:C66)</f>
        <v>122450</v>
      </c>
    </row>
    <row r="66" spans="1:5">
      <c r="A66" s="16" t="s">
        <v>453</v>
      </c>
      <c r="B66" s="17">
        <v>3</v>
      </c>
      <c r="C66" s="17">
        <v>3570</v>
      </c>
    </row>
    <row r="67" spans="1:5">
      <c r="A67" s="16" t="s">
        <v>837</v>
      </c>
      <c r="B67" s="17">
        <v>297</v>
      </c>
      <c r="C67" s="17">
        <v>384790</v>
      </c>
    </row>
    <row r="70" spans="1:5">
      <c r="A70" s="15" t="s">
        <v>838</v>
      </c>
      <c r="B70" s="15" t="s">
        <v>1417</v>
      </c>
    </row>
    <row r="71" spans="1:5">
      <c r="A71" s="15" t="s">
        <v>836</v>
      </c>
      <c r="B71" t="s">
        <v>16</v>
      </c>
      <c r="C71" t="s">
        <v>122</v>
      </c>
      <c r="D71" t="s">
        <v>837</v>
      </c>
    </row>
    <row r="72" spans="1:5">
      <c r="A72" s="16">
        <v>250</v>
      </c>
      <c r="B72" s="17">
        <v>250</v>
      </c>
      <c r="C72" s="17"/>
      <c r="D72" s="17">
        <v>250</v>
      </c>
    </row>
    <row r="73" spans="1:5">
      <c r="A73" s="49" t="s">
        <v>125</v>
      </c>
      <c r="B73" s="17">
        <v>250</v>
      </c>
      <c r="C73" s="17"/>
      <c r="D73" s="17">
        <v>250</v>
      </c>
    </row>
    <row r="74" spans="1:5">
      <c r="A74" s="16">
        <v>550</v>
      </c>
      <c r="B74" s="17">
        <v>550</v>
      </c>
      <c r="C74" s="17"/>
      <c r="D74" s="17">
        <v>550</v>
      </c>
    </row>
    <row r="75" spans="1:5">
      <c r="A75" s="49" t="s">
        <v>50</v>
      </c>
      <c r="B75" s="17">
        <v>550</v>
      </c>
      <c r="C75" s="17"/>
      <c r="D75" s="17">
        <v>550</v>
      </c>
    </row>
    <row r="76" spans="1:5">
      <c r="A76" s="16">
        <v>600</v>
      </c>
      <c r="B76" s="17">
        <v>600</v>
      </c>
      <c r="C76" s="17"/>
      <c r="D76" s="17">
        <v>600</v>
      </c>
    </row>
    <row r="77" spans="1:5">
      <c r="A77" s="49" t="s">
        <v>23</v>
      </c>
      <c r="B77" s="17">
        <v>600</v>
      </c>
      <c r="C77" s="17"/>
      <c r="D77" s="17">
        <v>600</v>
      </c>
    </row>
    <row r="78" spans="1:5">
      <c r="A78" s="16">
        <v>620</v>
      </c>
      <c r="B78" s="17">
        <v>620</v>
      </c>
      <c r="C78" s="17"/>
      <c r="D78" s="17">
        <v>620</v>
      </c>
    </row>
    <row r="79" spans="1:5">
      <c r="A79" s="49" t="s">
        <v>19</v>
      </c>
      <c r="B79" s="17">
        <v>620</v>
      </c>
      <c r="C79" s="17"/>
      <c r="D79" s="17">
        <v>620</v>
      </c>
    </row>
    <row r="80" spans="1:5">
      <c r="A80" s="16">
        <v>650</v>
      </c>
      <c r="B80" s="17">
        <v>650</v>
      </c>
      <c r="C80" s="17"/>
      <c r="D80" s="17">
        <v>650</v>
      </c>
    </row>
    <row r="81" spans="1:4">
      <c r="A81" s="49" t="s">
        <v>50</v>
      </c>
      <c r="B81" s="17">
        <v>650</v>
      </c>
      <c r="C81" s="17"/>
      <c r="D81" s="17">
        <v>650</v>
      </c>
    </row>
    <row r="82" spans="1:4">
      <c r="A82" s="16">
        <v>660</v>
      </c>
      <c r="B82" s="17">
        <v>660</v>
      </c>
      <c r="C82" s="17"/>
      <c r="D82" s="17">
        <v>660</v>
      </c>
    </row>
    <row r="83" spans="1:4">
      <c r="A83" s="49" t="s">
        <v>50</v>
      </c>
      <c r="B83" s="17">
        <v>660</v>
      </c>
      <c r="C83" s="17"/>
      <c r="D83" s="17">
        <v>660</v>
      </c>
    </row>
    <row r="84" spans="1:4">
      <c r="A84" s="16">
        <v>680</v>
      </c>
      <c r="B84" s="17">
        <v>680</v>
      </c>
      <c r="C84" s="17"/>
      <c r="D84" s="17">
        <v>680</v>
      </c>
    </row>
    <row r="85" spans="1:4">
      <c r="A85" s="49" t="s">
        <v>12</v>
      </c>
      <c r="B85" s="17">
        <v>680</v>
      </c>
      <c r="C85" s="17"/>
      <c r="D85" s="17">
        <v>680</v>
      </c>
    </row>
    <row r="86" spans="1:4">
      <c r="A86" s="16">
        <v>700</v>
      </c>
      <c r="B86" s="17">
        <v>2800</v>
      </c>
      <c r="C86" s="17"/>
      <c r="D86" s="17">
        <v>2800</v>
      </c>
    </row>
    <row r="87" spans="1:4">
      <c r="A87" s="49" t="s">
        <v>50</v>
      </c>
      <c r="B87" s="17">
        <v>1400</v>
      </c>
      <c r="C87" s="17"/>
      <c r="D87" s="17">
        <v>1400</v>
      </c>
    </row>
    <row r="88" spans="1:4">
      <c r="A88" s="49" t="s">
        <v>741</v>
      </c>
      <c r="B88" s="17">
        <v>700</v>
      </c>
      <c r="C88" s="17"/>
      <c r="D88" s="17">
        <v>700</v>
      </c>
    </row>
    <row r="89" spans="1:4">
      <c r="A89" s="49" t="s">
        <v>35</v>
      </c>
      <c r="B89" s="17">
        <v>700</v>
      </c>
      <c r="C89" s="17"/>
      <c r="D89" s="17">
        <v>700</v>
      </c>
    </row>
    <row r="90" spans="1:4">
      <c r="A90" s="16">
        <v>710</v>
      </c>
      <c r="B90" s="17">
        <v>1420</v>
      </c>
      <c r="C90" s="17"/>
      <c r="D90" s="17">
        <v>1420</v>
      </c>
    </row>
    <row r="91" spans="1:4">
      <c r="A91" s="49" t="s">
        <v>23</v>
      </c>
      <c r="B91" s="17">
        <v>710</v>
      </c>
      <c r="C91" s="17"/>
      <c r="D91" s="17">
        <v>710</v>
      </c>
    </row>
    <row r="92" spans="1:4">
      <c r="A92" s="49" t="s">
        <v>210</v>
      </c>
      <c r="B92" s="17">
        <v>710</v>
      </c>
      <c r="C92" s="17"/>
      <c r="D92" s="17">
        <v>710</v>
      </c>
    </row>
    <row r="93" spans="1:4">
      <c r="A93" s="16">
        <v>750</v>
      </c>
      <c r="B93" s="17">
        <v>1500</v>
      </c>
      <c r="C93" s="17">
        <v>750</v>
      </c>
      <c r="D93" s="17">
        <v>2250</v>
      </c>
    </row>
    <row r="94" spans="1:4">
      <c r="A94" s="49" t="s">
        <v>280</v>
      </c>
      <c r="B94" s="17">
        <v>750</v>
      </c>
      <c r="C94" s="17"/>
      <c r="D94" s="17">
        <v>750</v>
      </c>
    </row>
    <row r="95" spans="1:4">
      <c r="A95" s="49" t="s">
        <v>792</v>
      </c>
      <c r="B95" s="17">
        <v>750</v>
      </c>
      <c r="C95" s="17"/>
      <c r="D95" s="17">
        <v>750</v>
      </c>
    </row>
    <row r="96" spans="1:4">
      <c r="A96" s="49" t="s">
        <v>153</v>
      </c>
      <c r="B96" s="17"/>
      <c r="C96" s="17">
        <v>750</v>
      </c>
      <c r="D96" s="17">
        <v>750</v>
      </c>
    </row>
    <row r="97" spans="1:4">
      <c r="A97" s="16">
        <v>800</v>
      </c>
      <c r="B97" s="17">
        <v>4000</v>
      </c>
      <c r="C97" s="17"/>
      <c r="D97" s="17">
        <v>4000</v>
      </c>
    </row>
    <row r="98" spans="1:4">
      <c r="A98" s="49" t="s">
        <v>19</v>
      </c>
      <c r="B98" s="17">
        <v>1600</v>
      </c>
      <c r="C98" s="17"/>
      <c r="D98" s="17">
        <v>1600</v>
      </c>
    </row>
    <row r="99" spans="1:4">
      <c r="A99" s="49" t="s">
        <v>50</v>
      </c>
      <c r="B99" s="17">
        <v>2400</v>
      </c>
      <c r="C99" s="17"/>
      <c r="D99" s="17">
        <v>2400</v>
      </c>
    </row>
    <row r="100" spans="1:4">
      <c r="A100" s="16">
        <v>810</v>
      </c>
      <c r="B100" s="17">
        <v>1620</v>
      </c>
      <c r="C100" s="17">
        <v>1620</v>
      </c>
      <c r="D100" s="17">
        <v>3240</v>
      </c>
    </row>
    <row r="101" spans="1:4">
      <c r="A101" s="49" t="s">
        <v>50</v>
      </c>
      <c r="B101" s="17">
        <v>1620</v>
      </c>
      <c r="C101" s="17">
        <v>1620</v>
      </c>
      <c r="D101" s="17">
        <v>3240</v>
      </c>
    </row>
    <row r="102" spans="1:4">
      <c r="A102" s="16">
        <v>830</v>
      </c>
      <c r="B102" s="17">
        <v>830</v>
      </c>
      <c r="C102" s="17"/>
      <c r="D102" s="17">
        <v>830</v>
      </c>
    </row>
    <row r="103" spans="1:4">
      <c r="A103" s="49" t="s">
        <v>23</v>
      </c>
      <c r="B103" s="17">
        <v>830</v>
      </c>
      <c r="C103" s="17"/>
      <c r="D103" s="17">
        <v>830</v>
      </c>
    </row>
    <row r="104" spans="1:4">
      <c r="A104" s="16">
        <v>850</v>
      </c>
      <c r="B104" s="17">
        <v>5100</v>
      </c>
      <c r="C104" s="17"/>
      <c r="D104" s="17">
        <v>5100</v>
      </c>
    </row>
    <row r="105" spans="1:4">
      <c r="A105" s="49" t="s">
        <v>57</v>
      </c>
      <c r="B105" s="17">
        <v>1700</v>
      </c>
      <c r="C105" s="17"/>
      <c r="D105" s="17">
        <v>1700</v>
      </c>
    </row>
    <row r="106" spans="1:4">
      <c r="A106" s="49" t="s">
        <v>23</v>
      </c>
      <c r="B106" s="17">
        <v>850</v>
      </c>
      <c r="C106" s="17"/>
      <c r="D106" s="17">
        <v>850</v>
      </c>
    </row>
    <row r="107" spans="1:4">
      <c r="A107" s="49" t="s">
        <v>539</v>
      </c>
      <c r="B107" s="17">
        <v>850</v>
      </c>
      <c r="C107" s="17"/>
      <c r="D107" s="17">
        <v>850</v>
      </c>
    </row>
    <row r="108" spans="1:4">
      <c r="A108" s="49" t="s">
        <v>12</v>
      </c>
      <c r="B108" s="17">
        <v>1700</v>
      </c>
      <c r="C108" s="17"/>
      <c r="D108" s="17">
        <v>1700</v>
      </c>
    </row>
    <row r="109" spans="1:4">
      <c r="A109" s="16">
        <v>870</v>
      </c>
      <c r="B109" s="17">
        <v>3480</v>
      </c>
      <c r="C109" s="17"/>
      <c r="D109" s="17">
        <v>3480</v>
      </c>
    </row>
    <row r="110" spans="1:4">
      <c r="A110" s="49" t="s">
        <v>272</v>
      </c>
      <c r="B110" s="17">
        <v>870</v>
      </c>
      <c r="C110" s="17"/>
      <c r="D110" s="17">
        <v>870</v>
      </c>
    </row>
    <row r="111" spans="1:4">
      <c r="A111" s="49" t="s">
        <v>767</v>
      </c>
      <c r="B111" s="17">
        <v>870</v>
      </c>
      <c r="C111" s="17"/>
      <c r="D111" s="17">
        <v>870</v>
      </c>
    </row>
    <row r="112" spans="1:4">
      <c r="A112" s="49" t="s">
        <v>419</v>
      </c>
      <c r="B112" s="17">
        <v>870</v>
      </c>
      <c r="C112" s="17"/>
      <c r="D112" s="17">
        <v>870</v>
      </c>
    </row>
    <row r="113" spans="1:4">
      <c r="A113" s="49" t="s">
        <v>745</v>
      </c>
      <c r="B113" s="17">
        <v>870</v>
      </c>
      <c r="C113" s="17"/>
      <c r="D113" s="17">
        <v>870</v>
      </c>
    </row>
    <row r="114" spans="1:4">
      <c r="A114" s="16">
        <v>900</v>
      </c>
      <c r="B114" s="17">
        <v>6300</v>
      </c>
      <c r="C114" s="17"/>
      <c r="D114" s="17">
        <v>6300</v>
      </c>
    </row>
    <row r="115" spans="1:4">
      <c r="A115" s="49" t="s">
        <v>19</v>
      </c>
      <c r="B115" s="17">
        <v>900</v>
      </c>
      <c r="C115" s="17"/>
      <c r="D115" s="17">
        <v>900</v>
      </c>
    </row>
    <row r="116" spans="1:4">
      <c r="A116" s="49" t="s">
        <v>50</v>
      </c>
      <c r="B116" s="17">
        <v>1800</v>
      </c>
      <c r="C116" s="17"/>
      <c r="D116" s="17">
        <v>1800</v>
      </c>
    </row>
    <row r="117" spans="1:4">
      <c r="A117" s="49" t="s">
        <v>23</v>
      </c>
      <c r="B117" s="17">
        <v>900</v>
      </c>
      <c r="C117" s="17"/>
      <c r="D117" s="17">
        <v>900</v>
      </c>
    </row>
    <row r="118" spans="1:4">
      <c r="A118" s="49" t="s">
        <v>35</v>
      </c>
      <c r="B118" s="17">
        <v>900</v>
      </c>
      <c r="C118" s="17"/>
      <c r="D118" s="17">
        <v>900</v>
      </c>
    </row>
    <row r="119" spans="1:4">
      <c r="A119" s="49" t="s">
        <v>148</v>
      </c>
      <c r="B119" s="17">
        <v>900</v>
      </c>
      <c r="C119" s="17"/>
      <c r="D119" s="17">
        <v>900</v>
      </c>
    </row>
    <row r="120" spans="1:4">
      <c r="A120" s="49" t="s">
        <v>347</v>
      </c>
      <c r="B120" s="17">
        <v>900</v>
      </c>
      <c r="C120" s="17"/>
      <c r="D120" s="17">
        <v>900</v>
      </c>
    </row>
    <row r="121" spans="1:4">
      <c r="A121" s="16">
        <v>930</v>
      </c>
      <c r="B121" s="17">
        <v>930</v>
      </c>
      <c r="C121" s="17"/>
      <c r="D121" s="17">
        <v>930</v>
      </c>
    </row>
    <row r="122" spans="1:4">
      <c r="A122" s="49" t="s">
        <v>50</v>
      </c>
      <c r="B122" s="17">
        <v>930</v>
      </c>
      <c r="C122" s="17"/>
      <c r="D122" s="17">
        <v>930</v>
      </c>
    </row>
    <row r="123" spans="1:4">
      <c r="A123" s="16">
        <v>950</v>
      </c>
      <c r="B123" s="17">
        <v>5700</v>
      </c>
      <c r="C123" s="17"/>
      <c r="D123" s="17">
        <v>5700</v>
      </c>
    </row>
    <row r="124" spans="1:4">
      <c r="A124" s="49" t="s">
        <v>19</v>
      </c>
      <c r="B124" s="17">
        <v>950</v>
      </c>
      <c r="C124" s="17"/>
      <c r="D124" s="17">
        <v>950</v>
      </c>
    </row>
    <row r="125" spans="1:4">
      <c r="A125" s="49" t="s">
        <v>50</v>
      </c>
      <c r="B125" s="17">
        <v>1900</v>
      </c>
      <c r="C125" s="17"/>
      <c r="D125" s="17">
        <v>1900</v>
      </c>
    </row>
    <row r="126" spans="1:4">
      <c r="A126" s="49" t="s">
        <v>23</v>
      </c>
      <c r="B126" s="17">
        <v>950</v>
      </c>
      <c r="C126" s="17"/>
      <c r="D126" s="17">
        <v>950</v>
      </c>
    </row>
    <row r="127" spans="1:4">
      <c r="A127" s="49" t="s">
        <v>550</v>
      </c>
      <c r="B127" s="17">
        <v>950</v>
      </c>
      <c r="C127" s="17"/>
      <c r="D127" s="17">
        <v>950</v>
      </c>
    </row>
    <row r="128" spans="1:4">
      <c r="A128" s="49" t="s">
        <v>35</v>
      </c>
      <c r="B128" s="17">
        <v>950</v>
      </c>
      <c r="C128" s="17"/>
      <c r="D128" s="17">
        <v>950</v>
      </c>
    </row>
    <row r="129" spans="1:4">
      <c r="A129" s="16">
        <v>960</v>
      </c>
      <c r="B129" s="17">
        <v>960</v>
      </c>
      <c r="C129" s="17"/>
      <c r="D129" s="17">
        <v>960</v>
      </c>
    </row>
    <row r="130" spans="1:4">
      <c r="A130" s="49" t="s">
        <v>50</v>
      </c>
      <c r="B130" s="17">
        <v>960</v>
      </c>
      <c r="C130" s="17"/>
      <c r="D130" s="17">
        <v>960</v>
      </c>
    </row>
    <row r="131" spans="1:4">
      <c r="A131" s="16">
        <v>1000</v>
      </c>
      <c r="B131" s="17">
        <v>21000</v>
      </c>
      <c r="C131" s="17">
        <v>1000</v>
      </c>
      <c r="D131" s="17">
        <v>22000</v>
      </c>
    </row>
    <row r="132" spans="1:4">
      <c r="A132" s="49" t="s">
        <v>686</v>
      </c>
      <c r="B132" s="17">
        <v>1000</v>
      </c>
      <c r="C132" s="17"/>
      <c r="D132" s="17">
        <v>1000</v>
      </c>
    </row>
    <row r="133" spans="1:4">
      <c r="A133" s="49" t="s">
        <v>19</v>
      </c>
      <c r="B133" s="17">
        <v>2000</v>
      </c>
      <c r="C133" s="17"/>
      <c r="D133" s="17">
        <v>2000</v>
      </c>
    </row>
    <row r="134" spans="1:4">
      <c r="A134" s="49" t="s">
        <v>50</v>
      </c>
      <c r="B134" s="17">
        <v>8000</v>
      </c>
      <c r="C134" s="17"/>
      <c r="D134" s="17">
        <v>8000</v>
      </c>
    </row>
    <row r="135" spans="1:4">
      <c r="A135" s="49" t="s">
        <v>731</v>
      </c>
      <c r="B135" s="17">
        <v>1000</v>
      </c>
      <c r="C135" s="17"/>
      <c r="D135" s="17">
        <v>1000</v>
      </c>
    </row>
    <row r="136" spans="1:4">
      <c r="A136" s="49" t="s">
        <v>23</v>
      </c>
      <c r="B136" s="17">
        <v>3000</v>
      </c>
      <c r="C136" s="17">
        <v>1000</v>
      </c>
      <c r="D136" s="17">
        <v>4000</v>
      </c>
    </row>
    <row r="137" spans="1:4">
      <c r="A137" s="49" t="s">
        <v>35</v>
      </c>
      <c r="B137" s="17">
        <v>1000</v>
      </c>
      <c r="C137" s="17"/>
      <c r="D137" s="17">
        <v>1000</v>
      </c>
    </row>
    <row r="138" spans="1:4">
      <c r="A138" s="49" t="s">
        <v>148</v>
      </c>
      <c r="B138" s="17">
        <v>2000</v>
      </c>
      <c r="C138" s="17"/>
      <c r="D138" s="17">
        <v>2000</v>
      </c>
    </row>
    <row r="139" spans="1:4">
      <c r="A139" s="49" t="s">
        <v>12</v>
      </c>
      <c r="B139" s="17">
        <v>3000</v>
      </c>
      <c r="C139" s="17"/>
      <c r="D139" s="17">
        <v>3000</v>
      </c>
    </row>
    <row r="140" spans="1:4">
      <c r="A140" s="16">
        <v>1020</v>
      </c>
      <c r="B140" s="17">
        <v>5100</v>
      </c>
      <c r="C140" s="17">
        <v>1020</v>
      </c>
      <c r="D140" s="17">
        <v>6120</v>
      </c>
    </row>
    <row r="141" spans="1:4">
      <c r="A141" s="49" t="s">
        <v>385</v>
      </c>
      <c r="B141" s="17">
        <v>1020</v>
      </c>
      <c r="C141" s="17"/>
      <c r="D141" s="17">
        <v>1020</v>
      </c>
    </row>
    <row r="142" spans="1:4">
      <c r="A142" s="49" t="s">
        <v>792</v>
      </c>
      <c r="B142" s="17">
        <v>1020</v>
      </c>
      <c r="C142" s="17"/>
      <c r="D142" s="17">
        <v>1020</v>
      </c>
    </row>
    <row r="143" spans="1:4">
      <c r="A143" s="49" t="s">
        <v>40</v>
      </c>
      <c r="B143" s="17"/>
      <c r="C143" s="17">
        <v>1020</v>
      </c>
      <c r="D143" s="17">
        <v>1020</v>
      </c>
    </row>
    <row r="144" spans="1:4">
      <c r="A144" s="49" t="s">
        <v>170</v>
      </c>
      <c r="B144" s="17">
        <v>1020</v>
      </c>
      <c r="C144" s="17"/>
      <c r="D144" s="17">
        <v>1020</v>
      </c>
    </row>
    <row r="145" spans="1:4">
      <c r="A145" s="49" t="s">
        <v>474</v>
      </c>
      <c r="B145" s="17">
        <v>1020</v>
      </c>
      <c r="C145" s="17"/>
      <c r="D145" s="17">
        <v>1020</v>
      </c>
    </row>
    <row r="146" spans="1:4">
      <c r="A146" s="49" t="s">
        <v>638</v>
      </c>
      <c r="B146" s="17">
        <v>1020</v>
      </c>
      <c r="C146" s="17"/>
      <c r="D146" s="17">
        <v>1020</v>
      </c>
    </row>
    <row r="147" spans="1:4">
      <c r="A147" s="16">
        <v>1030</v>
      </c>
      <c r="B147" s="17">
        <v>1030</v>
      </c>
      <c r="C147" s="17"/>
      <c r="D147" s="17">
        <v>1030</v>
      </c>
    </row>
    <row r="148" spans="1:4">
      <c r="A148" s="49" t="s">
        <v>377</v>
      </c>
      <c r="B148" s="17">
        <v>1030</v>
      </c>
      <c r="C148" s="17"/>
      <c r="D148" s="17">
        <v>1030</v>
      </c>
    </row>
    <row r="149" spans="1:4">
      <c r="A149" s="16">
        <v>1050</v>
      </c>
      <c r="B149" s="17">
        <v>9450</v>
      </c>
      <c r="C149" s="17">
        <v>1050</v>
      </c>
      <c r="D149" s="17">
        <v>10500</v>
      </c>
    </row>
    <row r="150" spans="1:4">
      <c r="A150" s="49" t="s">
        <v>272</v>
      </c>
      <c r="B150" s="17">
        <v>1050</v>
      </c>
      <c r="C150" s="17"/>
      <c r="D150" s="17">
        <v>1050</v>
      </c>
    </row>
    <row r="151" spans="1:4">
      <c r="A151" s="49" t="s">
        <v>177</v>
      </c>
      <c r="B151" s="17">
        <v>1050</v>
      </c>
      <c r="C151" s="17"/>
      <c r="D151" s="17">
        <v>1050</v>
      </c>
    </row>
    <row r="152" spans="1:4">
      <c r="A152" s="49" t="s">
        <v>85</v>
      </c>
      <c r="B152" s="17">
        <v>1050</v>
      </c>
      <c r="C152" s="17"/>
      <c r="D152" s="17">
        <v>1050</v>
      </c>
    </row>
    <row r="153" spans="1:4">
      <c r="A153" s="49" t="s">
        <v>50</v>
      </c>
      <c r="B153" s="17">
        <v>1050</v>
      </c>
      <c r="C153" s="17"/>
      <c r="D153" s="17">
        <v>1050</v>
      </c>
    </row>
    <row r="154" spans="1:4">
      <c r="A154" s="49" t="s">
        <v>23</v>
      </c>
      <c r="B154" s="17">
        <v>2100</v>
      </c>
      <c r="C154" s="17"/>
      <c r="D154" s="17">
        <v>2100</v>
      </c>
    </row>
    <row r="155" spans="1:4">
      <c r="A155" s="49" t="s">
        <v>419</v>
      </c>
      <c r="B155" s="17">
        <v>1050</v>
      </c>
      <c r="C155" s="17"/>
      <c r="D155" s="17">
        <v>1050</v>
      </c>
    </row>
    <row r="156" spans="1:4">
      <c r="A156" s="49" t="s">
        <v>40</v>
      </c>
      <c r="B156" s="17">
        <v>1050</v>
      </c>
      <c r="C156" s="17"/>
      <c r="D156" s="17">
        <v>1050</v>
      </c>
    </row>
    <row r="157" spans="1:4">
      <c r="A157" s="49" t="s">
        <v>12</v>
      </c>
      <c r="B157" s="17">
        <v>1050</v>
      </c>
      <c r="C157" s="17"/>
      <c r="D157" s="17">
        <v>1050</v>
      </c>
    </row>
    <row r="158" spans="1:4">
      <c r="A158" s="49" t="s">
        <v>120</v>
      </c>
      <c r="B158" s="17"/>
      <c r="C158" s="17">
        <v>1050</v>
      </c>
      <c r="D158" s="17">
        <v>1050</v>
      </c>
    </row>
    <row r="159" spans="1:4">
      <c r="A159" s="16">
        <v>1070</v>
      </c>
      <c r="B159" s="17">
        <v>2140</v>
      </c>
      <c r="C159" s="17"/>
      <c r="D159" s="17">
        <v>2140</v>
      </c>
    </row>
    <row r="160" spans="1:4">
      <c r="A160" s="49" t="s">
        <v>19</v>
      </c>
      <c r="B160" s="17">
        <v>1070</v>
      </c>
      <c r="C160" s="17"/>
      <c r="D160" s="17">
        <v>1070</v>
      </c>
    </row>
    <row r="161" spans="1:4">
      <c r="A161" s="49" t="s">
        <v>50</v>
      </c>
      <c r="B161" s="17">
        <v>1070</v>
      </c>
      <c r="C161" s="17"/>
      <c r="D161" s="17">
        <v>1070</v>
      </c>
    </row>
    <row r="162" spans="1:4">
      <c r="A162" s="16">
        <v>1080</v>
      </c>
      <c r="B162" s="17">
        <v>2160</v>
      </c>
      <c r="C162" s="17">
        <v>1080</v>
      </c>
      <c r="D162" s="17">
        <v>3240</v>
      </c>
    </row>
    <row r="163" spans="1:4">
      <c r="A163" s="49" t="s">
        <v>50</v>
      </c>
      <c r="B163" s="17">
        <v>2160</v>
      </c>
      <c r="C163" s="17">
        <v>1080</v>
      </c>
      <c r="D163" s="17">
        <v>3240</v>
      </c>
    </row>
    <row r="164" spans="1:4">
      <c r="A164" s="16">
        <v>1100</v>
      </c>
      <c r="B164" s="17">
        <v>11000</v>
      </c>
      <c r="C164" s="17"/>
      <c r="D164" s="17">
        <v>11000</v>
      </c>
    </row>
    <row r="165" spans="1:4">
      <c r="A165" s="49" t="s">
        <v>19</v>
      </c>
      <c r="B165" s="17">
        <v>1100</v>
      </c>
      <c r="C165" s="17"/>
      <c r="D165" s="17">
        <v>1100</v>
      </c>
    </row>
    <row r="166" spans="1:4">
      <c r="A166" s="49" t="s">
        <v>50</v>
      </c>
      <c r="B166" s="17">
        <v>5500</v>
      </c>
      <c r="C166" s="17"/>
      <c r="D166" s="17">
        <v>5500</v>
      </c>
    </row>
    <row r="167" spans="1:4">
      <c r="A167" s="49" t="s">
        <v>23</v>
      </c>
      <c r="B167" s="17">
        <v>1100</v>
      </c>
      <c r="C167" s="17"/>
      <c r="D167" s="17">
        <v>1100</v>
      </c>
    </row>
    <row r="168" spans="1:4">
      <c r="A168" s="49" t="s">
        <v>550</v>
      </c>
      <c r="B168" s="17">
        <v>1100</v>
      </c>
      <c r="C168" s="17"/>
      <c r="D168" s="17">
        <v>1100</v>
      </c>
    </row>
    <row r="169" spans="1:4">
      <c r="A169" s="49" t="s">
        <v>129</v>
      </c>
      <c r="B169" s="17">
        <v>1100</v>
      </c>
      <c r="C169" s="17"/>
      <c r="D169" s="17">
        <v>1100</v>
      </c>
    </row>
    <row r="170" spans="1:4">
      <c r="A170" s="49" t="s">
        <v>12</v>
      </c>
      <c r="B170" s="17">
        <v>1100</v>
      </c>
      <c r="C170" s="17"/>
      <c r="D170" s="17">
        <v>1100</v>
      </c>
    </row>
    <row r="171" spans="1:4">
      <c r="A171" s="16">
        <v>1110</v>
      </c>
      <c r="B171" s="17">
        <v>1110</v>
      </c>
      <c r="C171" s="17"/>
      <c r="D171" s="17">
        <v>1110</v>
      </c>
    </row>
    <row r="172" spans="1:4">
      <c r="A172" s="49" t="s">
        <v>50</v>
      </c>
      <c r="B172" s="17">
        <v>1110</v>
      </c>
      <c r="C172" s="17"/>
      <c r="D172" s="17">
        <v>1110</v>
      </c>
    </row>
    <row r="173" spans="1:4">
      <c r="A173" s="16">
        <v>1120</v>
      </c>
      <c r="B173" s="17">
        <v>6720</v>
      </c>
      <c r="C173" s="17"/>
      <c r="D173" s="17">
        <v>6720</v>
      </c>
    </row>
    <row r="174" spans="1:4">
      <c r="A174" s="49" t="s">
        <v>50</v>
      </c>
      <c r="B174" s="17">
        <v>2240</v>
      </c>
      <c r="C174" s="17"/>
      <c r="D174" s="17">
        <v>2240</v>
      </c>
    </row>
    <row r="175" spans="1:4">
      <c r="A175" s="49" t="s">
        <v>23</v>
      </c>
      <c r="B175" s="17">
        <v>3360</v>
      </c>
      <c r="C175" s="17"/>
      <c r="D175" s="17">
        <v>3360</v>
      </c>
    </row>
    <row r="176" spans="1:4">
      <c r="A176" s="49" t="s">
        <v>12</v>
      </c>
      <c r="B176" s="17">
        <v>1120</v>
      </c>
      <c r="C176" s="17"/>
      <c r="D176" s="17">
        <v>1120</v>
      </c>
    </row>
    <row r="177" spans="1:4">
      <c r="A177" s="16">
        <v>1130</v>
      </c>
      <c r="B177" s="17">
        <v>3390</v>
      </c>
      <c r="C177" s="17"/>
      <c r="D177" s="17">
        <v>3390</v>
      </c>
    </row>
    <row r="178" spans="1:4">
      <c r="A178" s="49" t="s">
        <v>19</v>
      </c>
      <c r="B178" s="17">
        <v>1130</v>
      </c>
      <c r="C178" s="17"/>
      <c r="D178" s="17">
        <v>1130</v>
      </c>
    </row>
    <row r="179" spans="1:4">
      <c r="A179" s="49" t="s">
        <v>142</v>
      </c>
      <c r="B179" s="17">
        <v>1130</v>
      </c>
      <c r="C179" s="17"/>
      <c r="D179" s="17">
        <v>1130</v>
      </c>
    </row>
    <row r="180" spans="1:4">
      <c r="A180" s="49" t="s">
        <v>453</v>
      </c>
      <c r="B180" s="17">
        <v>1130</v>
      </c>
      <c r="C180" s="17"/>
      <c r="D180" s="17">
        <v>1130</v>
      </c>
    </row>
    <row r="181" spans="1:4">
      <c r="A181" s="16">
        <v>1140</v>
      </c>
      <c r="B181" s="17">
        <v>4560</v>
      </c>
      <c r="C181" s="17">
        <v>1140</v>
      </c>
      <c r="D181" s="17">
        <v>5700</v>
      </c>
    </row>
    <row r="182" spans="1:4">
      <c r="A182" s="49" t="s">
        <v>170</v>
      </c>
      <c r="B182" s="17">
        <v>1140</v>
      </c>
      <c r="C182" s="17"/>
      <c r="D182" s="17">
        <v>1140</v>
      </c>
    </row>
    <row r="183" spans="1:4">
      <c r="A183" s="49" t="s">
        <v>474</v>
      </c>
      <c r="B183" s="17">
        <v>1140</v>
      </c>
      <c r="C183" s="17">
        <v>1140</v>
      </c>
      <c r="D183" s="17">
        <v>2280</v>
      </c>
    </row>
    <row r="184" spans="1:4">
      <c r="A184" s="49" t="s">
        <v>148</v>
      </c>
      <c r="B184" s="17">
        <v>1140</v>
      </c>
      <c r="C184" s="17"/>
      <c r="D184" s="17">
        <v>1140</v>
      </c>
    </row>
    <row r="185" spans="1:4">
      <c r="A185" s="49" t="s">
        <v>453</v>
      </c>
      <c r="B185" s="17">
        <v>1140</v>
      </c>
      <c r="C185" s="17"/>
      <c r="D185" s="17">
        <v>1140</v>
      </c>
    </row>
    <row r="186" spans="1:4">
      <c r="A186" s="16">
        <v>1150</v>
      </c>
      <c r="B186" s="17">
        <v>23000</v>
      </c>
      <c r="C186" s="17">
        <v>1150</v>
      </c>
      <c r="D186" s="17">
        <v>24150</v>
      </c>
    </row>
    <row r="187" spans="1:4">
      <c r="A187" s="49" t="s">
        <v>76</v>
      </c>
      <c r="B187" s="17">
        <v>1150</v>
      </c>
      <c r="C187" s="17"/>
      <c r="D187" s="17">
        <v>1150</v>
      </c>
    </row>
    <row r="188" spans="1:4">
      <c r="A188" s="49" t="s">
        <v>57</v>
      </c>
      <c r="B188" s="17">
        <v>2300</v>
      </c>
      <c r="C188" s="17"/>
      <c r="D188" s="17">
        <v>2300</v>
      </c>
    </row>
    <row r="189" spans="1:4">
      <c r="A189" s="49" t="s">
        <v>19</v>
      </c>
      <c r="B189" s="17">
        <v>3450</v>
      </c>
      <c r="C189" s="17"/>
      <c r="D189" s="17">
        <v>3450</v>
      </c>
    </row>
    <row r="190" spans="1:4">
      <c r="A190" s="49" t="s">
        <v>50</v>
      </c>
      <c r="B190" s="17">
        <v>10350</v>
      </c>
      <c r="C190" s="17"/>
      <c r="D190" s="17">
        <v>10350</v>
      </c>
    </row>
    <row r="191" spans="1:4">
      <c r="A191" s="49" t="s">
        <v>67</v>
      </c>
      <c r="B191" s="17">
        <v>1150</v>
      </c>
      <c r="C191" s="17">
        <v>1150</v>
      </c>
      <c r="D191" s="17">
        <v>2300</v>
      </c>
    </row>
    <row r="192" spans="1:4">
      <c r="A192" s="49" t="s">
        <v>23</v>
      </c>
      <c r="B192" s="17">
        <v>2300</v>
      </c>
      <c r="C192" s="17"/>
      <c r="D192" s="17">
        <v>2300</v>
      </c>
    </row>
    <row r="193" spans="1:4">
      <c r="A193" s="49" t="s">
        <v>35</v>
      </c>
      <c r="B193" s="17">
        <v>1150</v>
      </c>
      <c r="C193" s="17"/>
      <c r="D193" s="17">
        <v>1150</v>
      </c>
    </row>
    <row r="194" spans="1:4">
      <c r="A194" s="49" t="s">
        <v>28</v>
      </c>
      <c r="B194" s="17">
        <v>1150</v>
      </c>
      <c r="C194" s="17"/>
      <c r="D194" s="17">
        <v>1150</v>
      </c>
    </row>
    <row r="195" spans="1:4">
      <c r="A195" s="16">
        <v>1170</v>
      </c>
      <c r="B195" s="17">
        <v>11700</v>
      </c>
      <c r="C195" s="17"/>
      <c r="D195" s="17">
        <v>11700</v>
      </c>
    </row>
    <row r="196" spans="1:4">
      <c r="A196" s="49" t="s">
        <v>125</v>
      </c>
      <c r="B196" s="17">
        <v>2340</v>
      </c>
      <c r="C196" s="17"/>
      <c r="D196" s="17">
        <v>2340</v>
      </c>
    </row>
    <row r="197" spans="1:4">
      <c r="A197" s="49" t="s">
        <v>23</v>
      </c>
      <c r="B197" s="17">
        <v>5850</v>
      </c>
      <c r="C197" s="17"/>
      <c r="D197" s="17">
        <v>5850</v>
      </c>
    </row>
    <row r="198" spans="1:4">
      <c r="A198" s="49" t="s">
        <v>279</v>
      </c>
      <c r="B198" s="17">
        <v>2340</v>
      </c>
      <c r="C198" s="17"/>
      <c r="D198" s="17">
        <v>2340</v>
      </c>
    </row>
    <row r="199" spans="1:4">
      <c r="A199" s="49" t="s">
        <v>12</v>
      </c>
      <c r="B199" s="17">
        <v>1170</v>
      </c>
      <c r="C199" s="17"/>
      <c r="D199" s="17">
        <v>1170</v>
      </c>
    </row>
    <row r="200" spans="1:4">
      <c r="A200" s="16">
        <v>1200</v>
      </c>
      <c r="B200" s="17">
        <v>7200</v>
      </c>
      <c r="C200" s="17"/>
      <c r="D200" s="17">
        <v>7200</v>
      </c>
    </row>
    <row r="201" spans="1:4">
      <c r="A201" s="49" t="s">
        <v>125</v>
      </c>
      <c r="B201" s="17">
        <v>1200</v>
      </c>
      <c r="C201" s="17"/>
      <c r="D201" s="17">
        <v>1200</v>
      </c>
    </row>
    <row r="202" spans="1:4">
      <c r="A202" s="49" t="s">
        <v>50</v>
      </c>
      <c r="B202" s="17">
        <v>1200</v>
      </c>
      <c r="C202" s="17"/>
      <c r="D202" s="17">
        <v>1200</v>
      </c>
    </row>
    <row r="203" spans="1:4">
      <c r="A203" s="49" t="s">
        <v>339</v>
      </c>
      <c r="B203" s="17">
        <v>1200</v>
      </c>
      <c r="C203" s="17"/>
      <c r="D203" s="17">
        <v>1200</v>
      </c>
    </row>
    <row r="204" spans="1:4">
      <c r="A204" s="49" t="s">
        <v>23</v>
      </c>
      <c r="B204" s="17">
        <v>1200</v>
      </c>
      <c r="C204" s="17"/>
      <c r="D204" s="17">
        <v>1200</v>
      </c>
    </row>
    <row r="205" spans="1:4">
      <c r="A205" s="49" t="s">
        <v>401</v>
      </c>
      <c r="B205" s="17">
        <v>1200</v>
      </c>
      <c r="C205" s="17"/>
      <c r="D205" s="17">
        <v>1200</v>
      </c>
    </row>
    <row r="206" spans="1:4">
      <c r="A206" s="49" t="s">
        <v>174</v>
      </c>
      <c r="B206" s="17">
        <v>1200</v>
      </c>
      <c r="C206" s="17"/>
      <c r="D206" s="17">
        <v>1200</v>
      </c>
    </row>
    <row r="207" spans="1:4">
      <c r="A207" s="16">
        <v>1220</v>
      </c>
      <c r="B207" s="17">
        <v>7320</v>
      </c>
      <c r="C207" s="17"/>
      <c r="D207" s="17">
        <v>7320</v>
      </c>
    </row>
    <row r="208" spans="1:4">
      <c r="A208" s="49" t="s">
        <v>76</v>
      </c>
      <c r="B208" s="17">
        <v>1220</v>
      </c>
      <c r="C208" s="17"/>
      <c r="D208" s="17">
        <v>1220</v>
      </c>
    </row>
    <row r="209" spans="1:4">
      <c r="A209" s="49" t="s">
        <v>272</v>
      </c>
      <c r="B209" s="17">
        <v>1220</v>
      </c>
      <c r="C209" s="17"/>
      <c r="D209" s="17">
        <v>1220</v>
      </c>
    </row>
    <row r="210" spans="1:4">
      <c r="A210" s="49" t="s">
        <v>50</v>
      </c>
      <c r="B210" s="17">
        <v>1220</v>
      </c>
      <c r="C210" s="17"/>
      <c r="D210" s="17">
        <v>1220</v>
      </c>
    </row>
    <row r="211" spans="1:4">
      <c r="A211" s="49" t="s">
        <v>23</v>
      </c>
      <c r="B211" s="17">
        <v>1220</v>
      </c>
      <c r="C211" s="17"/>
      <c r="D211" s="17">
        <v>1220</v>
      </c>
    </row>
    <row r="212" spans="1:4">
      <c r="A212" s="49" t="s">
        <v>201</v>
      </c>
      <c r="B212" s="17">
        <v>1220</v>
      </c>
      <c r="C212" s="17"/>
      <c r="D212" s="17">
        <v>1220</v>
      </c>
    </row>
    <row r="213" spans="1:4">
      <c r="A213" s="49" t="s">
        <v>593</v>
      </c>
      <c r="B213" s="17">
        <v>1220</v>
      </c>
      <c r="C213" s="17"/>
      <c r="D213" s="17">
        <v>1220</v>
      </c>
    </row>
    <row r="214" spans="1:4">
      <c r="A214" s="16">
        <v>1230</v>
      </c>
      <c r="B214" s="17">
        <v>4920</v>
      </c>
      <c r="C214" s="17"/>
      <c r="D214" s="17">
        <v>4920</v>
      </c>
    </row>
    <row r="215" spans="1:4">
      <c r="A215" s="49" t="s">
        <v>50</v>
      </c>
      <c r="B215" s="17">
        <v>4920</v>
      </c>
      <c r="C215" s="17"/>
      <c r="D215" s="17">
        <v>4920</v>
      </c>
    </row>
    <row r="216" spans="1:4">
      <c r="A216" s="16">
        <v>1250</v>
      </c>
      <c r="B216" s="17">
        <v>15000</v>
      </c>
      <c r="C216" s="17"/>
      <c r="D216" s="17">
        <v>15000</v>
      </c>
    </row>
    <row r="217" spans="1:4">
      <c r="A217" s="49" t="s">
        <v>235</v>
      </c>
      <c r="B217" s="17">
        <v>1250</v>
      </c>
      <c r="C217" s="17"/>
      <c r="D217" s="17">
        <v>1250</v>
      </c>
    </row>
    <row r="218" spans="1:4">
      <c r="A218" s="49" t="s">
        <v>30</v>
      </c>
      <c r="B218" s="17">
        <v>1250</v>
      </c>
      <c r="C218" s="17"/>
      <c r="D218" s="17">
        <v>1250</v>
      </c>
    </row>
    <row r="219" spans="1:4">
      <c r="A219" s="49" t="s">
        <v>19</v>
      </c>
      <c r="B219" s="17">
        <v>2500</v>
      </c>
      <c r="C219" s="17"/>
      <c r="D219" s="17">
        <v>2500</v>
      </c>
    </row>
    <row r="220" spans="1:4">
      <c r="A220" s="49" t="s">
        <v>50</v>
      </c>
      <c r="B220" s="17">
        <v>1250</v>
      </c>
      <c r="C220" s="17"/>
      <c r="D220" s="17">
        <v>1250</v>
      </c>
    </row>
    <row r="221" spans="1:4">
      <c r="A221" s="49" t="s">
        <v>23</v>
      </c>
      <c r="B221" s="17">
        <v>5000</v>
      </c>
      <c r="C221" s="17"/>
      <c r="D221" s="17">
        <v>5000</v>
      </c>
    </row>
    <row r="222" spans="1:4">
      <c r="A222" s="49" t="s">
        <v>201</v>
      </c>
      <c r="B222" s="17">
        <v>1250</v>
      </c>
      <c r="C222" s="17"/>
      <c r="D222" s="17">
        <v>1250</v>
      </c>
    </row>
    <row r="223" spans="1:4">
      <c r="A223" s="49" t="s">
        <v>199</v>
      </c>
      <c r="B223" s="17">
        <v>1250</v>
      </c>
      <c r="C223" s="17"/>
      <c r="D223" s="17">
        <v>1250</v>
      </c>
    </row>
    <row r="224" spans="1:4">
      <c r="A224" s="49" t="s">
        <v>12</v>
      </c>
      <c r="B224" s="17">
        <v>1250</v>
      </c>
      <c r="C224" s="17"/>
      <c r="D224" s="17">
        <v>1250</v>
      </c>
    </row>
    <row r="225" spans="1:4">
      <c r="A225" s="16">
        <v>1260</v>
      </c>
      <c r="B225" s="17">
        <v>1260</v>
      </c>
      <c r="C225" s="17"/>
      <c r="D225" s="17">
        <v>1260</v>
      </c>
    </row>
    <row r="226" spans="1:4">
      <c r="A226" s="49" t="s">
        <v>148</v>
      </c>
      <c r="B226" s="17">
        <v>1260</v>
      </c>
      <c r="C226" s="17"/>
      <c r="D226" s="17">
        <v>1260</v>
      </c>
    </row>
    <row r="227" spans="1:4">
      <c r="A227" s="16">
        <v>1280</v>
      </c>
      <c r="B227" s="17">
        <v>1280</v>
      </c>
      <c r="C227" s="17"/>
      <c r="D227" s="17">
        <v>1280</v>
      </c>
    </row>
    <row r="228" spans="1:4">
      <c r="A228" s="49" t="s">
        <v>50</v>
      </c>
      <c r="B228" s="17">
        <v>1280</v>
      </c>
      <c r="C228" s="17"/>
      <c r="D228" s="17">
        <v>1280</v>
      </c>
    </row>
    <row r="229" spans="1:4">
      <c r="A229" s="16">
        <v>1290</v>
      </c>
      <c r="B229" s="17">
        <v>6450</v>
      </c>
      <c r="C229" s="17">
        <v>2580</v>
      </c>
      <c r="D229" s="17">
        <v>9030</v>
      </c>
    </row>
    <row r="230" spans="1:4">
      <c r="A230" s="49" t="s">
        <v>76</v>
      </c>
      <c r="B230" s="17"/>
      <c r="C230" s="17">
        <v>1290</v>
      </c>
      <c r="D230" s="17">
        <v>1290</v>
      </c>
    </row>
    <row r="231" spans="1:4">
      <c r="A231" s="49" t="s">
        <v>272</v>
      </c>
      <c r="B231" s="17">
        <v>1290</v>
      </c>
      <c r="C231" s="17"/>
      <c r="D231" s="17">
        <v>1290</v>
      </c>
    </row>
    <row r="232" spans="1:4">
      <c r="A232" s="49" t="s">
        <v>813</v>
      </c>
      <c r="B232" s="17">
        <v>1290</v>
      </c>
      <c r="C232" s="17"/>
      <c r="D232" s="17">
        <v>1290</v>
      </c>
    </row>
    <row r="233" spans="1:4">
      <c r="A233" s="49" t="s">
        <v>57</v>
      </c>
      <c r="B233" s="17"/>
      <c r="C233" s="17">
        <v>1290</v>
      </c>
      <c r="D233" s="17">
        <v>1290</v>
      </c>
    </row>
    <row r="234" spans="1:4">
      <c r="A234" s="49" t="s">
        <v>30</v>
      </c>
      <c r="B234" s="17">
        <v>1290</v>
      </c>
      <c r="C234" s="17"/>
      <c r="D234" s="17">
        <v>1290</v>
      </c>
    </row>
    <row r="235" spans="1:4">
      <c r="A235" s="49" t="s">
        <v>652</v>
      </c>
      <c r="B235" s="17">
        <v>1290</v>
      </c>
      <c r="C235" s="17"/>
      <c r="D235" s="17">
        <v>1290</v>
      </c>
    </row>
    <row r="236" spans="1:4">
      <c r="A236" s="49" t="s">
        <v>302</v>
      </c>
      <c r="B236" s="17">
        <v>1290</v>
      </c>
      <c r="C236" s="17"/>
      <c r="D236" s="17">
        <v>1290</v>
      </c>
    </row>
    <row r="237" spans="1:4">
      <c r="A237" s="16">
        <v>1300</v>
      </c>
      <c r="B237" s="17">
        <v>19500</v>
      </c>
      <c r="C237" s="17">
        <v>2600</v>
      </c>
      <c r="D237" s="17">
        <v>22100</v>
      </c>
    </row>
    <row r="238" spans="1:4">
      <c r="A238" s="49" t="s">
        <v>207</v>
      </c>
      <c r="B238" s="17">
        <v>1300</v>
      </c>
      <c r="C238" s="17"/>
      <c r="D238" s="17">
        <v>1300</v>
      </c>
    </row>
    <row r="239" spans="1:4">
      <c r="A239" s="49" t="s">
        <v>44</v>
      </c>
      <c r="B239" s="17">
        <v>1300</v>
      </c>
      <c r="C239" s="17"/>
      <c r="D239" s="17">
        <v>1300</v>
      </c>
    </row>
    <row r="240" spans="1:4">
      <c r="A240" s="49" t="s">
        <v>600</v>
      </c>
      <c r="B240" s="17">
        <v>1300</v>
      </c>
      <c r="C240" s="17"/>
      <c r="D240" s="17">
        <v>1300</v>
      </c>
    </row>
    <row r="241" spans="1:4">
      <c r="A241" s="49" t="s">
        <v>19</v>
      </c>
      <c r="B241" s="17">
        <v>1300</v>
      </c>
      <c r="C241" s="17"/>
      <c r="D241" s="17">
        <v>1300</v>
      </c>
    </row>
    <row r="242" spans="1:4">
      <c r="A242" s="49" t="s">
        <v>50</v>
      </c>
      <c r="B242" s="17">
        <v>9100</v>
      </c>
      <c r="C242" s="17"/>
      <c r="D242" s="17">
        <v>9100</v>
      </c>
    </row>
    <row r="243" spans="1:4">
      <c r="A243" s="49" t="s">
        <v>201</v>
      </c>
      <c r="B243" s="17"/>
      <c r="C243" s="17">
        <v>1300</v>
      </c>
      <c r="D243" s="17">
        <v>1300</v>
      </c>
    </row>
    <row r="244" spans="1:4">
      <c r="A244" s="49" t="s">
        <v>170</v>
      </c>
      <c r="B244" s="17">
        <v>1300</v>
      </c>
      <c r="C244" s="17"/>
      <c r="D244" s="17">
        <v>1300</v>
      </c>
    </row>
    <row r="245" spans="1:4">
      <c r="A245" s="49" t="s">
        <v>35</v>
      </c>
      <c r="B245" s="17">
        <v>1300</v>
      </c>
      <c r="C245" s="17"/>
      <c r="D245" s="17">
        <v>1300</v>
      </c>
    </row>
    <row r="246" spans="1:4">
      <c r="A246" s="49" t="s">
        <v>148</v>
      </c>
      <c r="B246" s="17"/>
      <c r="C246" s="17">
        <v>1300</v>
      </c>
      <c r="D246" s="17">
        <v>1300</v>
      </c>
    </row>
    <row r="247" spans="1:4">
      <c r="A247" s="49" t="s">
        <v>174</v>
      </c>
      <c r="B247" s="17">
        <v>1300</v>
      </c>
      <c r="C247" s="17"/>
      <c r="D247" s="17">
        <v>1300</v>
      </c>
    </row>
    <row r="248" spans="1:4">
      <c r="A248" s="49" t="s">
        <v>453</v>
      </c>
      <c r="B248" s="17">
        <v>1300</v>
      </c>
      <c r="C248" s="17"/>
      <c r="D248" s="17">
        <v>1300</v>
      </c>
    </row>
    <row r="249" spans="1:4">
      <c r="A249" s="16">
        <v>1350</v>
      </c>
      <c r="B249" s="17">
        <v>9450</v>
      </c>
      <c r="C249" s="17"/>
      <c r="D249" s="17">
        <v>9450</v>
      </c>
    </row>
    <row r="250" spans="1:4">
      <c r="A250" s="49" t="s">
        <v>629</v>
      </c>
      <c r="B250" s="17">
        <v>1350</v>
      </c>
      <c r="C250" s="17"/>
      <c r="D250" s="17">
        <v>1350</v>
      </c>
    </row>
    <row r="251" spans="1:4">
      <c r="A251" s="49" t="s">
        <v>125</v>
      </c>
      <c r="B251" s="17">
        <v>1350</v>
      </c>
      <c r="C251" s="17"/>
      <c r="D251" s="17">
        <v>1350</v>
      </c>
    </row>
    <row r="252" spans="1:4">
      <c r="A252" s="49" t="s">
        <v>19</v>
      </c>
      <c r="B252" s="17">
        <v>1350</v>
      </c>
      <c r="C252" s="17"/>
      <c r="D252" s="17">
        <v>1350</v>
      </c>
    </row>
    <row r="253" spans="1:4">
      <c r="A253" s="49" t="s">
        <v>50</v>
      </c>
      <c r="B253" s="17">
        <v>1350</v>
      </c>
      <c r="C253" s="17"/>
      <c r="D253" s="17">
        <v>1350</v>
      </c>
    </row>
    <row r="254" spans="1:4">
      <c r="A254" s="49" t="s">
        <v>23</v>
      </c>
      <c r="B254" s="17">
        <v>1350</v>
      </c>
      <c r="C254" s="17"/>
      <c r="D254" s="17">
        <v>1350</v>
      </c>
    </row>
    <row r="255" spans="1:4">
      <c r="A255" s="49" t="s">
        <v>12</v>
      </c>
      <c r="B255" s="17">
        <v>1350</v>
      </c>
      <c r="C255" s="17"/>
      <c r="D255" s="17">
        <v>1350</v>
      </c>
    </row>
    <row r="256" spans="1:4">
      <c r="A256" s="49" t="s">
        <v>120</v>
      </c>
      <c r="B256" s="17">
        <v>1350</v>
      </c>
      <c r="C256" s="17"/>
      <c r="D256" s="17">
        <v>1350</v>
      </c>
    </row>
    <row r="257" spans="1:4">
      <c r="A257" s="16">
        <v>1380</v>
      </c>
      <c r="B257" s="17">
        <v>1380</v>
      </c>
      <c r="C257" s="17"/>
      <c r="D257" s="17">
        <v>1380</v>
      </c>
    </row>
    <row r="258" spans="1:4">
      <c r="A258" s="49" t="s">
        <v>50</v>
      </c>
      <c r="B258" s="17">
        <v>1380</v>
      </c>
      <c r="C258" s="17"/>
      <c r="D258" s="17">
        <v>1380</v>
      </c>
    </row>
    <row r="259" spans="1:4">
      <c r="A259" s="16">
        <v>1400</v>
      </c>
      <c r="B259" s="17">
        <v>12600</v>
      </c>
      <c r="C259" s="17"/>
      <c r="D259" s="17">
        <v>12600</v>
      </c>
    </row>
    <row r="260" spans="1:4">
      <c r="A260" s="49" t="s">
        <v>19</v>
      </c>
      <c r="B260" s="17">
        <v>1400</v>
      </c>
      <c r="C260" s="17"/>
      <c r="D260" s="17">
        <v>1400</v>
      </c>
    </row>
    <row r="261" spans="1:4">
      <c r="A261" s="49" t="s">
        <v>50</v>
      </c>
      <c r="B261" s="17">
        <v>7000</v>
      </c>
      <c r="C261" s="17"/>
      <c r="D261" s="17">
        <v>7000</v>
      </c>
    </row>
    <row r="262" spans="1:4">
      <c r="A262" s="49" t="s">
        <v>23</v>
      </c>
      <c r="B262" s="17">
        <v>1400</v>
      </c>
      <c r="C262" s="17"/>
      <c r="D262" s="17">
        <v>1400</v>
      </c>
    </row>
    <row r="263" spans="1:4">
      <c r="A263" s="49" t="s">
        <v>40</v>
      </c>
      <c r="B263" s="17">
        <v>1400</v>
      </c>
      <c r="C263" s="17"/>
      <c r="D263" s="17">
        <v>1400</v>
      </c>
    </row>
    <row r="264" spans="1:4">
      <c r="A264" s="49" t="s">
        <v>35</v>
      </c>
      <c r="B264" s="17">
        <v>1400</v>
      </c>
      <c r="C264" s="17"/>
      <c r="D264" s="17">
        <v>1400</v>
      </c>
    </row>
    <row r="265" spans="1:4">
      <c r="A265" s="16">
        <v>1430</v>
      </c>
      <c r="B265" s="17">
        <v>1430</v>
      </c>
      <c r="C265" s="17"/>
      <c r="D265" s="17">
        <v>1430</v>
      </c>
    </row>
    <row r="266" spans="1:4">
      <c r="A266" s="49" t="s">
        <v>30</v>
      </c>
      <c r="B266" s="17">
        <v>1430</v>
      </c>
      <c r="C266" s="17"/>
      <c r="D266" s="17">
        <v>1430</v>
      </c>
    </row>
    <row r="267" spans="1:4">
      <c r="A267" s="16">
        <v>1450</v>
      </c>
      <c r="B267" s="17">
        <v>13050</v>
      </c>
      <c r="C267" s="17">
        <v>1450</v>
      </c>
      <c r="D267" s="17">
        <v>14500</v>
      </c>
    </row>
    <row r="268" spans="1:4">
      <c r="A268" s="49" t="s">
        <v>50</v>
      </c>
      <c r="B268" s="17">
        <v>5800</v>
      </c>
      <c r="C268" s="17">
        <v>1450</v>
      </c>
      <c r="D268" s="17">
        <v>7250</v>
      </c>
    </row>
    <row r="269" spans="1:4">
      <c r="A269" s="49" t="s">
        <v>23</v>
      </c>
      <c r="B269" s="17">
        <v>2900</v>
      </c>
      <c r="C269" s="17"/>
      <c r="D269" s="17">
        <v>2900</v>
      </c>
    </row>
    <row r="270" spans="1:4">
      <c r="A270" s="49" t="s">
        <v>485</v>
      </c>
      <c r="B270" s="17">
        <v>1450</v>
      </c>
      <c r="C270" s="17"/>
      <c r="D270" s="17">
        <v>1450</v>
      </c>
    </row>
    <row r="271" spans="1:4">
      <c r="A271" s="49" t="s">
        <v>35</v>
      </c>
      <c r="B271" s="17">
        <v>1450</v>
      </c>
      <c r="C271" s="17"/>
      <c r="D271" s="17">
        <v>1450</v>
      </c>
    </row>
    <row r="272" spans="1:4">
      <c r="A272" s="49" t="s">
        <v>12</v>
      </c>
      <c r="B272" s="17">
        <v>1450</v>
      </c>
      <c r="C272" s="17"/>
      <c r="D272" s="17">
        <v>1450</v>
      </c>
    </row>
    <row r="273" spans="1:4">
      <c r="A273" s="16">
        <v>1460</v>
      </c>
      <c r="B273" s="17">
        <v>1460</v>
      </c>
      <c r="C273" s="17">
        <v>1460</v>
      </c>
      <c r="D273" s="17">
        <v>2920</v>
      </c>
    </row>
    <row r="274" spans="1:4">
      <c r="A274" s="49" t="s">
        <v>23</v>
      </c>
      <c r="B274" s="17"/>
      <c r="C274" s="17">
        <v>1460</v>
      </c>
      <c r="D274" s="17">
        <v>1460</v>
      </c>
    </row>
    <row r="275" spans="1:4">
      <c r="A275" s="49" t="s">
        <v>35</v>
      </c>
      <c r="B275" s="17">
        <v>1460</v>
      </c>
      <c r="C275" s="17"/>
      <c r="D275" s="17">
        <v>1460</v>
      </c>
    </row>
    <row r="276" spans="1:4">
      <c r="A276" s="16">
        <v>1470</v>
      </c>
      <c r="B276" s="17"/>
      <c r="C276" s="17">
        <v>1470</v>
      </c>
      <c r="D276" s="17">
        <v>1470</v>
      </c>
    </row>
    <row r="277" spans="1:4">
      <c r="A277" s="49" t="s">
        <v>230</v>
      </c>
      <c r="B277" s="17"/>
      <c r="C277" s="17">
        <v>1470</v>
      </c>
      <c r="D277" s="17">
        <v>1470</v>
      </c>
    </row>
    <row r="278" spans="1:4">
      <c r="A278" s="16">
        <v>1500</v>
      </c>
      <c r="B278" s="17">
        <v>28500</v>
      </c>
      <c r="C278" s="17"/>
      <c r="D278" s="17">
        <v>28500</v>
      </c>
    </row>
    <row r="279" spans="1:4">
      <c r="A279" s="49" t="s">
        <v>385</v>
      </c>
      <c r="B279" s="17">
        <v>1500</v>
      </c>
      <c r="C279" s="17"/>
      <c r="D279" s="17">
        <v>1500</v>
      </c>
    </row>
    <row r="280" spans="1:4">
      <c r="A280" s="49" t="s">
        <v>125</v>
      </c>
      <c r="B280" s="17">
        <v>7500</v>
      </c>
      <c r="C280" s="17"/>
      <c r="D280" s="17">
        <v>7500</v>
      </c>
    </row>
    <row r="281" spans="1:4">
      <c r="A281" s="49" t="s">
        <v>50</v>
      </c>
      <c r="B281" s="17">
        <v>9000</v>
      </c>
      <c r="C281" s="17"/>
      <c r="D281" s="17">
        <v>9000</v>
      </c>
    </row>
    <row r="282" spans="1:4">
      <c r="A282" s="49" t="s">
        <v>23</v>
      </c>
      <c r="B282" s="17">
        <v>1500</v>
      </c>
      <c r="C282" s="17"/>
      <c r="D282" s="17">
        <v>1500</v>
      </c>
    </row>
    <row r="283" spans="1:4">
      <c r="A283" s="49" t="s">
        <v>401</v>
      </c>
      <c r="B283" s="17">
        <v>1500</v>
      </c>
      <c r="C283" s="17"/>
      <c r="D283" s="17">
        <v>1500</v>
      </c>
    </row>
    <row r="284" spans="1:4">
      <c r="A284" s="49" t="s">
        <v>170</v>
      </c>
      <c r="B284" s="17">
        <v>1500</v>
      </c>
      <c r="C284" s="17"/>
      <c r="D284" s="17">
        <v>1500</v>
      </c>
    </row>
    <row r="285" spans="1:4">
      <c r="A285" s="49" t="s">
        <v>35</v>
      </c>
      <c r="B285" s="17">
        <v>3000</v>
      </c>
      <c r="C285" s="17"/>
      <c r="D285" s="17">
        <v>3000</v>
      </c>
    </row>
    <row r="286" spans="1:4">
      <c r="A286" s="49" t="s">
        <v>12</v>
      </c>
      <c r="B286" s="17">
        <v>1500</v>
      </c>
      <c r="C286" s="17"/>
      <c r="D286" s="17">
        <v>1500</v>
      </c>
    </row>
    <row r="287" spans="1:4">
      <c r="A287" s="49" t="s">
        <v>535</v>
      </c>
      <c r="B287" s="17">
        <v>1500</v>
      </c>
      <c r="C287" s="17"/>
      <c r="D287" s="17">
        <v>1500</v>
      </c>
    </row>
    <row r="288" spans="1:4">
      <c r="A288" s="16">
        <v>1530</v>
      </c>
      <c r="B288" s="17">
        <v>3060</v>
      </c>
      <c r="C288" s="17"/>
      <c r="D288" s="17">
        <v>3060</v>
      </c>
    </row>
    <row r="289" spans="1:4">
      <c r="A289" s="49" t="s">
        <v>23</v>
      </c>
      <c r="B289" s="17">
        <v>3060</v>
      </c>
      <c r="C289" s="17"/>
      <c r="D289" s="17">
        <v>3060</v>
      </c>
    </row>
    <row r="290" spans="1:4">
      <c r="A290" s="16">
        <v>1550</v>
      </c>
      <c r="B290" s="17">
        <v>1550</v>
      </c>
      <c r="C290" s="17"/>
      <c r="D290" s="17">
        <v>1550</v>
      </c>
    </row>
    <row r="291" spans="1:4">
      <c r="A291" s="49" t="s">
        <v>129</v>
      </c>
      <c r="B291" s="17">
        <v>1550</v>
      </c>
      <c r="C291" s="17"/>
      <c r="D291" s="17">
        <v>1550</v>
      </c>
    </row>
    <row r="292" spans="1:4">
      <c r="A292" s="16">
        <v>1600</v>
      </c>
      <c r="B292" s="17">
        <v>6400</v>
      </c>
      <c r="C292" s="17"/>
      <c r="D292" s="17">
        <v>6400</v>
      </c>
    </row>
    <row r="293" spans="1:4">
      <c r="A293" s="49" t="s">
        <v>19</v>
      </c>
      <c r="B293" s="17">
        <v>1600</v>
      </c>
      <c r="C293" s="17"/>
      <c r="D293" s="17">
        <v>1600</v>
      </c>
    </row>
    <row r="294" spans="1:4">
      <c r="A294" s="49" t="s">
        <v>50</v>
      </c>
      <c r="B294" s="17">
        <v>3200</v>
      </c>
      <c r="C294" s="17"/>
      <c r="D294" s="17">
        <v>3200</v>
      </c>
    </row>
    <row r="295" spans="1:4">
      <c r="A295" s="49" t="s">
        <v>230</v>
      </c>
      <c r="B295" s="17">
        <v>1600</v>
      </c>
      <c r="C295" s="17"/>
      <c r="D295" s="17">
        <v>1600</v>
      </c>
    </row>
    <row r="296" spans="1:4">
      <c r="A296" s="16">
        <v>1700</v>
      </c>
      <c r="B296" s="17">
        <v>5100</v>
      </c>
      <c r="C296" s="17"/>
      <c r="D296" s="17">
        <v>5100</v>
      </c>
    </row>
    <row r="297" spans="1:4">
      <c r="A297" s="49" t="s">
        <v>50</v>
      </c>
      <c r="B297" s="17">
        <v>1700</v>
      </c>
      <c r="C297" s="17"/>
      <c r="D297" s="17">
        <v>1700</v>
      </c>
    </row>
    <row r="298" spans="1:4">
      <c r="A298" s="49" t="s">
        <v>550</v>
      </c>
      <c r="B298" s="17">
        <v>1700</v>
      </c>
      <c r="C298" s="17"/>
      <c r="D298" s="17">
        <v>1700</v>
      </c>
    </row>
    <row r="299" spans="1:4">
      <c r="A299" s="49" t="s">
        <v>148</v>
      </c>
      <c r="B299" s="17">
        <v>1700</v>
      </c>
      <c r="C299" s="17"/>
      <c r="D299" s="17">
        <v>1700</v>
      </c>
    </row>
    <row r="300" spans="1:4">
      <c r="A300" s="16">
        <v>1750</v>
      </c>
      <c r="B300" s="17">
        <v>3500</v>
      </c>
      <c r="C300" s="17"/>
      <c r="D300" s="17">
        <v>3500</v>
      </c>
    </row>
    <row r="301" spans="1:4">
      <c r="A301" s="49" t="s">
        <v>125</v>
      </c>
      <c r="B301" s="17">
        <v>1750</v>
      </c>
      <c r="C301" s="17"/>
      <c r="D301" s="17">
        <v>1750</v>
      </c>
    </row>
    <row r="302" spans="1:4">
      <c r="A302" s="49" t="s">
        <v>148</v>
      </c>
      <c r="B302" s="17">
        <v>1750</v>
      </c>
      <c r="C302" s="17"/>
      <c r="D302" s="17">
        <v>1750</v>
      </c>
    </row>
    <row r="303" spans="1:4">
      <c r="A303" s="16">
        <v>1800</v>
      </c>
      <c r="B303" s="17">
        <v>3600</v>
      </c>
      <c r="C303" s="17"/>
      <c r="D303" s="17">
        <v>3600</v>
      </c>
    </row>
    <row r="304" spans="1:4">
      <c r="A304" s="49" t="s">
        <v>50</v>
      </c>
      <c r="B304" s="17">
        <v>1800</v>
      </c>
      <c r="C304" s="17"/>
      <c r="D304" s="17">
        <v>1800</v>
      </c>
    </row>
    <row r="305" spans="1:4">
      <c r="A305" s="49" t="s">
        <v>339</v>
      </c>
      <c r="B305" s="17">
        <v>1800</v>
      </c>
      <c r="C305" s="17"/>
      <c r="D305" s="17">
        <v>1800</v>
      </c>
    </row>
    <row r="306" spans="1:4">
      <c r="A306" s="16">
        <v>1850</v>
      </c>
      <c r="B306" s="17">
        <v>1850</v>
      </c>
      <c r="C306" s="17">
        <v>1850</v>
      </c>
      <c r="D306" s="17">
        <v>3700</v>
      </c>
    </row>
    <row r="307" spans="1:4">
      <c r="A307" s="49" t="s">
        <v>280</v>
      </c>
      <c r="B307" s="17">
        <v>1850</v>
      </c>
      <c r="C307" s="17"/>
      <c r="D307" s="17">
        <v>1850</v>
      </c>
    </row>
    <row r="308" spans="1:4">
      <c r="A308" s="49" t="s">
        <v>30</v>
      </c>
      <c r="B308" s="17"/>
      <c r="C308" s="17">
        <v>1850</v>
      </c>
      <c r="D308" s="17">
        <v>1850</v>
      </c>
    </row>
    <row r="309" spans="1:4">
      <c r="A309" s="16">
        <v>1900</v>
      </c>
      <c r="B309" s="17">
        <v>5700</v>
      </c>
      <c r="C309" s="17">
        <v>1900</v>
      </c>
      <c r="D309" s="17">
        <v>7600</v>
      </c>
    </row>
    <row r="310" spans="1:4">
      <c r="A310" s="49" t="s">
        <v>57</v>
      </c>
      <c r="B310" s="17">
        <v>1900</v>
      </c>
      <c r="C310" s="17"/>
      <c r="D310" s="17">
        <v>1900</v>
      </c>
    </row>
    <row r="311" spans="1:4">
      <c r="A311" s="49" t="s">
        <v>125</v>
      </c>
      <c r="B311" s="17">
        <v>1900</v>
      </c>
      <c r="C311" s="17"/>
      <c r="D311" s="17">
        <v>1900</v>
      </c>
    </row>
    <row r="312" spans="1:4">
      <c r="A312" s="49" t="s">
        <v>50</v>
      </c>
      <c r="B312" s="17">
        <v>1900</v>
      </c>
      <c r="C312" s="17"/>
      <c r="D312" s="17">
        <v>1900</v>
      </c>
    </row>
    <row r="313" spans="1:4">
      <c r="A313" s="49" t="s">
        <v>23</v>
      </c>
      <c r="B313" s="17"/>
      <c r="C313" s="17">
        <v>1900</v>
      </c>
      <c r="D313" s="17">
        <v>1900</v>
      </c>
    </row>
    <row r="314" spans="1:4">
      <c r="A314" s="16">
        <v>2000</v>
      </c>
      <c r="B314" s="17">
        <v>8000</v>
      </c>
      <c r="C314" s="17"/>
      <c r="D314" s="17">
        <v>8000</v>
      </c>
    </row>
    <row r="315" spans="1:4">
      <c r="A315" s="49" t="s">
        <v>50</v>
      </c>
      <c r="B315" s="17">
        <v>2000</v>
      </c>
      <c r="C315" s="17"/>
      <c r="D315" s="17">
        <v>2000</v>
      </c>
    </row>
    <row r="316" spans="1:4">
      <c r="A316" s="49" t="s">
        <v>23</v>
      </c>
      <c r="B316" s="17">
        <v>4000</v>
      </c>
      <c r="C316" s="17"/>
      <c r="D316" s="17">
        <v>4000</v>
      </c>
    </row>
    <row r="317" spans="1:4">
      <c r="A317" s="49" t="s">
        <v>12</v>
      </c>
      <c r="B317" s="17">
        <v>2000</v>
      </c>
      <c r="C317" s="17"/>
      <c r="D317" s="17">
        <v>2000</v>
      </c>
    </row>
    <row r="318" spans="1:4">
      <c r="A318" s="16">
        <v>2150</v>
      </c>
      <c r="B318" s="17">
        <v>2150</v>
      </c>
      <c r="C318" s="17"/>
      <c r="D318" s="17">
        <v>2150</v>
      </c>
    </row>
    <row r="319" spans="1:4">
      <c r="A319" s="49" t="s">
        <v>50</v>
      </c>
      <c r="B319" s="17">
        <v>2150</v>
      </c>
      <c r="C319" s="17"/>
      <c r="D319" s="17">
        <v>2150</v>
      </c>
    </row>
    <row r="320" spans="1:4">
      <c r="A320" s="16">
        <v>2200</v>
      </c>
      <c r="B320" s="17">
        <v>8800</v>
      </c>
      <c r="C320" s="17"/>
      <c r="D320" s="17">
        <v>8800</v>
      </c>
    </row>
    <row r="321" spans="1:4">
      <c r="A321" s="49" t="s">
        <v>85</v>
      </c>
      <c r="B321" s="17">
        <v>4400</v>
      </c>
      <c r="C321" s="17"/>
      <c r="D321" s="17">
        <v>4400</v>
      </c>
    </row>
    <row r="322" spans="1:4">
      <c r="A322" s="49" t="s">
        <v>50</v>
      </c>
      <c r="B322" s="17">
        <v>2200</v>
      </c>
      <c r="C322" s="17"/>
      <c r="D322" s="17">
        <v>2200</v>
      </c>
    </row>
    <row r="323" spans="1:4">
      <c r="A323" s="49" t="s">
        <v>148</v>
      </c>
      <c r="B323" s="17">
        <v>2200</v>
      </c>
      <c r="C323" s="17"/>
      <c r="D323" s="17">
        <v>2200</v>
      </c>
    </row>
    <row r="324" spans="1:4">
      <c r="A324" s="16">
        <v>2250</v>
      </c>
      <c r="B324" s="17">
        <v>2250</v>
      </c>
      <c r="C324" s="17"/>
      <c r="D324" s="17">
        <v>2250</v>
      </c>
    </row>
    <row r="325" spans="1:4">
      <c r="A325" s="49" t="s">
        <v>377</v>
      </c>
      <c r="B325" s="17">
        <v>2250</v>
      </c>
      <c r="C325" s="17"/>
      <c r="D325" s="17">
        <v>2250</v>
      </c>
    </row>
    <row r="326" spans="1:4">
      <c r="A326" s="16">
        <v>2400</v>
      </c>
      <c r="B326" s="17">
        <v>2400</v>
      </c>
      <c r="C326" s="17"/>
      <c r="D326" s="17">
        <v>2400</v>
      </c>
    </row>
    <row r="327" spans="1:4">
      <c r="A327" s="49" t="s">
        <v>148</v>
      </c>
      <c r="B327" s="17">
        <v>2400</v>
      </c>
      <c r="C327" s="17"/>
      <c r="D327" s="17">
        <v>2400</v>
      </c>
    </row>
    <row r="328" spans="1:4">
      <c r="A328" s="16">
        <v>2450</v>
      </c>
      <c r="B328" s="17">
        <v>2450</v>
      </c>
      <c r="C328" s="17"/>
      <c r="D328" s="17">
        <v>2450</v>
      </c>
    </row>
    <row r="329" spans="1:4">
      <c r="A329" s="49" t="s">
        <v>50</v>
      </c>
      <c r="B329" s="17">
        <v>2450</v>
      </c>
      <c r="C329" s="17"/>
      <c r="D329" s="17">
        <v>2450</v>
      </c>
    </row>
    <row r="330" spans="1:4">
      <c r="A330" s="16">
        <v>2550</v>
      </c>
      <c r="B330" s="17">
        <v>2550</v>
      </c>
      <c r="C330" s="17"/>
      <c r="D330" s="17">
        <v>2550</v>
      </c>
    </row>
    <row r="331" spans="1:4">
      <c r="A331" s="49" t="s">
        <v>23</v>
      </c>
      <c r="B331" s="17">
        <v>2550</v>
      </c>
      <c r="C331" s="17"/>
      <c r="D331" s="17">
        <v>2550</v>
      </c>
    </row>
    <row r="332" spans="1:4">
      <c r="A332" s="16">
        <v>2600</v>
      </c>
      <c r="B332" s="17">
        <v>2600</v>
      </c>
      <c r="C332" s="17"/>
      <c r="D332" s="17">
        <v>2600</v>
      </c>
    </row>
    <row r="333" spans="1:4">
      <c r="A333" s="49" t="s">
        <v>23</v>
      </c>
      <c r="B333" s="17">
        <v>2600</v>
      </c>
      <c r="C333" s="17"/>
      <c r="D333" s="17">
        <v>2600</v>
      </c>
    </row>
    <row r="334" spans="1:4">
      <c r="A334" s="16">
        <v>2900</v>
      </c>
      <c r="B334" s="17">
        <v>8700</v>
      </c>
      <c r="C334" s="17"/>
      <c r="D334" s="17">
        <v>8700</v>
      </c>
    </row>
    <row r="335" spans="1:4">
      <c r="A335" s="49" t="s">
        <v>50</v>
      </c>
      <c r="B335" s="17">
        <v>2900</v>
      </c>
      <c r="C335" s="17"/>
      <c r="D335" s="17">
        <v>2900</v>
      </c>
    </row>
    <row r="336" spans="1:4">
      <c r="A336" s="49" t="s">
        <v>23</v>
      </c>
      <c r="B336" s="17">
        <v>2900</v>
      </c>
      <c r="C336" s="17"/>
      <c r="D336" s="17">
        <v>2900</v>
      </c>
    </row>
    <row r="337" spans="1:4">
      <c r="A337" s="49" t="s">
        <v>12</v>
      </c>
      <c r="B337" s="17">
        <v>2900</v>
      </c>
      <c r="C337" s="17"/>
      <c r="D337" s="17">
        <v>2900</v>
      </c>
    </row>
    <row r="338" spans="1:4">
      <c r="A338" s="16">
        <v>2950</v>
      </c>
      <c r="B338" s="17">
        <v>2950</v>
      </c>
      <c r="C338" s="17"/>
      <c r="D338" s="17">
        <v>2950</v>
      </c>
    </row>
    <row r="339" spans="1:4">
      <c r="A339" s="49" t="s">
        <v>125</v>
      </c>
      <c r="B339" s="17">
        <v>2950</v>
      </c>
      <c r="C339" s="17"/>
      <c r="D339" s="17">
        <v>2950</v>
      </c>
    </row>
    <row r="340" spans="1:4">
      <c r="A340" s="16">
        <v>3100</v>
      </c>
      <c r="B340" s="17">
        <v>3100</v>
      </c>
      <c r="C340" s="17"/>
      <c r="D340" s="17">
        <v>3100</v>
      </c>
    </row>
    <row r="341" spans="1:4">
      <c r="A341" s="49" t="s">
        <v>23</v>
      </c>
      <c r="B341" s="17">
        <v>3100</v>
      </c>
      <c r="C341" s="17"/>
      <c r="D341" s="17">
        <v>3100</v>
      </c>
    </row>
    <row r="342" spans="1:4">
      <c r="A342" s="16">
        <v>4000</v>
      </c>
      <c r="B342" s="17">
        <v>4000</v>
      </c>
      <c r="C342" s="17"/>
      <c r="D342" s="17">
        <v>4000</v>
      </c>
    </row>
    <row r="343" spans="1:4">
      <c r="A343" s="49" t="s">
        <v>23</v>
      </c>
      <c r="B343" s="17">
        <v>4000</v>
      </c>
      <c r="C343" s="17"/>
      <c r="D343" s="17">
        <v>4000</v>
      </c>
    </row>
    <row r="344" spans="1:4">
      <c r="A344" s="16">
        <v>5000</v>
      </c>
      <c r="B344" s="17">
        <v>5000</v>
      </c>
      <c r="C344" s="17"/>
      <c r="D344" s="17">
        <v>5000</v>
      </c>
    </row>
    <row r="345" spans="1:4">
      <c r="A345" s="49" t="s">
        <v>50</v>
      </c>
      <c r="B345" s="17">
        <v>5000</v>
      </c>
      <c r="C345" s="17"/>
      <c r="D345" s="17">
        <v>5000</v>
      </c>
    </row>
    <row r="346" spans="1:4">
      <c r="A346" s="16">
        <v>5150</v>
      </c>
      <c r="B346" s="17">
        <v>5150</v>
      </c>
      <c r="C346" s="17"/>
      <c r="D346" s="17">
        <v>5150</v>
      </c>
    </row>
    <row r="347" spans="1:4">
      <c r="A347" s="49" t="s">
        <v>50</v>
      </c>
      <c r="B347" s="17">
        <v>5150</v>
      </c>
      <c r="C347" s="17"/>
      <c r="D347" s="17">
        <v>5150</v>
      </c>
    </row>
    <row r="348" spans="1:4">
      <c r="A348" s="16" t="s">
        <v>837</v>
      </c>
      <c r="B348" s="17">
        <v>362670</v>
      </c>
      <c r="C348" s="17">
        <v>22120</v>
      </c>
      <c r="D348" s="17">
        <v>384790</v>
      </c>
    </row>
  </sheetData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86"/>
  <sheetViews>
    <sheetView topLeftCell="A937" zoomScaleNormal="100" workbookViewId="0">
      <selection activeCell="A945" sqref="A945"/>
    </sheetView>
  </sheetViews>
  <sheetFormatPr defaultRowHeight="15"/>
  <cols>
    <col min="1" max="1" width="32.42578125" customWidth="1"/>
    <col min="2" max="3" width="20.7109375" customWidth="1"/>
    <col min="4" max="4" width="57.7109375" customWidth="1"/>
    <col min="5" max="6" width="20.7109375" customWidth="1"/>
    <col min="7" max="7" width="31" customWidth="1"/>
    <col min="8" max="10" width="20.7109375" customWidth="1"/>
    <col min="11" max="11" width="22.7109375" customWidth="1"/>
    <col min="12" max="12" width="5.7109375" customWidth="1"/>
    <col min="13" max="13" width="18.28515625" customWidth="1"/>
    <col min="15" max="15" width="12.85546875" customWidth="1"/>
    <col min="16" max="16" width="18.28515625" customWidth="1"/>
    <col min="19" max="19" width="12" bestFit="1" customWidth="1"/>
  </cols>
  <sheetData>
    <row r="1" spans="1:14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2" t="s">
        <v>1077</v>
      </c>
      <c r="L1" s="20" t="s">
        <v>1078</v>
      </c>
      <c r="M1" s="9" t="s">
        <v>1080</v>
      </c>
      <c r="N1" s="9" t="s">
        <v>1111</v>
      </c>
    </row>
    <row r="2" spans="1:14">
      <c r="A2" s="20" t="s">
        <v>10</v>
      </c>
      <c r="B2" s="20">
        <v>3475052949</v>
      </c>
      <c r="C2" s="20">
        <v>1450</v>
      </c>
      <c r="D2" s="20" t="s">
        <v>11</v>
      </c>
      <c r="E2" s="20" t="s">
        <v>12</v>
      </c>
      <c r="F2" s="20" t="s">
        <v>13</v>
      </c>
      <c r="G2" s="20" t="s">
        <v>14</v>
      </c>
      <c r="H2" s="20" t="s">
        <v>15</v>
      </c>
      <c r="I2" s="20" t="s">
        <v>16</v>
      </c>
      <c r="J2" s="12" t="s">
        <v>835</v>
      </c>
      <c r="K2" s="10"/>
      <c r="L2" s="20"/>
    </row>
    <row r="3" spans="1:14">
      <c r="A3" s="2" t="s">
        <v>17</v>
      </c>
      <c r="B3" s="2">
        <v>3135501222</v>
      </c>
      <c r="C3" s="2">
        <v>1350</v>
      </c>
      <c r="D3" s="2" t="s">
        <v>18</v>
      </c>
      <c r="E3" s="2" t="s">
        <v>19</v>
      </c>
      <c r="F3" s="2" t="s">
        <v>13</v>
      </c>
      <c r="G3" s="2" t="s">
        <v>20</v>
      </c>
      <c r="H3" s="2" t="s">
        <v>15</v>
      </c>
      <c r="I3" s="2" t="s">
        <v>16</v>
      </c>
      <c r="J3" s="12" t="s">
        <v>835</v>
      </c>
      <c r="K3" s="10"/>
      <c r="L3" s="20"/>
    </row>
    <row r="4" spans="1:14">
      <c r="A4" s="2" t="s">
        <v>21</v>
      </c>
      <c r="B4" s="2">
        <v>3004282632</v>
      </c>
      <c r="C4" s="2">
        <v>1150</v>
      </c>
      <c r="D4" s="2" t="s">
        <v>22</v>
      </c>
      <c r="E4" s="2" t="s">
        <v>23</v>
      </c>
      <c r="F4" s="2" t="s">
        <v>24</v>
      </c>
      <c r="G4" s="2" t="s">
        <v>25</v>
      </c>
      <c r="H4" s="2" t="s">
        <v>15</v>
      </c>
      <c r="I4" s="2" t="s">
        <v>16</v>
      </c>
      <c r="J4" s="12" t="s">
        <v>835</v>
      </c>
      <c r="K4" s="10"/>
      <c r="L4" s="20"/>
    </row>
    <row r="5" spans="1:14">
      <c r="A5" s="2" t="s">
        <v>26</v>
      </c>
      <c r="B5" s="2">
        <v>3432082407</v>
      </c>
      <c r="C5" s="2">
        <v>1150</v>
      </c>
      <c r="D5" s="2" t="s">
        <v>27</v>
      </c>
      <c r="E5" s="2" t="s">
        <v>28</v>
      </c>
      <c r="F5" s="2" t="s">
        <v>24</v>
      </c>
      <c r="G5" s="2" t="s">
        <v>25</v>
      </c>
      <c r="H5" s="2" t="s">
        <v>15</v>
      </c>
      <c r="I5" s="2" t="s">
        <v>16</v>
      </c>
      <c r="J5" s="12" t="s">
        <v>835</v>
      </c>
      <c r="K5" s="10"/>
      <c r="L5" s="20"/>
    </row>
    <row r="6" spans="1:14">
      <c r="A6" s="2" t="s">
        <v>29</v>
      </c>
      <c r="B6" s="2">
        <v>3222228676</v>
      </c>
      <c r="C6" s="2">
        <v>1250</v>
      </c>
      <c r="D6" s="26" t="s">
        <v>47</v>
      </c>
      <c r="E6" s="2" t="s">
        <v>30</v>
      </c>
      <c r="F6" s="2" t="s">
        <v>31</v>
      </c>
      <c r="G6" s="2" t="s">
        <v>32</v>
      </c>
      <c r="H6" s="2" t="s">
        <v>15</v>
      </c>
      <c r="I6" s="2" t="s">
        <v>16</v>
      </c>
      <c r="J6" s="12" t="s">
        <v>834</v>
      </c>
      <c r="K6" s="10"/>
      <c r="L6" s="20"/>
    </row>
    <row r="7" spans="1:14">
      <c r="A7" s="2" t="s">
        <v>33</v>
      </c>
      <c r="B7" s="2">
        <v>3339127895</v>
      </c>
      <c r="C7" s="2">
        <v>1400</v>
      </c>
      <c r="D7" s="2" t="s">
        <v>34</v>
      </c>
      <c r="E7" s="2" t="s">
        <v>35</v>
      </c>
      <c r="F7" s="2" t="s">
        <v>39</v>
      </c>
      <c r="G7" s="2" t="s">
        <v>36</v>
      </c>
      <c r="H7" s="2" t="s">
        <v>15</v>
      </c>
      <c r="I7" s="2" t="s">
        <v>16</v>
      </c>
      <c r="J7" s="12" t="s">
        <v>834</v>
      </c>
      <c r="K7" s="10"/>
      <c r="L7" s="20"/>
    </row>
    <row r="8" spans="1:14">
      <c r="A8" s="2" t="s">
        <v>37</v>
      </c>
      <c r="B8" s="2">
        <v>3327550332</v>
      </c>
      <c r="C8" s="2">
        <v>1050</v>
      </c>
      <c r="D8" s="2" t="s">
        <v>38</v>
      </c>
      <c r="E8" s="2" t="s">
        <v>40</v>
      </c>
      <c r="F8" s="2" t="s">
        <v>39</v>
      </c>
      <c r="G8" s="2" t="s">
        <v>25</v>
      </c>
      <c r="H8" s="2" t="s">
        <v>41</v>
      </c>
      <c r="I8" s="2" t="s">
        <v>16</v>
      </c>
      <c r="J8" s="12" t="s">
        <v>833</v>
      </c>
      <c r="K8" s="10"/>
      <c r="L8" s="20"/>
    </row>
    <row r="9" spans="1:14">
      <c r="A9" s="2" t="s">
        <v>42</v>
      </c>
      <c r="B9" s="2">
        <v>3009504813</v>
      </c>
      <c r="C9" s="2">
        <v>1300</v>
      </c>
      <c r="D9" s="2" t="s">
        <v>43</v>
      </c>
      <c r="E9" s="2" t="s">
        <v>44</v>
      </c>
      <c r="F9" s="2" t="s">
        <v>45</v>
      </c>
      <c r="G9" s="2" t="s">
        <v>46</v>
      </c>
      <c r="H9" s="2" t="s">
        <v>15</v>
      </c>
      <c r="I9" s="2" t="s">
        <v>16</v>
      </c>
      <c r="J9" s="12" t="s">
        <v>833</v>
      </c>
      <c r="K9" s="10"/>
      <c r="L9" s="20"/>
    </row>
    <row r="10" spans="1:14">
      <c r="A10" s="2" t="s">
        <v>48</v>
      </c>
      <c r="B10" s="2">
        <v>3310288116</v>
      </c>
      <c r="C10" s="2">
        <v>1250</v>
      </c>
      <c r="D10" s="2" t="s">
        <v>49</v>
      </c>
      <c r="E10" s="2" t="s">
        <v>50</v>
      </c>
      <c r="F10" s="2" t="s">
        <v>45</v>
      </c>
      <c r="G10" s="2" t="s">
        <v>51</v>
      </c>
      <c r="H10" s="2" t="s">
        <v>41</v>
      </c>
      <c r="I10" s="2" t="s">
        <v>16</v>
      </c>
      <c r="J10" s="12" t="s">
        <v>833</v>
      </c>
      <c r="K10" s="10"/>
      <c r="L10" s="20"/>
    </row>
    <row r="11" spans="1:14">
      <c r="A11" s="2" t="s">
        <v>54</v>
      </c>
      <c r="B11" s="2">
        <v>3360200470</v>
      </c>
      <c r="C11" s="2">
        <v>1700</v>
      </c>
      <c r="D11" s="2" t="s">
        <v>53</v>
      </c>
      <c r="E11" s="2" t="s">
        <v>50</v>
      </c>
      <c r="F11" s="2" t="s">
        <v>45</v>
      </c>
      <c r="G11" s="2" t="s">
        <v>52</v>
      </c>
      <c r="H11" s="2" t="s">
        <v>41</v>
      </c>
      <c r="I11" s="2" t="s">
        <v>16</v>
      </c>
      <c r="J11" s="12" t="s">
        <v>833</v>
      </c>
      <c r="K11" s="10"/>
      <c r="L11" s="20"/>
    </row>
    <row r="12" spans="1:14">
      <c r="A12" s="2" t="s">
        <v>55</v>
      </c>
      <c r="B12" s="2">
        <v>3018668802</v>
      </c>
      <c r="C12" s="2">
        <v>1150</v>
      </c>
      <c r="D12" s="2" t="s">
        <v>56</v>
      </c>
      <c r="E12" s="2" t="s">
        <v>57</v>
      </c>
      <c r="F12" s="2" t="s">
        <v>24</v>
      </c>
      <c r="G12" s="2" t="s">
        <v>25</v>
      </c>
      <c r="H12" s="2" t="s">
        <v>15</v>
      </c>
      <c r="I12" s="2" t="s">
        <v>16</v>
      </c>
      <c r="J12" s="12" t="s">
        <v>832</v>
      </c>
      <c r="K12" s="10"/>
      <c r="L12" s="20"/>
    </row>
    <row r="13" spans="1:14">
      <c r="A13" s="2" t="s">
        <v>61</v>
      </c>
      <c r="B13" s="2">
        <v>3007711632</v>
      </c>
      <c r="C13" s="2">
        <v>1150</v>
      </c>
      <c r="D13" s="2" t="s">
        <v>62</v>
      </c>
      <c r="E13" s="2" t="s">
        <v>57</v>
      </c>
      <c r="F13" s="2" t="s">
        <v>24</v>
      </c>
      <c r="G13" s="2" t="s">
        <v>25</v>
      </c>
      <c r="H13" s="2" t="s">
        <v>15</v>
      </c>
      <c r="I13" s="2" t="s">
        <v>16</v>
      </c>
      <c r="J13" s="12" t="s">
        <v>832</v>
      </c>
      <c r="K13" s="10"/>
      <c r="L13" s="20"/>
    </row>
    <row r="14" spans="1:14">
      <c r="A14" s="2" t="s">
        <v>65</v>
      </c>
      <c r="B14" s="2">
        <v>3034080363</v>
      </c>
      <c r="C14" s="2">
        <v>1150</v>
      </c>
      <c r="D14" s="2" t="s">
        <v>66</v>
      </c>
      <c r="E14" s="2" t="s">
        <v>67</v>
      </c>
      <c r="F14" s="2" t="s">
        <v>24</v>
      </c>
      <c r="G14" s="2" t="s">
        <v>25</v>
      </c>
      <c r="H14" s="2" t="s">
        <v>15</v>
      </c>
      <c r="I14" s="2" t="s">
        <v>16</v>
      </c>
      <c r="J14" s="12" t="s">
        <v>832</v>
      </c>
      <c r="K14" s="10"/>
      <c r="L14" s="20"/>
    </row>
    <row r="15" spans="1:14">
      <c r="A15" s="2" t="s">
        <v>68</v>
      </c>
      <c r="B15" s="2">
        <v>3154047321</v>
      </c>
      <c r="C15" s="2">
        <v>1150</v>
      </c>
      <c r="D15" s="2" t="s">
        <v>69</v>
      </c>
      <c r="E15" s="2" t="s">
        <v>23</v>
      </c>
      <c r="F15" s="2" t="s">
        <v>24</v>
      </c>
      <c r="G15" s="2" t="s">
        <v>25</v>
      </c>
      <c r="H15" s="2" t="s">
        <v>15</v>
      </c>
      <c r="I15" s="2" t="s">
        <v>16</v>
      </c>
      <c r="J15" s="12" t="s">
        <v>832</v>
      </c>
      <c r="K15" s="10"/>
      <c r="L15" s="20"/>
    </row>
    <row r="16" spans="1:14">
      <c r="A16" s="2" t="s">
        <v>70</v>
      </c>
      <c r="B16" s="2">
        <v>3139445328</v>
      </c>
      <c r="C16" s="2">
        <v>1150</v>
      </c>
      <c r="D16" s="2" t="s">
        <v>71</v>
      </c>
      <c r="E16" s="2" t="s">
        <v>19</v>
      </c>
      <c r="F16" s="2" t="s">
        <v>24</v>
      </c>
      <c r="G16" s="2" t="s">
        <v>25</v>
      </c>
      <c r="H16" s="2" t="s">
        <v>15</v>
      </c>
      <c r="I16" s="2" t="s">
        <v>16</v>
      </c>
      <c r="J16" s="12" t="s">
        <v>832</v>
      </c>
      <c r="K16" s="10"/>
      <c r="L16" s="20"/>
    </row>
    <row r="17" spans="1:12">
      <c r="A17" s="2" t="s">
        <v>72</v>
      </c>
      <c r="B17" s="2">
        <v>3449790116</v>
      </c>
      <c r="C17" s="2">
        <v>1150</v>
      </c>
      <c r="D17" s="2" t="s">
        <v>73</v>
      </c>
      <c r="E17" s="2" t="s">
        <v>35</v>
      </c>
      <c r="F17" s="2" t="s">
        <v>24</v>
      </c>
      <c r="G17" s="2" t="s">
        <v>25</v>
      </c>
      <c r="H17" s="2" t="s">
        <v>15</v>
      </c>
      <c r="I17" s="2" t="s">
        <v>16</v>
      </c>
      <c r="J17" s="12" t="s">
        <v>832</v>
      </c>
      <c r="K17" s="10"/>
      <c r="L17" s="20"/>
    </row>
    <row r="18" spans="1:12">
      <c r="A18" s="2" t="s">
        <v>74</v>
      </c>
      <c r="B18" s="2">
        <v>3439110000</v>
      </c>
      <c r="C18" s="2">
        <v>1150</v>
      </c>
      <c r="D18" s="2" t="s">
        <v>75</v>
      </c>
      <c r="E18" s="2" t="s">
        <v>76</v>
      </c>
      <c r="F18" s="2" t="s">
        <v>24</v>
      </c>
      <c r="G18" s="2" t="s">
        <v>25</v>
      </c>
      <c r="H18" s="2" t="s">
        <v>15</v>
      </c>
      <c r="I18" s="2" t="s">
        <v>16</v>
      </c>
      <c r="J18" s="12" t="s">
        <v>832</v>
      </c>
      <c r="K18" s="10"/>
      <c r="L18" s="20"/>
    </row>
    <row r="19" spans="1:12">
      <c r="A19" s="30" t="s">
        <v>77</v>
      </c>
      <c r="B19" s="30">
        <v>3361757517</v>
      </c>
      <c r="C19" s="30">
        <v>1150</v>
      </c>
      <c r="D19" s="30" t="s">
        <v>78</v>
      </c>
      <c r="E19" s="30" t="s">
        <v>67</v>
      </c>
      <c r="F19" s="30" t="s">
        <v>24</v>
      </c>
      <c r="G19" s="30" t="s">
        <v>25</v>
      </c>
      <c r="H19" s="30" t="s">
        <v>15</v>
      </c>
      <c r="I19" s="30" t="s">
        <v>122</v>
      </c>
      <c r="J19" s="36" t="s">
        <v>832</v>
      </c>
      <c r="K19" s="52"/>
      <c r="L19" s="53"/>
    </row>
    <row r="20" spans="1:12">
      <c r="A20" s="2" t="s">
        <v>79</v>
      </c>
      <c r="B20" s="2">
        <v>3332116015</v>
      </c>
      <c r="C20" s="2">
        <v>1150</v>
      </c>
      <c r="D20" s="2" t="s">
        <v>80</v>
      </c>
      <c r="E20" s="2" t="s">
        <v>50</v>
      </c>
      <c r="F20" s="2" t="s">
        <v>24</v>
      </c>
      <c r="G20" s="2" t="s">
        <v>25</v>
      </c>
      <c r="H20" s="2" t="s">
        <v>15</v>
      </c>
      <c r="I20" s="2" t="s">
        <v>16</v>
      </c>
      <c r="J20" s="12" t="s">
        <v>832</v>
      </c>
      <c r="K20" s="10"/>
      <c r="L20" s="20"/>
    </row>
    <row r="21" spans="1:12">
      <c r="A21" s="2" t="s">
        <v>63</v>
      </c>
      <c r="B21" s="2">
        <v>3462579579</v>
      </c>
      <c r="C21" s="2">
        <v>1500</v>
      </c>
      <c r="D21" s="2" t="s">
        <v>64</v>
      </c>
      <c r="E21" s="2" t="s">
        <v>50</v>
      </c>
      <c r="F21" s="2" t="s">
        <v>24</v>
      </c>
      <c r="G21" s="2" t="s">
        <v>58</v>
      </c>
      <c r="H21" s="2" t="s">
        <v>15</v>
      </c>
      <c r="I21" s="2" t="s">
        <v>16</v>
      </c>
      <c r="J21" s="12" t="s">
        <v>832</v>
      </c>
      <c r="K21" s="10"/>
      <c r="L21" s="20"/>
    </row>
    <row r="22" spans="1:12">
      <c r="A22" s="2" t="s">
        <v>59</v>
      </c>
      <c r="B22" s="2">
        <v>3343808400</v>
      </c>
      <c r="C22" s="2">
        <v>1150</v>
      </c>
      <c r="D22" s="2" t="s">
        <v>60</v>
      </c>
      <c r="E22" s="2" t="s">
        <v>19</v>
      </c>
      <c r="F22" s="2" t="s">
        <v>24</v>
      </c>
      <c r="G22" s="2" t="s">
        <v>25</v>
      </c>
      <c r="H22" s="2" t="s">
        <v>15</v>
      </c>
      <c r="I22" s="2" t="s">
        <v>16</v>
      </c>
      <c r="J22" s="12" t="s">
        <v>832</v>
      </c>
      <c r="K22" s="10"/>
      <c r="L22" s="20"/>
    </row>
    <row r="23" spans="1:12">
      <c r="A23" s="2" t="s">
        <v>81</v>
      </c>
      <c r="B23" s="2">
        <v>3345466101</v>
      </c>
      <c r="C23" s="2">
        <v>1050</v>
      </c>
      <c r="D23" s="2" t="s">
        <v>82</v>
      </c>
      <c r="E23" s="2" t="s">
        <v>12</v>
      </c>
      <c r="F23" s="2" t="s">
        <v>24</v>
      </c>
      <c r="G23" s="2" t="s">
        <v>25</v>
      </c>
      <c r="H23" s="2" t="s">
        <v>15</v>
      </c>
      <c r="I23" s="2" t="s">
        <v>16</v>
      </c>
      <c r="J23" s="12" t="s">
        <v>831</v>
      </c>
      <c r="K23" s="10"/>
      <c r="L23" s="20"/>
    </row>
    <row r="24" spans="1:12">
      <c r="A24" s="2" t="s">
        <v>83</v>
      </c>
      <c r="B24" s="2">
        <v>3313890188</v>
      </c>
      <c r="C24" s="2">
        <v>1050</v>
      </c>
      <c r="D24" s="2" t="s">
        <v>84</v>
      </c>
      <c r="E24" s="2" t="s">
        <v>85</v>
      </c>
      <c r="F24" s="2" t="s">
        <v>24</v>
      </c>
      <c r="G24" s="2" t="s">
        <v>130</v>
      </c>
      <c r="H24" s="2" t="s">
        <v>15</v>
      </c>
      <c r="I24" s="2" t="s">
        <v>16</v>
      </c>
      <c r="J24" s="12" t="s">
        <v>831</v>
      </c>
      <c r="K24" s="10"/>
      <c r="L24" s="20"/>
    </row>
    <row r="25" spans="1:12">
      <c r="A25" s="2" t="s">
        <v>86</v>
      </c>
      <c r="B25" s="2">
        <v>3072771611</v>
      </c>
      <c r="C25" s="2">
        <v>1400</v>
      </c>
      <c r="D25" s="2" t="s">
        <v>87</v>
      </c>
      <c r="E25" s="2" t="s">
        <v>50</v>
      </c>
      <c r="F25" s="2" t="s">
        <v>24</v>
      </c>
      <c r="G25" s="2" t="s">
        <v>88</v>
      </c>
      <c r="H25" s="2" t="s">
        <v>41</v>
      </c>
      <c r="I25" s="2" t="s">
        <v>16</v>
      </c>
      <c r="J25" s="12" t="s">
        <v>830</v>
      </c>
      <c r="K25" s="10"/>
      <c r="L25" s="20"/>
    </row>
    <row r="26" spans="1:12">
      <c r="A26" s="2" t="s">
        <v>91</v>
      </c>
      <c r="B26" s="2">
        <v>3035210796</v>
      </c>
      <c r="C26" s="2">
        <v>680</v>
      </c>
      <c r="D26" s="2" t="s">
        <v>89</v>
      </c>
      <c r="E26" s="2" t="s">
        <v>12</v>
      </c>
      <c r="F26" s="2" t="s">
        <v>24</v>
      </c>
      <c r="G26" s="2" t="s">
        <v>90</v>
      </c>
      <c r="H26" s="2" t="s">
        <v>15</v>
      </c>
      <c r="I26" s="2" t="s">
        <v>16</v>
      </c>
      <c r="J26" s="12">
        <v>42014</v>
      </c>
      <c r="K26" s="10"/>
      <c r="L26" s="20"/>
    </row>
    <row r="27" spans="1:12">
      <c r="A27" s="5" t="s">
        <v>92</v>
      </c>
      <c r="B27" s="27">
        <v>3139120912</v>
      </c>
      <c r="C27" s="2">
        <v>1450</v>
      </c>
      <c r="D27" s="2" t="s">
        <v>93</v>
      </c>
      <c r="E27" s="2" t="s">
        <v>35</v>
      </c>
      <c r="F27" s="2" t="s">
        <v>13</v>
      </c>
      <c r="G27" s="2" t="s">
        <v>94</v>
      </c>
      <c r="H27" s="2" t="s">
        <v>15</v>
      </c>
      <c r="I27" s="2" t="s">
        <v>16</v>
      </c>
      <c r="J27" s="12">
        <v>42014</v>
      </c>
      <c r="K27" s="10"/>
      <c r="L27" s="20">
        <f>(C27-270)</f>
        <v>1180</v>
      </c>
    </row>
    <row r="28" spans="1:12">
      <c r="A28" s="2" t="s">
        <v>97</v>
      </c>
      <c r="B28" s="2">
        <v>3227220585</v>
      </c>
      <c r="C28" s="2">
        <v>1530</v>
      </c>
      <c r="D28" s="2" t="s">
        <v>96</v>
      </c>
      <c r="E28" s="2" t="s">
        <v>23</v>
      </c>
      <c r="F28" s="2" t="s">
        <v>24</v>
      </c>
      <c r="G28" s="2" t="s">
        <v>95</v>
      </c>
      <c r="H28" s="2" t="s">
        <v>15</v>
      </c>
      <c r="I28" s="2" t="s">
        <v>16</v>
      </c>
      <c r="J28" s="12">
        <v>42014</v>
      </c>
      <c r="K28" s="10"/>
      <c r="L28" s="20"/>
    </row>
    <row r="29" spans="1:12">
      <c r="A29" s="5" t="s">
        <v>98</v>
      </c>
      <c r="B29" s="2">
        <v>3004113225</v>
      </c>
      <c r="C29" s="2">
        <v>1150</v>
      </c>
      <c r="D29" s="2" t="s">
        <v>99</v>
      </c>
      <c r="E29" s="2" t="s">
        <v>19</v>
      </c>
      <c r="F29" s="2" t="s">
        <v>24</v>
      </c>
      <c r="G29" s="2" t="s">
        <v>100</v>
      </c>
      <c r="H29" s="2" t="s">
        <v>15</v>
      </c>
      <c r="I29" s="2" t="s">
        <v>16</v>
      </c>
      <c r="J29" s="12">
        <v>42014</v>
      </c>
      <c r="K29" s="10"/>
      <c r="L29" s="20"/>
    </row>
    <row r="30" spans="1:12">
      <c r="A30" s="30" t="s">
        <v>103</v>
      </c>
      <c r="B30" s="30">
        <v>3249495181</v>
      </c>
      <c r="C30" s="30">
        <v>1900</v>
      </c>
      <c r="D30" s="30" t="s">
        <v>102</v>
      </c>
      <c r="E30" s="30" t="s">
        <v>23</v>
      </c>
      <c r="F30" s="30" t="s">
        <v>24</v>
      </c>
      <c r="G30" s="30" t="s">
        <v>101</v>
      </c>
      <c r="H30" s="30" t="s">
        <v>15</v>
      </c>
      <c r="I30" s="30" t="s">
        <v>122</v>
      </c>
      <c r="J30" s="36">
        <v>42014</v>
      </c>
      <c r="K30" s="52"/>
      <c r="L30" s="53"/>
    </row>
    <row r="31" spans="1:12">
      <c r="A31" s="2" t="s">
        <v>105</v>
      </c>
      <c r="B31" s="2">
        <v>3030533041</v>
      </c>
      <c r="C31" s="2">
        <v>1400</v>
      </c>
      <c r="D31" s="2" t="s">
        <v>106</v>
      </c>
      <c r="E31" s="2" t="s">
        <v>19</v>
      </c>
      <c r="F31" s="2" t="s">
        <v>31</v>
      </c>
      <c r="G31" s="2" t="s">
        <v>107</v>
      </c>
      <c r="H31" s="2" t="s">
        <v>41</v>
      </c>
      <c r="I31" s="2" t="s">
        <v>16</v>
      </c>
      <c r="J31" s="12">
        <v>42045</v>
      </c>
      <c r="K31" s="10"/>
      <c r="L31" s="20"/>
    </row>
    <row r="32" spans="1:12">
      <c r="A32" s="5" t="s">
        <v>108</v>
      </c>
      <c r="B32" s="2">
        <v>3332182155</v>
      </c>
      <c r="C32" s="2">
        <v>1400</v>
      </c>
      <c r="D32" s="2" t="s">
        <v>109</v>
      </c>
      <c r="E32" s="2" t="s">
        <v>50</v>
      </c>
      <c r="F32" s="2" t="s">
        <v>24</v>
      </c>
      <c r="G32" s="2" t="s">
        <v>110</v>
      </c>
      <c r="H32" s="2" t="s">
        <v>41</v>
      </c>
      <c r="I32" s="2" t="s">
        <v>16</v>
      </c>
      <c r="J32" s="12">
        <v>74945</v>
      </c>
      <c r="K32" s="10"/>
      <c r="L32" s="20"/>
    </row>
    <row r="33" spans="1:12">
      <c r="A33" s="2" t="s">
        <v>111</v>
      </c>
      <c r="B33" s="2">
        <v>3135974447</v>
      </c>
      <c r="C33" s="2">
        <v>1800</v>
      </c>
      <c r="D33" s="2" t="s">
        <v>112</v>
      </c>
      <c r="E33" s="2" t="s">
        <v>50</v>
      </c>
      <c r="F33" s="2" t="s">
        <v>113</v>
      </c>
      <c r="G33" s="2" t="s">
        <v>114</v>
      </c>
      <c r="H33" s="2" t="s">
        <v>41</v>
      </c>
      <c r="I33" s="2" t="s">
        <v>16</v>
      </c>
      <c r="J33" s="12">
        <v>42134</v>
      </c>
      <c r="K33" s="10"/>
      <c r="L33" s="20"/>
    </row>
    <row r="34" spans="1:12">
      <c r="A34" s="20" t="s">
        <v>116</v>
      </c>
      <c r="B34" s="20">
        <v>3322215251</v>
      </c>
      <c r="C34" s="2">
        <v>1450</v>
      </c>
      <c r="D34" s="20" t="s">
        <v>117</v>
      </c>
      <c r="E34" s="2" t="s">
        <v>50</v>
      </c>
      <c r="F34" s="2" t="s">
        <v>13</v>
      </c>
      <c r="G34" s="2" t="s">
        <v>118</v>
      </c>
      <c r="H34" s="2" t="s">
        <v>15</v>
      </c>
      <c r="I34" s="2" t="s">
        <v>16</v>
      </c>
      <c r="J34" s="12">
        <v>42134</v>
      </c>
      <c r="K34" s="10"/>
      <c r="L34" s="20"/>
    </row>
    <row r="35" spans="1:12">
      <c r="A35" s="2" t="s">
        <v>115</v>
      </c>
      <c r="B35" s="2">
        <v>3338628258</v>
      </c>
      <c r="C35" s="2">
        <v>1350</v>
      </c>
      <c r="D35" s="2" t="s">
        <v>119</v>
      </c>
      <c r="E35" s="2" t="s">
        <v>120</v>
      </c>
      <c r="F35" s="2" t="s">
        <v>45</v>
      </c>
      <c r="G35" s="2" t="s">
        <v>121</v>
      </c>
      <c r="H35" s="2" t="s">
        <v>41</v>
      </c>
      <c r="I35" s="2" t="s">
        <v>16</v>
      </c>
      <c r="J35" s="12">
        <v>42134</v>
      </c>
      <c r="K35" s="10"/>
      <c r="L35" s="20"/>
    </row>
    <row r="36" spans="1:12">
      <c r="A36" s="2" t="s">
        <v>123</v>
      </c>
      <c r="B36" s="2">
        <v>3073310592</v>
      </c>
      <c r="C36" s="2">
        <v>1500</v>
      </c>
      <c r="D36" s="2" t="s">
        <v>124</v>
      </c>
      <c r="E36" s="2" t="s">
        <v>125</v>
      </c>
      <c r="F36" s="2" t="s">
        <v>31</v>
      </c>
      <c r="G36" s="2" t="s">
        <v>126</v>
      </c>
      <c r="H36" s="2" t="s">
        <v>41</v>
      </c>
      <c r="I36" s="2" t="s">
        <v>16</v>
      </c>
      <c r="J36" s="12">
        <v>42134</v>
      </c>
      <c r="K36" s="10"/>
      <c r="L36" s="20"/>
    </row>
    <row r="37" spans="1:12">
      <c r="A37" s="2" t="s">
        <v>127</v>
      </c>
      <c r="B37" s="2">
        <v>3111681317</v>
      </c>
      <c r="C37" s="2">
        <v>1100</v>
      </c>
      <c r="D37" s="2" t="s">
        <v>128</v>
      </c>
      <c r="E37" s="2" t="s">
        <v>129</v>
      </c>
      <c r="F37" s="2" t="s">
        <v>45</v>
      </c>
      <c r="G37" s="2" t="s">
        <v>32</v>
      </c>
      <c r="H37" s="2" t="s">
        <v>15</v>
      </c>
      <c r="I37" s="2" t="s">
        <v>16</v>
      </c>
      <c r="J37" s="12">
        <v>42134</v>
      </c>
      <c r="K37" s="20"/>
      <c r="L37" s="20"/>
    </row>
    <row r="38" spans="1:12">
      <c r="A38" s="2" t="s">
        <v>131</v>
      </c>
      <c r="B38" s="2">
        <v>3212371775</v>
      </c>
      <c r="C38" s="2">
        <v>1100</v>
      </c>
      <c r="D38" s="2" t="s">
        <v>132</v>
      </c>
      <c r="E38" s="2" t="s">
        <v>50</v>
      </c>
      <c r="F38" s="2" t="s">
        <v>133</v>
      </c>
      <c r="G38" s="2" t="s">
        <v>134</v>
      </c>
      <c r="H38" s="2" t="s">
        <v>15</v>
      </c>
      <c r="I38" s="2" t="s">
        <v>16</v>
      </c>
      <c r="J38" s="12">
        <v>42165</v>
      </c>
      <c r="K38" s="1"/>
      <c r="L38" s="20"/>
    </row>
    <row r="39" spans="1:12">
      <c r="A39" s="5" t="s">
        <v>136</v>
      </c>
      <c r="B39" s="2">
        <v>3207366457</v>
      </c>
      <c r="C39" s="2">
        <v>1900</v>
      </c>
      <c r="D39" s="2" t="s">
        <v>135</v>
      </c>
      <c r="E39" s="2" t="s">
        <v>57</v>
      </c>
      <c r="F39" s="2" t="s">
        <v>133</v>
      </c>
      <c r="G39" s="2" t="s">
        <v>137</v>
      </c>
      <c r="H39" s="2" t="s">
        <v>15</v>
      </c>
      <c r="I39" s="2" t="s">
        <v>16</v>
      </c>
      <c r="J39" s="12">
        <v>42165</v>
      </c>
      <c r="K39" s="1"/>
      <c r="L39" s="20"/>
    </row>
    <row r="40" spans="1:12">
      <c r="A40" s="2" t="s">
        <v>138</v>
      </c>
      <c r="B40" s="2">
        <v>3411484525</v>
      </c>
      <c r="C40" s="2">
        <v>1250</v>
      </c>
      <c r="D40" s="2" t="s">
        <v>139</v>
      </c>
      <c r="E40" s="2" t="s">
        <v>201</v>
      </c>
      <c r="F40" s="2" t="s">
        <v>24</v>
      </c>
      <c r="G40" s="2" t="s">
        <v>88</v>
      </c>
      <c r="H40" s="2" t="s">
        <v>15</v>
      </c>
      <c r="I40" s="2" t="s">
        <v>16</v>
      </c>
      <c r="J40" s="12">
        <v>42165</v>
      </c>
      <c r="K40" s="20"/>
      <c r="L40" s="20"/>
    </row>
    <row r="41" spans="1:12">
      <c r="A41" s="2" t="s">
        <v>140</v>
      </c>
      <c r="B41" s="2">
        <v>3133149408</v>
      </c>
      <c r="C41" s="2">
        <v>1130</v>
      </c>
      <c r="D41" s="2" t="s">
        <v>141</v>
      </c>
      <c r="E41" s="2" t="s">
        <v>142</v>
      </c>
      <c r="F41" s="2" t="s">
        <v>133</v>
      </c>
      <c r="G41" s="2" t="s">
        <v>134</v>
      </c>
      <c r="H41" s="2" t="s">
        <v>15</v>
      </c>
      <c r="I41" s="2" t="s">
        <v>16</v>
      </c>
      <c r="J41" s="12">
        <v>42165</v>
      </c>
      <c r="K41" s="20"/>
      <c r="L41" s="20"/>
    </row>
    <row r="42" spans="1:12">
      <c r="A42" s="2" t="s">
        <v>143</v>
      </c>
      <c r="B42" s="2">
        <v>3218823930</v>
      </c>
      <c r="C42" s="2">
        <v>1530</v>
      </c>
      <c r="D42" s="2" t="s">
        <v>144</v>
      </c>
      <c r="E42" s="2" t="s">
        <v>23</v>
      </c>
      <c r="F42" s="2" t="s">
        <v>24</v>
      </c>
      <c r="G42" s="2" t="s">
        <v>145</v>
      </c>
      <c r="H42" s="2" t="s">
        <v>15</v>
      </c>
      <c r="I42" s="2" t="s">
        <v>16</v>
      </c>
      <c r="J42" s="12">
        <v>42165</v>
      </c>
      <c r="K42" s="20"/>
      <c r="L42" s="20"/>
    </row>
    <row r="43" spans="1:12">
      <c r="A43" s="2" t="s">
        <v>146</v>
      </c>
      <c r="B43" s="2">
        <v>3133426091</v>
      </c>
      <c r="C43" s="2">
        <v>2400</v>
      </c>
      <c r="D43" s="2" t="s">
        <v>147</v>
      </c>
      <c r="E43" s="2" t="s">
        <v>148</v>
      </c>
      <c r="F43" s="2" t="s">
        <v>24</v>
      </c>
      <c r="G43" s="2" t="s">
        <v>149</v>
      </c>
      <c r="H43" s="2" t="s">
        <v>150</v>
      </c>
      <c r="I43" s="2" t="s">
        <v>16</v>
      </c>
      <c r="J43" s="12">
        <v>42165</v>
      </c>
      <c r="K43" s="20"/>
      <c r="L43" s="20"/>
    </row>
    <row r="44" spans="1:12">
      <c r="A44" s="30" t="s">
        <v>151</v>
      </c>
      <c r="B44" s="30">
        <v>3119462795</v>
      </c>
      <c r="C44" s="30">
        <v>750</v>
      </c>
      <c r="D44" s="30" t="s">
        <v>152</v>
      </c>
      <c r="E44" s="30" t="s">
        <v>153</v>
      </c>
      <c r="F44" s="30" t="s">
        <v>154</v>
      </c>
      <c r="G44" s="30" t="s">
        <v>155</v>
      </c>
      <c r="H44" s="30" t="s">
        <v>41</v>
      </c>
      <c r="I44" s="30" t="s">
        <v>122</v>
      </c>
      <c r="J44" s="36">
        <v>42165</v>
      </c>
      <c r="K44" s="53"/>
      <c r="L44" s="53"/>
    </row>
    <row r="45" spans="1:12">
      <c r="A45" s="2" t="s">
        <v>156</v>
      </c>
      <c r="B45" s="2">
        <v>3315301911</v>
      </c>
      <c r="C45" s="2">
        <v>1130</v>
      </c>
      <c r="D45" s="2" t="s">
        <v>157</v>
      </c>
      <c r="E45" s="2" t="s">
        <v>19</v>
      </c>
      <c r="F45" s="2" t="s">
        <v>31</v>
      </c>
      <c r="G45" s="2" t="s">
        <v>158</v>
      </c>
      <c r="H45" s="2" t="s">
        <v>15</v>
      </c>
      <c r="I45" s="2" t="s">
        <v>16</v>
      </c>
      <c r="J45" s="12">
        <v>42226</v>
      </c>
      <c r="K45" s="20"/>
      <c r="L45" s="20"/>
    </row>
    <row r="46" spans="1:12">
      <c r="A46" s="2" t="s">
        <v>159</v>
      </c>
      <c r="B46" s="2">
        <v>3322244123</v>
      </c>
      <c r="C46" s="2">
        <v>700</v>
      </c>
      <c r="D46" s="2" t="s">
        <v>160</v>
      </c>
      <c r="E46" s="2" t="s">
        <v>50</v>
      </c>
      <c r="F46" s="2" t="s">
        <v>31</v>
      </c>
      <c r="G46" s="2" t="s">
        <v>161</v>
      </c>
      <c r="H46" s="2" t="s">
        <v>41</v>
      </c>
      <c r="I46" s="2" t="s">
        <v>16</v>
      </c>
      <c r="J46" s="12">
        <v>42257</v>
      </c>
      <c r="K46" s="20"/>
      <c r="L46" s="20"/>
    </row>
    <row r="47" spans="1:12">
      <c r="A47" s="2" t="s">
        <v>162</v>
      </c>
      <c r="B47" s="20">
        <v>3222141820</v>
      </c>
      <c r="C47" s="2">
        <v>1000</v>
      </c>
      <c r="D47" s="2" t="s">
        <v>163</v>
      </c>
      <c r="E47" s="2" t="s">
        <v>50</v>
      </c>
      <c r="F47" s="2" t="s">
        <v>24</v>
      </c>
      <c r="G47" s="2" t="s">
        <v>164</v>
      </c>
      <c r="H47" s="2" t="s">
        <v>15</v>
      </c>
      <c r="I47" s="2" t="s">
        <v>16</v>
      </c>
      <c r="J47" s="12">
        <v>42257</v>
      </c>
      <c r="K47" s="20"/>
      <c r="L47" s="20"/>
    </row>
    <row r="48" spans="1:12">
      <c r="A48" s="2" t="s">
        <v>165</v>
      </c>
      <c r="B48" s="2">
        <v>3245400004</v>
      </c>
      <c r="C48" s="2">
        <v>1400</v>
      </c>
      <c r="D48" s="2" t="s">
        <v>166</v>
      </c>
      <c r="E48" s="2" t="s">
        <v>40</v>
      </c>
      <c r="F48" s="2" t="s">
        <v>133</v>
      </c>
      <c r="G48" s="2" t="s">
        <v>167</v>
      </c>
      <c r="H48" s="2" t="s">
        <v>15</v>
      </c>
      <c r="I48" s="2" t="s">
        <v>16</v>
      </c>
      <c r="J48" s="12">
        <v>42257</v>
      </c>
      <c r="K48" s="20"/>
      <c r="L48" s="20"/>
    </row>
    <row r="49" spans="1:12">
      <c r="A49" s="2" t="s">
        <v>168</v>
      </c>
      <c r="B49" s="2">
        <v>3475564903</v>
      </c>
      <c r="C49" s="2">
        <v>1500</v>
      </c>
      <c r="D49" s="2" t="s">
        <v>169</v>
      </c>
      <c r="E49" s="2" t="s">
        <v>170</v>
      </c>
      <c r="F49" s="2" t="s">
        <v>31</v>
      </c>
      <c r="G49" s="2" t="s">
        <v>171</v>
      </c>
      <c r="H49" s="2" t="s">
        <v>15</v>
      </c>
      <c r="I49" s="2" t="s">
        <v>16</v>
      </c>
      <c r="J49" s="12">
        <v>42257</v>
      </c>
      <c r="K49" s="20"/>
      <c r="L49" s="20"/>
    </row>
    <row r="50" spans="1:12">
      <c r="A50" s="2" t="s">
        <v>172</v>
      </c>
      <c r="B50" s="2">
        <v>3070614559</v>
      </c>
      <c r="C50" s="2">
        <v>1300</v>
      </c>
      <c r="D50" s="2" t="s">
        <v>173</v>
      </c>
      <c r="E50" s="2" t="s">
        <v>174</v>
      </c>
      <c r="F50" s="2" t="s">
        <v>45</v>
      </c>
      <c r="G50" s="2" t="s">
        <v>46</v>
      </c>
      <c r="H50" s="2" t="s">
        <v>15</v>
      </c>
      <c r="I50" s="2" t="s">
        <v>16</v>
      </c>
      <c r="J50" s="12">
        <v>42287</v>
      </c>
      <c r="K50" s="20"/>
      <c r="L50" s="20"/>
    </row>
    <row r="51" spans="1:12">
      <c r="A51" s="2" t="s">
        <v>175</v>
      </c>
      <c r="B51" s="2">
        <v>3151880753</v>
      </c>
      <c r="C51" s="2">
        <v>1050</v>
      </c>
      <c r="D51" s="2" t="s">
        <v>176</v>
      </c>
      <c r="E51" s="2" t="s">
        <v>177</v>
      </c>
      <c r="F51" s="2" t="s">
        <v>24</v>
      </c>
      <c r="G51" s="2" t="s">
        <v>178</v>
      </c>
      <c r="H51" s="2" t="s">
        <v>15</v>
      </c>
      <c r="I51" s="2" t="s">
        <v>16</v>
      </c>
      <c r="J51" s="12">
        <v>42287</v>
      </c>
      <c r="K51" s="20"/>
      <c r="L51" s="20"/>
    </row>
    <row r="52" spans="1:12">
      <c r="A52" s="2" t="s">
        <v>179</v>
      </c>
      <c r="B52" s="2">
        <v>3462220229</v>
      </c>
      <c r="C52" s="2">
        <v>1000</v>
      </c>
      <c r="D52" s="2" t="s">
        <v>180</v>
      </c>
      <c r="E52" s="2" t="s">
        <v>50</v>
      </c>
      <c r="F52" s="2" t="s">
        <v>13</v>
      </c>
      <c r="G52" s="2" t="s">
        <v>181</v>
      </c>
      <c r="H52" s="2" t="s">
        <v>41</v>
      </c>
      <c r="I52" s="2" t="s">
        <v>16</v>
      </c>
      <c r="J52" s="12">
        <v>42318</v>
      </c>
      <c r="K52" s="20"/>
      <c r="L52" s="20"/>
    </row>
    <row r="53" spans="1:12">
      <c r="A53" s="2" t="s">
        <v>214</v>
      </c>
      <c r="B53" s="2">
        <v>3102879934</v>
      </c>
      <c r="C53" s="2">
        <v>700</v>
      </c>
      <c r="D53" s="2" t="s">
        <v>182</v>
      </c>
      <c r="E53" s="2" t="s">
        <v>50</v>
      </c>
      <c r="F53" s="2" t="s">
        <v>31</v>
      </c>
      <c r="G53" s="2" t="s">
        <v>183</v>
      </c>
      <c r="H53" s="2" t="s">
        <v>41</v>
      </c>
      <c r="I53" s="2" t="s">
        <v>16</v>
      </c>
      <c r="J53" s="12">
        <v>42318</v>
      </c>
      <c r="K53" s="20"/>
      <c r="L53" s="20"/>
    </row>
    <row r="54" spans="1:12">
      <c r="A54" s="2" t="s">
        <v>184</v>
      </c>
      <c r="B54" s="2">
        <v>3218383567</v>
      </c>
      <c r="C54" s="2">
        <v>1100</v>
      </c>
      <c r="D54" s="2" t="s">
        <v>185</v>
      </c>
      <c r="E54" s="2" t="s">
        <v>50</v>
      </c>
      <c r="F54" s="2" t="s">
        <v>24</v>
      </c>
      <c r="G54" s="2" t="s">
        <v>186</v>
      </c>
      <c r="H54" s="2" t="s">
        <v>41</v>
      </c>
      <c r="I54" s="2" t="s">
        <v>16</v>
      </c>
      <c r="J54" s="12">
        <v>42318</v>
      </c>
      <c r="K54" s="20"/>
      <c r="L54" s="20"/>
    </row>
    <row r="55" spans="1:12">
      <c r="A55" s="2" t="s">
        <v>187</v>
      </c>
      <c r="B55" s="2">
        <v>3217555548</v>
      </c>
      <c r="C55" s="2">
        <v>3100</v>
      </c>
      <c r="D55" s="2" t="s">
        <v>188</v>
      </c>
      <c r="E55" s="2" t="s">
        <v>23</v>
      </c>
      <c r="F55" s="2" t="s">
        <v>45</v>
      </c>
      <c r="G55" s="2" t="s">
        <v>189</v>
      </c>
      <c r="H55" s="2" t="s">
        <v>41</v>
      </c>
      <c r="I55" s="2" t="s">
        <v>16</v>
      </c>
      <c r="J55" s="12">
        <v>42318</v>
      </c>
      <c r="K55" s="20"/>
      <c r="L55" s="20"/>
    </row>
    <row r="56" spans="1:12">
      <c r="A56" s="2" t="s">
        <v>190</v>
      </c>
      <c r="B56" s="2">
        <v>3214226230</v>
      </c>
      <c r="C56" s="2">
        <v>2000</v>
      </c>
      <c r="D56" s="2" t="s">
        <v>191</v>
      </c>
      <c r="E56" s="2" t="s">
        <v>23</v>
      </c>
      <c r="F56" s="2" t="s">
        <v>24</v>
      </c>
      <c r="G56" s="2" t="s">
        <v>101</v>
      </c>
      <c r="H56" s="2" t="s">
        <v>15</v>
      </c>
      <c r="I56" s="2" t="s">
        <v>16</v>
      </c>
      <c r="J56" s="12">
        <v>42318</v>
      </c>
      <c r="K56" s="20"/>
      <c r="L56" s="20"/>
    </row>
    <row r="57" spans="1:12">
      <c r="A57" s="2" t="s">
        <v>192</v>
      </c>
      <c r="B57" s="2">
        <v>3460337677</v>
      </c>
      <c r="C57" s="2">
        <v>1450</v>
      </c>
      <c r="D57" s="2" t="s">
        <v>193</v>
      </c>
      <c r="E57" s="2" t="s">
        <v>50</v>
      </c>
      <c r="F57" s="2" t="s">
        <v>31</v>
      </c>
      <c r="G57" s="2" t="s">
        <v>46</v>
      </c>
      <c r="H57" s="2" t="s">
        <v>41</v>
      </c>
      <c r="I57" s="2" t="s">
        <v>16</v>
      </c>
      <c r="J57" s="12">
        <v>42348</v>
      </c>
      <c r="K57" s="20"/>
      <c r="L57" s="20"/>
    </row>
    <row r="58" spans="1:12">
      <c r="A58" s="5" t="s">
        <v>194</v>
      </c>
      <c r="B58" s="2">
        <v>3127095434</v>
      </c>
      <c r="C58" s="2">
        <v>1150</v>
      </c>
      <c r="D58" s="2" t="s">
        <v>195</v>
      </c>
      <c r="E58" s="2" t="s">
        <v>50</v>
      </c>
      <c r="F58" s="2" t="s">
        <v>45</v>
      </c>
      <c r="G58" s="2" t="s">
        <v>196</v>
      </c>
      <c r="H58" s="2" t="s">
        <v>15</v>
      </c>
      <c r="I58" s="2" t="s">
        <v>16</v>
      </c>
      <c r="J58" s="12">
        <v>42348</v>
      </c>
      <c r="K58" s="20"/>
      <c r="L58" s="20"/>
    </row>
    <row r="59" spans="1:12">
      <c r="A59" s="2" t="s">
        <v>197</v>
      </c>
      <c r="B59" s="2">
        <v>3349195544</v>
      </c>
      <c r="C59" s="2">
        <v>1250</v>
      </c>
      <c r="D59" s="2" t="s">
        <v>198</v>
      </c>
      <c r="E59" s="2" t="s">
        <v>199</v>
      </c>
      <c r="F59" s="2" t="s">
        <v>24</v>
      </c>
      <c r="G59" s="2" t="s">
        <v>164</v>
      </c>
      <c r="H59" s="2" t="s">
        <v>15</v>
      </c>
      <c r="I59" s="2" t="s">
        <v>16</v>
      </c>
      <c r="J59" s="12">
        <v>42348</v>
      </c>
      <c r="K59" s="20"/>
      <c r="L59" s="20"/>
    </row>
    <row r="60" spans="1:12">
      <c r="A60" s="30" t="s">
        <v>200</v>
      </c>
      <c r="B60" s="30">
        <v>3337546833</v>
      </c>
      <c r="C60" s="30">
        <v>1300</v>
      </c>
      <c r="D60" s="30" t="s">
        <v>202</v>
      </c>
      <c r="E60" s="30" t="s">
        <v>201</v>
      </c>
      <c r="F60" s="30" t="s">
        <v>24</v>
      </c>
      <c r="G60" s="30" t="s">
        <v>203</v>
      </c>
      <c r="H60" s="30" t="s">
        <v>15</v>
      </c>
      <c r="I60" s="30" t="s">
        <v>122</v>
      </c>
      <c r="J60" s="36" t="s">
        <v>204</v>
      </c>
      <c r="K60" s="53"/>
      <c r="L60" s="53"/>
    </row>
    <row r="61" spans="1:12">
      <c r="A61" s="2" t="s">
        <v>205</v>
      </c>
      <c r="B61" s="2">
        <v>3064451812</v>
      </c>
      <c r="C61" s="2">
        <v>1300</v>
      </c>
      <c r="D61" s="2" t="s">
        <v>206</v>
      </c>
      <c r="E61" s="2" t="s">
        <v>207</v>
      </c>
      <c r="F61" s="2" t="s">
        <v>24</v>
      </c>
      <c r="G61" s="2" t="s">
        <v>203</v>
      </c>
      <c r="H61" s="2" t="s">
        <v>15</v>
      </c>
      <c r="I61" s="2" t="s">
        <v>16</v>
      </c>
      <c r="J61" s="12" t="s">
        <v>204</v>
      </c>
      <c r="K61" s="20"/>
      <c r="L61" s="20"/>
    </row>
    <row r="62" spans="1:12">
      <c r="A62" s="2" t="s">
        <v>208</v>
      </c>
      <c r="B62" s="2">
        <v>3114790647</v>
      </c>
      <c r="C62" s="2">
        <v>710</v>
      </c>
      <c r="D62" s="2" t="s">
        <v>209</v>
      </c>
      <c r="E62" s="2" t="s">
        <v>210</v>
      </c>
      <c r="F62" s="2" t="s">
        <v>24</v>
      </c>
      <c r="G62" s="2" t="s">
        <v>36</v>
      </c>
      <c r="H62" s="2" t="s">
        <v>15</v>
      </c>
      <c r="I62" s="2" t="s">
        <v>16</v>
      </c>
      <c r="J62" s="12" t="s">
        <v>204</v>
      </c>
      <c r="K62" s="20"/>
      <c r="L62" s="20"/>
    </row>
    <row r="63" spans="1:12">
      <c r="A63" s="5" t="s">
        <v>211</v>
      </c>
      <c r="B63" s="5">
        <v>3131015717</v>
      </c>
      <c r="C63" s="2">
        <v>1400</v>
      </c>
      <c r="D63" s="2" t="s">
        <v>212</v>
      </c>
      <c r="E63" s="2" t="s">
        <v>50</v>
      </c>
      <c r="F63" s="2" t="s">
        <v>31</v>
      </c>
      <c r="G63" s="2" t="s">
        <v>213</v>
      </c>
      <c r="H63" s="2" t="s">
        <v>41</v>
      </c>
      <c r="I63" s="2" t="s">
        <v>16</v>
      </c>
      <c r="J63" s="12" t="s">
        <v>204</v>
      </c>
      <c r="K63" s="20"/>
      <c r="L63" s="20"/>
    </row>
    <row r="64" spans="1:12">
      <c r="A64" s="5" t="s">
        <v>215</v>
      </c>
      <c r="B64" s="5">
        <v>3217279170</v>
      </c>
      <c r="C64" s="5">
        <v>850</v>
      </c>
      <c r="D64" s="5" t="s">
        <v>216</v>
      </c>
      <c r="E64" s="5" t="s">
        <v>57</v>
      </c>
      <c r="F64" s="5" t="s">
        <v>39</v>
      </c>
      <c r="G64" s="5" t="s">
        <v>25</v>
      </c>
      <c r="H64" s="5" t="s">
        <v>15</v>
      </c>
      <c r="I64" s="5" t="s">
        <v>16</v>
      </c>
      <c r="J64" s="13" t="s">
        <v>217</v>
      </c>
      <c r="K64" s="20"/>
      <c r="L64" s="20"/>
    </row>
    <row r="65" spans="1:12">
      <c r="A65" s="5" t="s">
        <v>218</v>
      </c>
      <c r="B65" s="5">
        <v>3319614452</v>
      </c>
      <c r="C65" s="5">
        <v>1430</v>
      </c>
      <c r="D65" s="5" t="s">
        <v>219</v>
      </c>
      <c r="E65" s="5" t="s">
        <v>30</v>
      </c>
      <c r="F65" s="5" t="s">
        <v>39</v>
      </c>
      <c r="G65" s="5" t="s">
        <v>220</v>
      </c>
      <c r="H65" s="5" t="s">
        <v>15</v>
      </c>
      <c r="I65" s="5" t="s">
        <v>16</v>
      </c>
      <c r="J65" s="13" t="s">
        <v>217</v>
      </c>
      <c r="K65" s="20"/>
      <c r="L65" s="20"/>
    </row>
    <row r="66" spans="1:12">
      <c r="A66" s="5" t="s">
        <v>221</v>
      </c>
      <c r="B66" s="5">
        <v>3455281827</v>
      </c>
      <c r="C66" s="5">
        <v>2000</v>
      </c>
      <c r="D66" s="5" t="s">
        <v>222</v>
      </c>
      <c r="E66" s="5" t="s">
        <v>12</v>
      </c>
      <c r="F66" s="5" t="s">
        <v>223</v>
      </c>
      <c r="G66" s="5" t="s">
        <v>224</v>
      </c>
      <c r="H66" s="5" t="s">
        <v>15</v>
      </c>
      <c r="I66" s="5" t="s">
        <v>16</v>
      </c>
      <c r="J66" s="13" t="s">
        <v>217</v>
      </c>
      <c r="K66" s="20"/>
      <c r="L66" s="20"/>
    </row>
    <row r="67" spans="1:12">
      <c r="A67" s="5" t="s">
        <v>187</v>
      </c>
      <c r="B67" s="5">
        <v>3217555548</v>
      </c>
      <c r="C67" s="5">
        <v>2550</v>
      </c>
      <c r="D67" s="5" t="s">
        <v>188</v>
      </c>
      <c r="E67" s="5" t="s">
        <v>23</v>
      </c>
      <c r="F67" s="5" t="s">
        <v>45</v>
      </c>
      <c r="G67" s="5" t="s">
        <v>225</v>
      </c>
      <c r="H67" s="5" t="s">
        <v>41</v>
      </c>
      <c r="I67" s="5" t="s">
        <v>16</v>
      </c>
      <c r="J67" s="13" t="s">
        <v>217</v>
      </c>
      <c r="K67" s="20"/>
      <c r="L67" s="20"/>
    </row>
    <row r="68" spans="1:12">
      <c r="A68" s="5" t="s">
        <v>226</v>
      </c>
      <c r="B68" s="5">
        <v>3151316294</v>
      </c>
      <c r="C68" s="5">
        <v>1170</v>
      </c>
      <c r="D68" s="5" t="s">
        <v>227</v>
      </c>
      <c r="E68" s="5" t="s">
        <v>125</v>
      </c>
      <c r="F68" s="5" t="s">
        <v>45</v>
      </c>
      <c r="G68" s="5" t="s">
        <v>228</v>
      </c>
      <c r="H68" s="5" t="s">
        <v>15</v>
      </c>
      <c r="I68" s="5" t="s">
        <v>16</v>
      </c>
      <c r="J68" s="13" t="s">
        <v>217</v>
      </c>
      <c r="K68" s="20"/>
      <c r="L68" s="20"/>
    </row>
    <row r="69" spans="1:12">
      <c r="A69" s="6" t="s">
        <v>229</v>
      </c>
      <c r="B69" s="5">
        <v>3227264703</v>
      </c>
      <c r="C69" s="5">
        <v>1600</v>
      </c>
      <c r="D69" s="5" t="s">
        <v>232</v>
      </c>
      <c r="E69" s="5" t="s">
        <v>230</v>
      </c>
      <c r="F69" s="5" t="s">
        <v>24</v>
      </c>
      <c r="G69" s="5" t="s">
        <v>231</v>
      </c>
      <c r="H69" s="5" t="s">
        <v>15</v>
      </c>
      <c r="I69" s="5" t="s">
        <v>16</v>
      </c>
      <c r="J69" s="13" t="s">
        <v>217</v>
      </c>
      <c r="K69" s="20"/>
      <c r="L69" s="20"/>
    </row>
    <row r="70" spans="1:12">
      <c r="A70" s="5" t="s">
        <v>233</v>
      </c>
      <c r="B70" s="5">
        <v>3015141428</v>
      </c>
      <c r="C70" s="5">
        <v>1250</v>
      </c>
      <c r="D70" s="5" t="s">
        <v>234</v>
      </c>
      <c r="E70" s="5" t="s">
        <v>235</v>
      </c>
      <c r="F70" s="5" t="s">
        <v>45</v>
      </c>
      <c r="G70" s="5" t="s">
        <v>236</v>
      </c>
      <c r="H70" s="5" t="s">
        <v>41</v>
      </c>
      <c r="I70" s="5" t="s">
        <v>16</v>
      </c>
      <c r="J70" s="13" t="s">
        <v>217</v>
      </c>
      <c r="K70" s="20"/>
      <c r="L70" s="20"/>
    </row>
    <row r="71" spans="1:12">
      <c r="A71" s="2" t="s">
        <v>237</v>
      </c>
      <c r="B71" s="2">
        <v>3360067883</v>
      </c>
      <c r="C71" s="5">
        <v>1000</v>
      </c>
      <c r="D71" s="2" t="s">
        <v>238</v>
      </c>
      <c r="E71" s="5" t="s">
        <v>12</v>
      </c>
      <c r="F71" s="5" t="s">
        <v>133</v>
      </c>
      <c r="G71" s="5" t="s">
        <v>134</v>
      </c>
      <c r="H71" s="5" t="s">
        <v>15</v>
      </c>
      <c r="I71" s="5" t="s">
        <v>16</v>
      </c>
      <c r="J71" s="13" t="s">
        <v>239</v>
      </c>
      <c r="K71" s="20"/>
      <c r="L71" s="20"/>
    </row>
    <row r="72" spans="1:12">
      <c r="A72" s="21" t="s">
        <v>240</v>
      </c>
      <c r="B72" s="21">
        <v>3232052231</v>
      </c>
      <c r="C72" s="4">
        <v>1900</v>
      </c>
      <c r="D72" s="21" t="s">
        <v>241</v>
      </c>
      <c r="E72" s="4" t="s">
        <v>50</v>
      </c>
      <c r="F72" s="4" t="s">
        <v>24</v>
      </c>
      <c r="G72" s="4" t="s">
        <v>242</v>
      </c>
      <c r="H72" s="4" t="s">
        <v>15</v>
      </c>
      <c r="I72" s="4" t="s">
        <v>16</v>
      </c>
      <c r="J72" s="14" t="s">
        <v>239</v>
      </c>
      <c r="K72" s="20"/>
      <c r="L72" s="20"/>
    </row>
    <row r="73" spans="1:12">
      <c r="A73" s="2" t="s">
        <v>244</v>
      </c>
      <c r="B73" s="2">
        <v>3452492689</v>
      </c>
      <c r="C73" s="5">
        <v>1100</v>
      </c>
      <c r="D73" s="2" t="s">
        <v>245</v>
      </c>
      <c r="E73" s="5" t="s">
        <v>50</v>
      </c>
      <c r="F73" s="5" t="s">
        <v>45</v>
      </c>
      <c r="G73" s="5" t="s">
        <v>246</v>
      </c>
      <c r="H73" s="5" t="s">
        <v>15</v>
      </c>
      <c r="I73" s="5" t="s">
        <v>16</v>
      </c>
      <c r="J73" s="13" t="s">
        <v>243</v>
      </c>
      <c r="K73" s="20"/>
      <c r="L73" s="20"/>
    </row>
    <row r="74" spans="1:12">
      <c r="A74" s="2" t="s">
        <v>247</v>
      </c>
      <c r="B74" s="2">
        <v>3354941966</v>
      </c>
      <c r="C74" s="5">
        <v>900</v>
      </c>
      <c r="D74" s="2" t="s">
        <v>248</v>
      </c>
      <c r="E74" s="5" t="s">
        <v>23</v>
      </c>
      <c r="F74" s="5" t="s">
        <v>24</v>
      </c>
      <c r="G74" s="5" t="s">
        <v>178</v>
      </c>
      <c r="H74" s="5" t="s">
        <v>15</v>
      </c>
      <c r="I74" s="5" t="s">
        <v>16</v>
      </c>
      <c r="J74" s="13" t="s">
        <v>243</v>
      </c>
      <c r="K74" s="20"/>
      <c r="L74" s="20"/>
    </row>
    <row r="75" spans="1:12">
      <c r="A75" s="2" t="s">
        <v>249</v>
      </c>
      <c r="B75" s="2">
        <v>3355976801</v>
      </c>
      <c r="C75" s="5">
        <v>900</v>
      </c>
      <c r="D75" s="2" t="s">
        <v>250</v>
      </c>
      <c r="E75" s="5" t="s">
        <v>35</v>
      </c>
      <c r="F75" s="5" t="s">
        <v>24</v>
      </c>
      <c r="G75" s="5" t="s">
        <v>178</v>
      </c>
      <c r="H75" s="5" t="s">
        <v>15</v>
      </c>
      <c r="I75" s="5" t="s">
        <v>16</v>
      </c>
      <c r="J75" s="13" t="s">
        <v>243</v>
      </c>
      <c r="K75" s="20"/>
      <c r="L75" s="20"/>
    </row>
    <row r="76" spans="1:12">
      <c r="A76" s="2" t="s">
        <v>251</v>
      </c>
      <c r="B76" s="2">
        <v>3465317632</v>
      </c>
      <c r="C76" s="5">
        <v>1250</v>
      </c>
      <c r="D76" s="2" t="s">
        <v>252</v>
      </c>
      <c r="E76" s="5" t="s">
        <v>19</v>
      </c>
      <c r="F76" s="5" t="s">
        <v>45</v>
      </c>
      <c r="G76" s="5" t="s">
        <v>253</v>
      </c>
      <c r="H76" s="5" t="s">
        <v>41</v>
      </c>
      <c r="I76" s="5" t="s">
        <v>16</v>
      </c>
      <c r="J76" s="13" t="s">
        <v>243</v>
      </c>
      <c r="K76" s="20"/>
      <c r="L76" s="20"/>
    </row>
    <row r="77" spans="1:12">
      <c r="A77" s="5" t="s">
        <v>254</v>
      </c>
      <c r="B77" s="5">
        <v>3122124938</v>
      </c>
      <c r="C77" s="5">
        <v>1300</v>
      </c>
      <c r="D77" s="5" t="s">
        <v>255</v>
      </c>
      <c r="E77" s="5" t="s">
        <v>50</v>
      </c>
      <c r="F77" s="5" t="s">
        <v>24</v>
      </c>
      <c r="G77" s="5" t="s">
        <v>256</v>
      </c>
      <c r="H77" s="5" t="s">
        <v>15</v>
      </c>
      <c r="I77" s="5" t="s">
        <v>16</v>
      </c>
      <c r="J77" s="13" t="s">
        <v>257</v>
      </c>
      <c r="K77" s="20"/>
      <c r="L77" s="20"/>
    </row>
    <row r="78" spans="1:12">
      <c r="A78" s="5" t="s">
        <v>258</v>
      </c>
      <c r="B78" s="5">
        <v>3414002096</v>
      </c>
      <c r="C78" s="5">
        <v>710</v>
      </c>
      <c r="D78" s="5" t="s">
        <v>269</v>
      </c>
      <c r="E78" s="5" t="s">
        <v>23</v>
      </c>
      <c r="F78" s="5" t="s">
        <v>24</v>
      </c>
      <c r="G78" s="5" t="s">
        <v>259</v>
      </c>
      <c r="H78" s="5" t="s">
        <v>15</v>
      </c>
      <c r="I78" s="5" t="s">
        <v>16</v>
      </c>
      <c r="J78" s="13" t="s">
        <v>257</v>
      </c>
      <c r="K78" s="20"/>
      <c r="L78" s="20"/>
    </row>
    <row r="79" spans="1:12">
      <c r="A79" s="5" t="s">
        <v>262</v>
      </c>
      <c r="B79" s="5">
        <v>3243372882</v>
      </c>
      <c r="C79" s="5">
        <v>1000</v>
      </c>
      <c r="D79" s="5" t="s">
        <v>261</v>
      </c>
      <c r="E79" s="5" t="s">
        <v>50</v>
      </c>
      <c r="F79" s="5" t="s">
        <v>24</v>
      </c>
      <c r="G79" s="5" t="s">
        <v>260</v>
      </c>
      <c r="H79" s="5" t="s">
        <v>15</v>
      </c>
      <c r="I79" s="5" t="s">
        <v>16</v>
      </c>
      <c r="J79" s="13" t="s">
        <v>257</v>
      </c>
      <c r="K79" s="20"/>
      <c r="L79" s="20"/>
    </row>
    <row r="80" spans="1:12">
      <c r="A80" s="2" t="s">
        <v>263</v>
      </c>
      <c r="B80" s="2">
        <v>3329216611</v>
      </c>
      <c r="C80" s="5">
        <v>1500</v>
      </c>
      <c r="D80" s="2" t="s">
        <v>264</v>
      </c>
      <c r="E80" s="5" t="s">
        <v>35</v>
      </c>
      <c r="F80" s="5" t="s">
        <v>24</v>
      </c>
      <c r="G80" s="5" t="s">
        <v>231</v>
      </c>
      <c r="H80" s="5" t="s">
        <v>15</v>
      </c>
      <c r="I80" s="5" t="s">
        <v>16</v>
      </c>
      <c r="J80" s="13" t="s">
        <v>265</v>
      </c>
      <c r="K80" s="20"/>
      <c r="L80" s="20"/>
    </row>
    <row r="81" spans="1:12">
      <c r="A81" s="2" t="s">
        <v>266</v>
      </c>
      <c r="B81" s="2">
        <v>3358407040</v>
      </c>
      <c r="C81" s="5">
        <v>1300</v>
      </c>
      <c r="D81" s="2" t="s">
        <v>267</v>
      </c>
      <c r="E81" s="5" t="s">
        <v>35</v>
      </c>
      <c r="F81" s="5" t="s">
        <v>45</v>
      </c>
      <c r="G81" s="5" t="s">
        <v>268</v>
      </c>
      <c r="H81" s="5" t="s">
        <v>15</v>
      </c>
      <c r="I81" s="5" t="s">
        <v>16</v>
      </c>
      <c r="J81" s="13" t="s">
        <v>265</v>
      </c>
      <c r="K81" s="20"/>
      <c r="L81" s="20"/>
    </row>
    <row r="82" spans="1:12">
      <c r="A82" s="2" t="s">
        <v>270</v>
      </c>
      <c r="B82" s="2">
        <v>3318200117</v>
      </c>
      <c r="C82" s="5">
        <v>1050</v>
      </c>
      <c r="D82" s="2" t="s">
        <v>271</v>
      </c>
      <c r="E82" s="2" t="s">
        <v>272</v>
      </c>
      <c r="F82" s="5" t="s">
        <v>24</v>
      </c>
      <c r="G82" s="5" t="s">
        <v>178</v>
      </c>
      <c r="H82" s="5" t="s">
        <v>15</v>
      </c>
      <c r="I82" s="5" t="s">
        <v>16</v>
      </c>
      <c r="J82" s="13" t="s">
        <v>265</v>
      </c>
      <c r="K82" s="20"/>
      <c r="L82" s="20"/>
    </row>
    <row r="83" spans="1:12">
      <c r="A83" s="2" t="s">
        <v>273</v>
      </c>
      <c r="B83" s="2">
        <v>3101828048</v>
      </c>
      <c r="C83" s="5">
        <v>2200</v>
      </c>
      <c r="D83" s="2" t="s">
        <v>274</v>
      </c>
      <c r="E83" s="5" t="s">
        <v>85</v>
      </c>
      <c r="F83" s="5" t="s">
        <v>24</v>
      </c>
      <c r="G83" s="5" t="s">
        <v>275</v>
      </c>
      <c r="H83" s="5" t="s">
        <v>15</v>
      </c>
      <c r="I83" s="5" t="s">
        <v>16</v>
      </c>
      <c r="J83" s="12" t="s">
        <v>276</v>
      </c>
      <c r="K83" s="20"/>
      <c r="L83" s="20"/>
    </row>
    <row r="84" spans="1:12">
      <c r="A84" s="2" t="s">
        <v>277</v>
      </c>
      <c r="B84" s="2">
        <v>3337028705</v>
      </c>
      <c r="C84" s="5">
        <v>1170</v>
      </c>
      <c r="D84" s="2" t="s">
        <v>278</v>
      </c>
      <c r="E84" s="5" t="s">
        <v>279</v>
      </c>
      <c r="F84" s="5" t="s">
        <v>24</v>
      </c>
      <c r="G84" s="5" t="s">
        <v>88</v>
      </c>
      <c r="H84" s="5" t="s">
        <v>15</v>
      </c>
      <c r="I84" s="5" t="s">
        <v>16</v>
      </c>
      <c r="J84" s="12" t="s">
        <v>276</v>
      </c>
      <c r="K84" s="20"/>
      <c r="L84" s="20"/>
    </row>
    <row r="85" spans="1:12">
      <c r="A85" s="2" t="s">
        <v>282</v>
      </c>
      <c r="B85" s="2">
        <v>3432778874</v>
      </c>
      <c r="C85" s="5">
        <v>1300</v>
      </c>
      <c r="D85" s="2" t="s">
        <v>283</v>
      </c>
      <c r="E85" s="5" t="s">
        <v>50</v>
      </c>
      <c r="F85" s="5" t="s">
        <v>45</v>
      </c>
      <c r="G85" s="5" t="s">
        <v>121</v>
      </c>
      <c r="H85" s="5" t="s">
        <v>284</v>
      </c>
      <c r="I85" s="5" t="s">
        <v>16</v>
      </c>
      <c r="J85" s="12" t="s">
        <v>276</v>
      </c>
      <c r="K85" s="20"/>
      <c r="L85" s="20"/>
    </row>
    <row r="86" spans="1:12">
      <c r="A86" s="2" t="s">
        <v>285</v>
      </c>
      <c r="B86" s="2">
        <v>3330514491</v>
      </c>
      <c r="C86" s="5">
        <v>1170</v>
      </c>
      <c r="D86" s="2" t="s">
        <v>286</v>
      </c>
      <c r="E86" s="5" t="s">
        <v>12</v>
      </c>
      <c r="F86" s="5" t="s">
        <v>45</v>
      </c>
      <c r="G86" s="5" t="s">
        <v>46</v>
      </c>
      <c r="H86" s="5" t="s">
        <v>15</v>
      </c>
      <c r="I86" s="5" t="s">
        <v>16</v>
      </c>
      <c r="J86" s="12" t="s">
        <v>276</v>
      </c>
      <c r="K86" s="20"/>
      <c r="L86" s="20"/>
    </row>
    <row r="87" spans="1:12">
      <c r="A87" s="2" t="s">
        <v>288</v>
      </c>
      <c r="B87" s="2">
        <v>3101828048</v>
      </c>
      <c r="C87" s="7">
        <v>2200</v>
      </c>
      <c r="D87" s="2" t="s">
        <v>289</v>
      </c>
      <c r="E87" s="5" t="s">
        <v>85</v>
      </c>
      <c r="F87" s="6" t="s">
        <v>24</v>
      </c>
      <c r="G87" s="5" t="s">
        <v>275</v>
      </c>
      <c r="H87" s="5" t="s">
        <v>15</v>
      </c>
      <c r="I87" s="5" t="s">
        <v>16</v>
      </c>
      <c r="J87" s="12" t="s">
        <v>287</v>
      </c>
      <c r="K87" s="20"/>
      <c r="L87" s="20"/>
    </row>
    <row r="88" spans="1:12">
      <c r="A88" s="2" t="s">
        <v>290</v>
      </c>
      <c r="B88" s="2">
        <v>3417580739</v>
      </c>
      <c r="C88" s="2">
        <v>1850</v>
      </c>
      <c r="D88" s="2" t="s">
        <v>291</v>
      </c>
      <c r="E88" s="5" t="s">
        <v>280</v>
      </c>
      <c r="F88" s="2" t="s">
        <v>24</v>
      </c>
      <c r="G88" s="5" t="s">
        <v>281</v>
      </c>
      <c r="H88" s="5" t="s">
        <v>15</v>
      </c>
      <c r="I88" s="5" t="s">
        <v>16</v>
      </c>
      <c r="J88" s="12" t="s">
        <v>287</v>
      </c>
      <c r="K88" s="20"/>
      <c r="L88" s="20"/>
    </row>
    <row r="89" spans="1:12">
      <c r="A89" s="2" t="s">
        <v>292</v>
      </c>
      <c r="B89" s="2">
        <v>3337028705</v>
      </c>
      <c r="C89" s="22">
        <v>1170</v>
      </c>
      <c r="D89" s="2" t="s">
        <v>293</v>
      </c>
      <c r="E89" s="5" t="s">
        <v>279</v>
      </c>
      <c r="F89" s="2" t="s">
        <v>24</v>
      </c>
      <c r="G89" s="5" t="s">
        <v>88</v>
      </c>
      <c r="H89" s="5" t="s">
        <v>15</v>
      </c>
      <c r="I89" s="5" t="s">
        <v>16</v>
      </c>
      <c r="J89" s="12" t="s">
        <v>287</v>
      </c>
      <c r="K89" s="20"/>
      <c r="L89" s="20"/>
    </row>
    <row r="90" spans="1:12">
      <c r="A90" s="2" t="s">
        <v>294</v>
      </c>
      <c r="B90" s="2">
        <v>3412589950</v>
      </c>
      <c r="C90" s="2">
        <v>950</v>
      </c>
      <c r="D90" s="2" t="s">
        <v>295</v>
      </c>
      <c r="E90" s="5" t="s">
        <v>50</v>
      </c>
      <c r="F90" s="2" t="s">
        <v>24</v>
      </c>
      <c r="G90" s="5" t="s">
        <v>25</v>
      </c>
      <c r="H90" s="5" t="s">
        <v>15</v>
      </c>
      <c r="I90" s="5" t="s">
        <v>16</v>
      </c>
      <c r="J90" s="12" t="s">
        <v>287</v>
      </c>
      <c r="K90" s="20"/>
      <c r="L90" s="20"/>
    </row>
    <row r="91" spans="1:12">
      <c r="A91" s="5" t="s">
        <v>296</v>
      </c>
      <c r="B91" s="2">
        <v>3145858090</v>
      </c>
      <c r="C91" s="5">
        <v>1200</v>
      </c>
      <c r="D91" s="5" t="s">
        <v>297</v>
      </c>
      <c r="E91" s="5" t="s">
        <v>23</v>
      </c>
      <c r="F91" s="5" t="s">
        <v>133</v>
      </c>
      <c r="G91" s="5" t="s">
        <v>298</v>
      </c>
      <c r="H91" s="5" t="s">
        <v>15</v>
      </c>
      <c r="I91" s="5" t="s">
        <v>16</v>
      </c>
      <c r="J91" s="13" t="s">
        <v>299</v>
      </c>
      <c r="K91" s="20"/>
      <c r="L91" s="20"/>
    </row>
    <row r="92" spans="1:12">
      <c r="A92" s="2" t="s">
        <v>300</v>
      </c>
      <c r="B92" s="2">
        <v>3322588749</v>
      </c>
      <c r="C92" s="2">
        <v>1290</v>
      </c>
      <c r="D92" s="2" t="s">
        <v>301</v>
      </c>
      <c r="E92" s="5" t="s">
        <v>302</v>
      </c>
      <c r="F92" s="2" t="s">
        <v>24</v>
      </c>
      <c r="G92" s="5" t="s">
        <v>303</v>
      </c>
      <c r="H92" s="5" t="s">
        <v>15</v>
      </c>
      <c r="I92" s="5" t="s">
        <v>16</v>
      </c>
      <c r="J92" s="13" t="s">
        <v>299</v>
      </c>
      <c r="K92" s="20"/>
      <c r="L92" s="20"/>
    </row>
    <row r="93" spans="1:12" ht="15" customHeight="1">
      <c r="A93" s="26" t="s">
        <v>304</v>
      </c>
      <c r="B93" s="19">
        <v>3314409501</v>
      </c>
      <c r="C93" s="19">
        <v>1170</v>
      </c>
      <c r="D93" s="26" t="s">
        <v>305</v>
      </c>
      <c r="E93" s="6" t="s">
        <v>23</v>
      </c>
      <c r="F93" s="26" t="s">
        <v>31</v>
      </c>
      <c r="G93" s="6" t="s">
        <v>228</v>
      </c>
      <c r="H93" s="6" t="s">
        <v>15</v>
      </c>
      <c r="I93" s="5" t="s">
        <v>16</v>
      </c>
      <c r="J93" s="13" t="s">
        <v>330</v>
      </c>
      <c r="K93" s="20"/>
      <c r="L93" s="20"/>
    </row>
    <row r="94" spans="1:12">
      <c r="A94" s="2" t="s">
        <v>306</v>
      </c>
      <c r="B94" s="2">
        <v>3343400800</v>
      </c>
      <c r="C94" s="2">
        <v>1300</v>
      </c>
      <c r="D94" s="2" t="s">
        <v>307</v>
      </c>
      <c r="E94" s="5" t="s">
        <v>50</v>
      </c>
      <c r="F94" s="2" t="s">
        <v>24</v>
      </c>
      <c r="G94" s="5" t="s">
        <v>308</v>
      </c>
      <c r="H94" s="5" t="s">
        <v>41</v>
      </c>
      <c r="I94" s="5" t="s">
        <v>16</v>
      </c>
      <c r="J94" s="13" t="s">
        <v>299</v>
      </c>
      <c r="K94" s="20"/>
      <c r="L94" s="20"/>
    </row>
    <row r="95" spans="1:12">
      <c r="A95" s="2" t="s">
        <v>309</v>
      </c>
      <c r="B95" s="2">
        <v>3324000084</v>
      </c>
      <c r="C95" s="2">
        <v>2450</v>
      </c>
      <c r="D95" s="2" t="s">
        <v>310</v>
      </c>
      <c r="E95" s="5" t="s">
        <v>50</v>
      </c>
      <c r="F95" s="2" t="s">
        <v>31</v>
      </c>
      <c r="G95" s="5" t="s">
        <v>311</v>
      </c>
      <c r="H95" s="5" t="s">
        <v>41</v>
      </c>
      <c r="I95" s="5" t="s">
        <v>16</v>
      </c>
      <c r="J95" s="13" t="s">
        <v>299</v>
      </c>
      <c r="K95" s="20"/>
      <c r="L95" s="20"/>
    </row>
    <row r="96" spans="1:12">
      <c r="A96" s="2" t="s">
        <v>312</v>
      </c>
      <c r="B96" s="2" t="s">
        <v>313</v>
      </c>
      <c r="C96" s="2">
        <v>2200</v>
      </c>
      <c r="D96" s="2" t="s">
        <v>314</v>
      </c>
      <c r="E96" s="5" t="s">
        <v>50</v>
      </c>
      <c r="F96" s="2" t="s">
        <v>31</v>
      </c>
      <c r="G96" s="5" t="s">
        <v>315</v>
      </c>
      <c r="H96" s="5" t="s">
        <v>41</v>
      </c>
      <c r="I96" s="5" t="s">
        <v>16</v>
      </c>
      <c r="J96" s="13" t="s">
        <v>299</v>
      </c>
      <c r="K96" s="20"/>
      <c r="L96" s="20"/>
    </row>
    <row r="97" spans="1:12">
      <c r="A97" s="2" t="s">
        <v>316</v>
      </c>
      <c r="B97" s="2">
        <v>3212885297</v>
      </c>
      <c r="C97" s="2">
        <v>800</v>
      </c>
      <c r="D97" s="2" t="s">
        <v>317</v>
      </c>
      <c r="E97" s="5" t="s">
        <v>50</v>
      </c>
      <c r="F97" s="2" t="s">
        <v>24</v>
      </c>
      <c r="G97" s="5" t="s">
        <v>318</v>
      </c>
      <c r="H97" s="5" t="s">
        <v>15</v>
      </c>
      <c r="I97" s="5" t="s">
        <v>16</v>
      </c>
      <c r="J97" s="13" t="s">
        <v>299</v>
      </c>
      <c r="K97" s="20"/>
      <c r="L97" s="20"/>
    </row>
    <row r="98" spans="1:12">
      <c r="A98" s="2" t="s">
        <v>319</v>
      </c>
      <c r="B98" s="2">
        <v>3242444067</v>
      </c>
      <c r="C98" s="2">
        <v>1300</v>
      </c>
      <c r="D98" s="2" t="s">
        <v>320</v>
      </c>
      <c r="E98" s="5" t="s">
        <v>50</v>
      </c>
      <c r="F98" s="2" t="s">
        <v>45</v>
      </c>
      <c r="G98" s="5" t="s">
        <v>196</v>
      </c>
      <c r="H98" s="5" t="s">
        <v>41</v>
      </c>
      <c r="I98" s="5" t="s">
        <v>16</v>
      </c>
      <c r="J98" s="13" t="s">
        <v>299</v>
      </c>
      <c r="K98" s="20"/>
      <c r="L98" s="20"/>
    </row>
    <row r="99" spans="1:12">
      <c r="A99" s="2" t="s">
        <v>321</v>
      </c>
      <c r="B99" s="2">
        <v>3368284355</v>
      </c>
      <c r="C99" s="2">
        <v>1500</v>
      </c>
      <c r="D99" s="2" t="s">
        <v>322</v>
      </c>
      <c r="E99" s="5" t="s">
        <v>50</v>
      </c>
      <c r="F99" s="2" t="s">
        <v>45</v>
      </c>
      <c r="G99" s="5" t="s">
        <v>213</v>
      </c>
      <c r="H99" s="5" t="s">
        <v>41</v>
      </c>
      <c r="I99" s="5" t="s">
        <v>16</v>
      </c>
      <c r="J99" s="13" t="s">
        <v>323</v>
      </c>
      <c r="K99" s="20"/>
      <c r="L99" s="20"/>
    </row>
    <row r="100" spans="1:12">
      <c r="A100" s="2" t="s">
        <v>324</v>
      </c>
      <c r="B100" s="2">
        <v>3073265414</v>
      </c>
      <c r="C100" s="2">
        <v>1200</v>
      </c>
      <c r="D100" s="2" t="s">
        <v>325</v>
      </c>
      <c r="E100" s="5" t="s">
        <v>125</v>
      </c>
      <c r="F100" s="2" t="s">
        <v>45</v>
      </c>
      <c r="G100" s="5" t="s">
        <v>46</v>
      </c>
      <c r="H100" s="5" t="s">
        <v>41</v>
      </c>
      <c r="I100" s="5" t="s">
        <v>16</v>
      </c>
      <c r="J100" s="13" t="s">
        <v>323</v>
      </c>
      <c r="K100" s="20"/>
      <c r="L100" s="20"/>
    </row>
    <row r="101" spans="1:12">
      <c r="A101" s="2" t="s">
        <v>45</v>
      </c>
      <c r="B101" s="20"/>
      <c r="C101" s="2">
        <v>1000</v>
      </c>
      <c r="D101" s="2" t="s">
        <v>326</v>
      </c>
      <c r="E101" s="5" t="s">
        <v>50</v>
      </c>
      <c r="F101" s="2" t="s">
        <v>45</v>
      </c>
      <c r="G101" s="5" t="s">
        <v>327</v>
      </c>
      <c r="H101" s="5" t="s">
        <v>41</v>
      </c>
      <c r="I101" s="5" t="s">
        <v>16</v>
      </c>
      <c r="J101" s="13" t="s">
        <v>323</v>
      </c>
      <c r="K101" s="20"/>
      <c r="L101" s="20"/>
    </row>
    <row r="102" spans="1:12">
      <c r="A102" s="5" t="s">
        <v>328</v>
      </c>
      <c r="B102" s="5">
        <v>3332191203</v>
      </c>
      <c r="C102" s="5">
        <v>1000</v>
      </c>
      <c r="D102" s="5" t="s">
        <v>329</v>
      </c>
      <c r="E102" s="5" t="s">
        <v>148</v>
      </c>
      <c r="F102" s="5" t="s">
        <v>24</v>
      </c>
      <c r="G102" s="5" t="s">
        <v>25</v>
      </c>
      <c r="H102" s="5" t="s">
        <v>15</v>
      </c>
      <c r="I102" s="5" t="s">
        <v>16</v>
      </c>
      <c r="J102" s="13" t="s">
        <v>330</v>
      </c>
      <c r="K102" s="20"/>
      <c r="L102" s="20"/>
    </row>
    <row r="103" spans="1:12">
      <c r="A103" s="5" t="s">
        <v>331</v>
      </c>
      <c r="B103" s="5">
        <v>3115444842</v>
      </c>
      <c r="C103" s="5">
        <v>900</v>
      </c>
      <c r="D103" s="5" t="s">
        <v>332</v>
      </c>
      <c r="E103" s="5" t="s">
        <v>19</v>
      </c>
      <c r="F103" s="5" t="s">
        <v>24</v>
      </c>
      <c r="G103" s="5" t="s">
        <v>178</v>
      </c>
      <c r="H103" s="5" t="s">
        <v>15</v>
      </c>
      <c r="I103" s="5" t="s">
        <v>16</v>
      </c>
      <c r="J103" s="13" t="s">
        <v>330</v>
      </c>
      <c r="K103" s="20"/>
      <c r="L103" s="20"/>
    </row>
    <row r="104" spans="1:12">
      <c r="A104" s="5" t="s">
        <v>333</v>
      </c>
      <c r="B104" s="5">
        <v>3062130357</v>
      </c>
      <c r="C104" s="5">
        <v>1450</v>
      </c>
      <c r="D104" s="5" t="s">
        <v>334</v>
      </c>
      <c r="E104" s="5" t="s">
        <v>50</v>
      </c>
      <c r="F104" s="5" t="s">
        <v>24</v>
      </c>
      <c r="G104" s="5" t="s">
        <v>231</v>
      </c>
      <c r="H104" s="5" t="s">
        <v>15</v>
      </c>
      <c r="I104" s="5" t="s">
        <v>16</v>
      </c>
      <c r="J104" s="13" t="s">
        <v>330</v>
      </c>
      <c r="K104" s="20"/>
      <c r="L104" s="20"/>
    </row>
    <row r="105" spans="1:12">
      <c r="A105" s="5" t="s">
        <v>335</v>
      </c>
      <c r="B105" s="5">
        <v>3355127192</v>
      </c>
      <c r="C105" s="5">
        <v>1020</v>
      </c>
      <c r="D105" s="5" t="s">
        <v>336</v>
      </c>
      <c r="E105" s="5" t="s">
        <v>170</v>
      </c>
      <c r="F105" s="5" t="s">
        <v>24</v>
      </c>
      <c r="G105" s="5" t="s">
        <v>178</v>
      </c>
      <c r="H105" s="5" t="s">
        <v>15</v>
      </c>
      <c r="I105" s="5" t="s">
        <v>16</v>
      </c>
      <c r="J105" s="13" t="s">
        <v>330</v>
      </c>
      <c r="K105" s="20"/>
      <c r="L105" s="20"/>
    </row>
    <row r="106" spans="1:12">
      <c r="A106" s="5" t="s">
        <v>337</v>
      </c>
      <c r="B106" s="5">
        <v>3047376569</v>
      </c>
      <c r="C106" s="5">
        <v>1200</v>
      </c>
      <c r="D106" s="5" t="s">
        <v>338</v>
      </c>
      <c r="E106" s="5" t="s">
        <v>339</v>
      </c>
      <c r="F106" s="23" t="s">
        <v>24</v>
      </c>
      <c r="G106" s="23" t="s">
        <v>342</v>
      </c>
      <c r="H106" s="5" t="s">
        <v>15</v>
      </c>
      <c r="I106" s="5" t="s">
        <v>16</v>
      </c>
      <c r="J106" s="13" t="s">
        <v>330</v>
      </c>
      <c r="K106" s="20"/>
      <c r="L106" s="20"/>
    </row>
    <row r="107" spans="1:12">
      <c r="A107" s="5" t="s">
        <v>340</v>
      </c>
      <c r="B107" s="5">
        <v>3337845133</v>
      </c>
      <c r="C107" s="5">
        <v>1260</v>
      </c>
      <c r="D107" s="5" t="s">
        <v>341</v>
      </c>
      <c r="E107" s="5" t="s">
        <v>148</v>
      </c>
      <c r="F107" s="5" t="s">
        <v>45</v>
      </c>
      <c r="G107" s="5" t="s">
        <v>228</v>
      </c>
      <c r="H107" s="5" t="s">
        <v>15</v>
      </c>
      <c r="I107" s="5" t="s">
        <v>16</v>
      </c>
      <c r="J107" s="13" t="s">
        <v>330</v>
      </c>
      <c r="K107" s="20"/>
      <c r="L107" s="20"/>
    </row>
    <row r="108" spans="1:12">
      <c r="A108" s="5" t="s">
        <v>345</v>
      </c>
      <c r="B108" s="5">
        <v>3238106362</v>
      </c>
      <c r="C108" s="5">
        <v>900</v>
      </c>
      <c r="D108" s="5" t="s">
        <v>346</v>
      </c>
      <c r="E108" s="5" t="s">
        <v>347</v>
      </c>
      <c r="F108" s="5" t="s">
        <v>24</v>
      </c>
      <c r="G108" s="5" t="s">
        <v>343</v>
      </c>
      <c r="H108" s="5" t="s">
        <v>15</v>
      </c>
      <c r="I108" s="5" t="s">
        <v>16</v>
      </c>
      <c r="J108" s="13" t="s">
        <v>330</v>
      </c>
      <c r="K108" s="20"/>
      <c r="L108" s="20"/>
    </row>
    <row r="109" spans="1:12">
      <c r="A109" s="5" t="s">
        <v>344</v>
      </c>
      <c r="B109" s="5">
        <v>3315359798</v>
      </c>
      <c r="C109" s="5">
        <v>1100</v>
      </c>
      <c r="D109" s="5" t="s">
        <v>349</v>
      </c>
      <c r="E109" s="5" t="s">
        <v>23</v>
      </c>
      <c r="F109" s="5" t="s">
        <v>45</v>
      </c>
      <c r="G109" s="5" t="s">
        <v>348</v>
      </c>
      <c r="H109" s="5" t="s">
        <v>15</v>
      </c>
      <c r="I109" s="5" t="s">
        <v>16</v>
      </c>
      <c r="J109" s="13" t="s">
        <v>330</v>
      </c>
      <c r="K109" s="20"/>
      <c r="L109" s="20"/>
    </row>
    <row r="110" spans="1:12">
      <c r="A110" s="5" t="s">
        <v>350</v>
      </c>
      <c r="B110" s="2">
        <v>3052651435</v>
      </c>
      <c r="C110" s="2">
        <v>2000</v>
      </c>
      <c r="D110" s="2" t="s">
        <v>351</v>
      </c>
      <c r="E110" s="2" t="s">
        <v>50</v>
      </c>
      <c r="F110" s="2" t="s">
        <v>352</v>
      </c>
      <c r="G110" s="6" t="s">
        <v>353</v>
      </c>
      <c r="H110" s="2" t="s">
        <v>41</v>
      </c>
      <c r="I110" s="5" t="s">
        <v>16</v>
      </c>
      <c r="J110" s="13" t="s">
        <v>354</v>
      </c>
      <c r="K110" s="20"/>
      <c r="L110" s="20"/>
    </row>
    <row r="111" spans="1:12">
      <c r="A111" s="6" t="s">
        <v>355</v>
      </c>
      <c r="B111" s="5">
        <v>3341664164</v>
      </c>
      <c r="C111" s="5">
        <v>1450</v>
      </c>
      <c r="D111" s="5" t="s">
        <v>356</v>
      </c>
      <c r="E111" s="5" t="s">
        <v>50</v>
      </c>
      <c r="F111" s="5" t="s">
        <v>45</v>
      </c>
      <c r="G111" s="5" t="s">
        <v>357</v>
      </c>
      <c r="H111" s="5" t="s">
        <v>41</v>
      </c>
      <c r="I111" s="5" t="s">
        <v>16</v>
      </c>
      <c r="J111" s="13" t="s">
        <v>354</v>
      </c>
      <c r="K111" s="20"/>
      <c r="L111" s="20"/>
    </row>
    <row r="112" spans="1:12">
      <c r="A112" s="5" t="s">
        <v>358</v>
      </c>
      <c r="B112" s="5">
        <v>3335573787</v>
      </c>
      <c r="C112" s="5">
        <v>1350</v>
      </c>
      <c r="D112" s="5" t="s">
        <v>359</v>
      </c>
      <c r="E112" s="5" t="s">
        <v>12</v>
      </c>
      <c r="F112" s="5" t="s">
        <v>24</v>
      </c>
      <c r="G112" s="5" t="s">
        <v>360</v>
      </c>
      <c r="H112" s="5" t="s">
        <v>41</v>
      </c>
      <c r="I112" s="5" t="s">
        <v>16</v>
      </c>
      <c r="J112" s="13" t="s">
        <v>354</v>
      </c>
      <c r="K112" s="20"/>
      <c r="L112" s="20"/>
    </row>
    <row r="113" spans="1:12">
      <c r="A113" s="5" t="s">
        <v>361</v>
      </c>
      <c r="B113" s="5">
        <v>3008274645</v>
      </c>
      <c r="C113" s="5">
        <v>1000</v>
      </c>
      <c r="D113" s="5" t="s">
        <v>362</v>
      </c>
      <c r="E113" s="5" t="s">
        <v>50</v>
      </c>
      <c r="F113" s="5" t="s">
        <v>352</v>
      </c>
      <c r="G113" s="5" t="s">
        <v>363</v>
      </c>
      <c r="H113" s="5" t="s">
        <v>41</v>
      </c>
      <c r="I113" s="5" t="s">
        <v>16</v>
      </c>
      <c r="J113" s="13" t="s">
        <v>354</v>
      </c>
      <c r="K113" s="20"/>
      <c r="L113" s="20"/>
    </row>
    <row r="114" spans="1:12">
      <c r="A114" s="5" t="s">
        <v>364</v>
      </c>
      <c r="B114" s="5">
        <v>3333263266</v>
      </c>
      <c r="C114" s="5">
        <v>1150</v>
      </c>
      <c r="D114" s="5" t="s">
        <v>365</v>
      </c>
      <c r="E114" s="5" t="s">
        <v>50</v>
      </c>
      <c r="F114" s="5" t="s">
        <v>45</v>
      </c>
      <c r="G114" s="5" t="s">
        <v>366</v>
      </c>
      <c r="H114" s="5" t="s">
        <v>15</v>
      </c>
      <c r="I114" s="5" t="s">
        <v>16</v>
      </c>
      <c r="J114" s="13" t="s">
        <v>354</v>
      </c>
      <c r="K114" s="20"/>
      <c r="L114" s="20"/>
    </row>
    <row r="115" spans="1:12">
      <c r="A115" s="5" t="s">
        <v>367</v>
      </c>
      <c r="B115" s="5">
        <v>3148001545</v>
      </c>
      <c r="C115" s="5">
        <v>1350</v>
      </c>
      <c r="D115" s="5" t="s">
        <v>368</v>
      </c>
      <c r="E115" s="5" t="s">
        <v>50</v>
      </c>
      <c r="F115" s="5" t="s">
        <v>24</v>
      </c>
      <c r="G115" s="5" t="s">
        <v>360</v>
      </c>
      <c r="H115" s="5" t="s">
        <v>41</v>
      </c>
      <c r="I115" s="5" t="s">
        <v>16</v>
      </c>
      <c r="J115" s="13" t="s">
        <v>354</v>
      </c>
      <c r="K115" s="20"/>
      <c r="L115" s="20"/>
    </row>
    <row r="116" spans="1:12">
      <c r="A116" s="5" t="s">
        <v>369</v>
      </c>
      <c r="B116" s="5">
        <v>3003664225</v>
      </c>
      <c r="C116" s="5">
        <v>1400</v>
      </c>
      <c r="D116" s="5" t="s">
        <v>370</v>
      </c>
      <c r="E116" s="5" t="s">
        <v>50</v>
      </c>
      <c r="F116" s="5" t="s">
        <v>45</v>
      </c>
      <c r="G116" s="5" t="s">
        <v>46</v>
      </c>
      <c r="H116" s="5" t="s">
        <v>41</v>
      </c>
      <c r="I116" s="5" t="s">
        <v>16</v>
      </c>
      <c r="J116" s="13" t="s">
        <v>371</v>
      </c>
      <c r="K116" s="20"/>
      <c r="L116" s="20"/>
    </row>
    <row r="117" spans="1:12">
      <c r="A117" s="5" t="s">
        <v>374</v>
      </c>
      <c r="B117" s="5">
        <v>3222788979</v>
      </c>
      <c r="C117" s="5">
        <v>1400</v>
      </c>
      <c r="D117" s="5" t="s">
        <v>373</v>
      </c>
      <c r="E117" s="5" t="s">
        <v>50</v>
      </c>
      <c r="F117" s="5" t="s">
        <v>13</v>
      </c>
      <c r="G117" s="5" t="s">
        <v>372</v>
      </c>
      <c r="H117" s="5" t="s">
        <v>41</v>
      </c>
      <c r="I117" s="5" t="s">
        <v>16</v>
      </c>
      <c r="J117" s="13" t="s">
        <v>371</v>
      </c>
      <c r="K117" s="20"/>
      <c r="L117" s="20"/>
    </row>
    <row r="118" spans="1:12">
      <c r="A118" s="2" t="s">
        <v>375</v>
      </c>
      <c r="B118" s="2">
        <v>3458645481</v>
      </c>
      <c r="C118" s="5">
        <v>2250</v>
      </c>
      <c r="D118" s="2" t="s">
        <v>376</v>
      </c>
      <c r="E118" s="5" t="s">
        <v>377</v>
      </c>
      <c r="F118" s="5" t="s">
        <v>378</v>
      </c>
      <c r="G118" s="5" t="s">
        <v>224</v>
      </c>
      <c r="H118" s="5" t="s">
        <v>15</v>
      </c>
      <c r="I118" s="5" t="s">
        <v>16</v>
      </c>
      <c r="J118" s="13" t="s">
        <v>371</v>
      </c>
      <c r="K118" s="20"/>
      <c r="L118" s="20"/>
    </row>
    <row r="119" spans="1:12">
      <c r="A119" s="2" t="s">
        <v>379</v>
      </c>
      <c r="B119" s="2">
        <v>3334556734</v>
      </c>
      <c r="C119" s="5">
        <v>1450</v>
      </c>
      <c r="D119" s="2" t="s">
        <v>380</v>
      </c>
      <c r="E119" s="5" t="s">
        <v>23</v>
      </c>
      <c r="F119" s="5" t="s">
        <v>45</v>
      </c>
      <c r="G119" s="5" t="s">
        <v>46</v>
      </c>
      <c r="H119" s="5" t="s">
        <v>41</v>
      </c>
      <c r="I119" s="5" t="s">
        <v>16</v>
      </c>
      <c r="J119" s="13" t="s">
        <v>371</v>
      </c>
      <c r="K119" s="20"/>
      <c r="L119" s="20"/>
    </row>
    <row r="120" spans="1:12">
      <c r="A120" s="2" t="s">
        <v>381</v>
      </c>
      <c r="B120" s="2">
        <v>3346854512</v>
      </c>
      <c r="C120" s="5">
        <v>1220</v>
      </c>
      <c r="D120" s="2" t="s">
        <v>382</v>
      </c>
      <c r="E120" s="5" t="s">
        <v>272</v>
      </c>
      <c r="F120" s="5" t="s">
        <v>13</v>
      </c>
      <c r="G120" s="5" t="s">
        <v>94</v>
      </c>
      <c r="H120" s="5" t="s">
        <v>15</v>
      </c>
      <c r="I120" s="5" t="s">
        <v>16</v>
      </c>
      <c r="J120" s="13" t="s">
        <v>371</v>
      </c>
      <c r="K120" s="20"/>
      <c r="L120" s="20"/>
    </row>
    <row r="121" spans="1:12">
      <c r="A121" s="2" t="s">
        <v>383</v>
      </c>
      <c r="B121" s="2">
        <v>3332949188</v>
      </c>
      <c r="C121" s="5">
        <v>1020</v>
      </c>
      <c r="D121" s="2" t="s">
        <v>384</v>
      </c>
      <c r="E121" s="5" t="s">
        <v>385</v>
      </c>
      <c r="F121" s="5" t="s">
        <v>24</v>
      </c>
      <c r="G121" s="5" t="s">
        <v>388</v>
      </c>
      <c r="H121" s="5" t="s">
        <v>15</v>
      </c>
      <c r="I121" s="5" t="s">
        <v>16</v>
      </c>
      <c r="J121" s="13" t="s">
        <v>371</v>
      </c>
      <c r="K121" s="20"/>
      <c r="L121" s="20"/>
    </row>
    <row r="122" spans="1:12">
      <c r="A122" s="2" t="s">
        <v>386</v>
      </c>
      <c r="B122" s="2">
        <v>3008037786</v>
      </c>
      <c r="C122" s="5">
        <v>1120</v>
      </c>
      <c r="D122" s="2" t="s">
        <v>387</v>
      </c>
      <c r="E122" s="5" t="s">
        <v>23</v>
      </c>
      <c r="F122" s="5" t="s">
        <v>13</v>
      </c>
      <c r="G122" s="5" t="s">
        <v>372</v>
      </c>
      <c r="H122" s="5" t="s">
        <v>15</v>
      </c>
      <c r="I122" s="5" t="s">
        <v>16</v>
      </c>
      <c r="J122" s="13" t="s">
        <v>371</v>
      </c>
      <c r="K122" s="20"/>
      <c r="L122" s="20"/>
    </row>
    <row r="123" spans="1:12">
      <c r="A123" s="2" t="s">
        <v>389</v>
      </c>
      <c r="B123" s="2">
        <v>3434940982</v>
      </c>
      <c r="C123" s="5">
        <v>600</v>
      </c>
      <c r="D123" s="2" t="s">
        <v>390</v>
      </c>
      <c r="E123" s="5" t="s">
        <v>23</v>
      </c>
      <c r="F123" s="5" t="s">
        <v>24</v>
      </c>
      <c r="G123" s="5" t="s">
        <v>90</v>
      </c>
      <c r="H123" s="5" t="s">
        <v>15</v>
      </c>
      <c r="I123" s="5" t="s">
        <v>16</v>
      </c>
      <c r="J123" s="12">
        <v>42046</v>
      </c>
      <c r="K123" s="20"/>
      <c r="L123" s="20"/>
    </row>
    <row r="124" spans="1:12">
      <c r="A124" s="2" t="s">
        <v>251</v>
      </c>
      <c r="B124" s="2">
        <v>3465317632</v>
      </c>
      <c r="C124" s="5">
        <v>1300</v>
      </c>
      <c r="D124" s="2" t="s">
        <v>391</v>
      </c>
      <c r="E124" s="5" t="s">
        <v>19</v>
      </c>
      <c r="F124" s="5" t="s">
        <v>45</v>
      </c>
      <c r="G124" s="5" t="s">
        <v>392</v>
      </c>
      <c r="H124" s="5" t="s">
        <v>41</v>
      </c>
      <c r="I124" s="5" t="s">
        <v>16</v>
      </c>
      <c r="J124" s="12">
        <v>42046</v>
      </c>
      <c r="K124" s="20"/>
      <c r="L124" s="20"/>
    </row>
    <row r="125" spans="1:12">
      <c r="A125" s="2" t="s">
        <v>393</v>
      </c>
      <c r="B125" s="2">
        <v>3321461107</v>
      </c>
      <c r="C125" s="5">
        <v>1400</v>
      </c>
      <c r="D125" s="2" t="s">
        <v>394</v>
      </c>
      <c r="E125" s="5" t="s">
        <v>23</v>
      </c>
      <c r="F125" s="5" t="s">
        <v>45</v>
      </c>
      <c r="G125" s="5" t="s">
        <v>395</v>
      </c>
      <c r="H125" s="5" t="s">
        <v>41</v>
      </c>
      <c r="I125" s="5" t="s">
        <v>16</v>
      </c>
      <c r="J125" s="12">
        <v>42046</v>
      </c>
      <c r="K125" s="20"/>
      <c r="L125" s="20"/>
    </row>
    <row r="126" spans="1:12">
      <c r="A126" s="2" t="s">
        <v>396</v>
      </c>
      <c r="B126" s="2">
        <v>3429150025</v>
      </c>
      <c r="C126" s="5">
        <v>700</v>
      </c>
      <c r="D126" s="2" t="s">
        <v>397</v>
      </c>
      <c r="E126" s="5" t="s">
        <v>35</v>
      </c>
      <c r="F126" s="5" t="s">
        <v>45</v>
      </c>
      <c r="G126" s="5" t="s">
        <v>398</v>
      </c>
      <c r="H126" s="5" t="s">
        <v>41</v>
      </c>
      <c r="I126" s="5" t="s">
        <v>16</v>
      </c>
      <c r="J126" s="12">
        <v>42046</v>
      </c>
      <c r="K126" s="20"/>
      <c r="L126" s="20"/>
    </row>
    <row r="127" spans="1:12">
      <c r="A127" s="2" t="s">
        <v>399</v>
      </c>
      <c r="B127" s="2">
        <v>3008359466</v>
      </c>
      <c r="C127" s="5">
        <v>1500</v>
      </c>
      <c r="D127" s="2" t="s">
        <v>400</v>
      </c>
      <c r="E127" s="5" t="s">
        <v>401</v>
      </c>
      <c r="F127" s="5" t="s">
        <v>45</v>
      </c>
      <c r="G127" s="5" t="s">
        <v>402</v>
      </c>
      <c r="H127" s="5" t="s">
        <v>41</v>
      </c>
      <c r="I127" s="5" t="s">
        <v>16</v>
      </c>
      <c r="J127" s="12">
        <v>42046</v>
      </c>
      <c r="K127" s="20"/>
      <c r="L127" s="20"/>
    </row>
    <row r="128" spans="1:12">
      <c r="A128" s="2" t="s">
        <v>403</v>
      </c>
      <c r="B128" s="2">
        <v>3405195710</v>
      </c>
      <c r="C128" s="5">
        <v>850</v>
      </c>
      <c r="D128" s="2" t="s">
        <v>404</v>
      </c>
      <c r="E128" s="5" t="s">
        <v>12</v>
      </c>
      <c r="F128" s="5" t="s">
        <v>45</v>
      </c>
      <c r="G128" s="5" t="s">
        <v>405</v>
      </c>
      <c r="H128" s="5" t="s">
        <v>15</v>
      </c>
      <c r="I128" s="5" t="s">
        <v>16</v>
      </c>
      <c r="J128" s="12">
        <v>42046</v>
      </c>
      <c r="K128" s="20"/>
      <c r="L128" s="20"/>
    </row>
    <row r="129" spans="1:12">
      <c r="A129" s="30" t="s">
        <v>406</v>
      </c>
      <c r="B129" s="30">
        <v>3352740403</v>
      </c>
      <c r="C129" s="31">
        <v>1450</v>
      </c>
      <c r="D129" s="30" t="s">
        <v>408</v>
      </c>
      <c r="E129" s="31" t="s">
        <v>50</v>
      </c>
      <c r="F129" s="31" t="s">
        <v>24</v>
      </c>
      <c r="G129" s="31" t="s">
        <v>231</v>
      </c>
      <c r="H129" s="31" t="s">
        <v>15</v>
      </c>
      <c r="I129" s="31" t="s">
        <v>122</v>
      </c>
      <c r="J129" s="36">
        <v>42046</v>
      </c>
      <c r="K129" s="53"/>
      <c r="L129" s="53"/>
    </row>
    <row r="130" spans="1:12">
      <c r="A130" s="2" t="s">
        <v>407</v>
      </c>
      <c r="B130" s="2">
        <v>3342275717</v>
      </c>
      <c r="C130" s="5">
        <v>1150</v>
      </c>
      <c r="D130" s="2" t="s">
        <v>409</v>
      </c>
      <c r="E130" s="5" t="s">
        <v>50</v>
      </c>
      <c r="F130" s="5" t="s">
        <v>45</v>
      </c>
      <c r="G130" s="5" t="s">
        <v>46</v>
      </c>
      <c r="H130" s="5" t="s">
        <v>15</v>
      </c>
      <c r="I130" s="5" t="s">
        <v>16</v>
      </c>
      <c r="J130" s="12">
        <v>42046</v>
      </c>
      <c r="K130" s="20"/>
      <c r="L130" s="20"/>
    </row>
    <row r="131" spans="1:12">
      <c r="A131" s="2" t="s">
        <v>410</v>
      </c>
      <c r="B131" s="2"/>
      <c r="C131" s="5">
        <v>2000</v>
      </c>
      <c r="D131" s="2" t="s">
        <v>411</v>
      </c>
      <c r="E131" s="5" t="s">
        <v>23</v>
      </c>
      <c r="F131" s="5" t="s">
        <v>24</v>
      </c>
      <c r="G131" s="5" t="s">
        <v>412</v>
      </c>
      <c r="H131" s="5" t="s">
        <v>413</v>
      </c>
      <c r="I131" s="5" t="s">
        <v>16</v>
      </c>
      <c r="J131" s="12">
        <v>42046</v>
      </c>
      <c r="K131" s="20"/>
      <c r="L131" s="20"/>
    </row>
    <row r="132" spans="1:12">
      <c r="A132" s="2" t="s">
        <v>414</v>
      </c>
      <c r="B132" s="2">
        <v>3452260945</v>
      </c>
      <c r="C132" s="5">
        <v>2150</v>
      </c>
      <c r="D132" s="2" t="s">
        <v>415</v>
      </c>
      <c r="E132" s="5" t="s">
        <v>50</v>
      </c>
      <c r="F132" s="5" t="s">
        <v>24</v>
      </c>
      <c r="G132" s="5" t="s">
        <v>416</v>
      </c>
      <c r="H132" s="5" t="s">
        <v>41</v>
      </c>
      <c r="I132" s="5" t="s">
        <v>16</v>
      </c>
      <c r="J132" s="12">
        <v>42074</v>
      </c>
      <c r="K132" s="20"/>
      <c r="L132" s="20"/>
    </row>
    <row r="133" spans="1:12">
      <c r="A133" s="2" t="s">
        <v>417</v>
      </c>
      <c r="B133" s="2">
        <v>3109980080</v>
      </c>
      <c r="C133" s="5">
        <v>1050</v>
      </c>
      <c r="D133" s="2" t="s">
        <v>418</v>
      </c>
      <c r="E133" s="5" t="s">
        <v>419</v>
      </c>
      <c r="F133" s="5" t="s">
        <v>24</v>
      </c>
      <c r="G133" s="5" t="s">
        <v>420</v>
      </c>
      <c r="H133" s="5" t="s">
        <v>15</v>
      </c>
      <c r="I133" s="5" t="s">
        <v>16</v>
      </c>
      <c r="J133" s="12">
        <v>42074</v>
      </c>
      <c r="K133" s="20"/>
      <c r="L133" s="20"/>
    </row>
    <row r="134" spans="1:12">
      <c r="A134" s="2" t="s">
        <v>421</v>
      </c>
      <c r="B134" s="2">
        <v>3064208400</v>
      </c>
      <c r="C134" s="5">
        <v>1050</v>
      </c>
      <c r="D134" s="2" t="s">
        <v>422</v>
      </c>
      <c r="E134" s="5" t="s">
        <v>23</v>
      </c>
      <c r="F134" s="5" t="s">
        <v>24</v>
      </c>
      <c r="G134" s="5" t="s">
        <v>260</v>
      </c>
      <c r="H134" s="5" t="s">
        <v>15</v>
      </c>
      <c r="I134" s="5" t="s">
        <v>16</v>
      </c>
      <c r="J134" s="12">
        <v>42074</v>
      </c>
      <c r="K134" s="20"/>
      <c r="L134" s="20"/>
    </row>
    <row r="135" spans="1:12">
      <c r="A135" s="30" t="s">
        <v>423</v>
      </c>
      <c r="B135" s="30">
        <v>3083730969</v>
      </c>
      <c r="C135" s="31">
        <v>1050</v>
      </c>
      <c r="D135" s="30" t="s">
        <v>424</v>
      </c>
      <c r="E135" s="31" t="s">
        <v>120</v>
      </c>
      <c r="F135" s="31" t="s">
        <v>24</v>
      </c>
      <c r="G135" s="31" t="s">
        <v>420</v>
      </c>
      <c r="H135" s="31" t="s">
        <v>15</v>
      </c>
      <c r="I135" s="31" t="s">
        <v>122</v>
      </c>
      <c r="J135" s="36">
        <v>42074</v>
      </c>
      <c r="K135" s="53"/>
      <c r="L135" s="53"/>
    </row>
    <row r="136" spans="1:12">
      <c r="A136" s="2" t="s">
        <v>426</v>
      </c>
      <c r="B136" s="2">
        <v>3487699561</v>
      </c>
      <c r="C136" s="5">
        <v>1550</v>
      </c>
      <c r="D136" s="2" t="s">
        <v>425</v>
      </c>
      <c r="E136" s="5" t="s">
        <v>129</v>
      </c>
      <c r="F136" s="5" t="s">
        <v>24</v>
      </c>
      <c r="G136" s="5" t="s">
        <v>145</v>
      </c>
      <c r="H136" s="5" t="s">
        <v>15</v>
      </c>
      <c r="I136" s="5" t="s">
        <v>16</v>
      </c>
      <c r="J136" s="12">
        <v>42105</v>
      </c>
      <c r="K136" s="20"/>
      <c r="L136" s="20"/>
    </row>
    <row r="137" spans="1:12">
      <c r="A137" s="2" t="s">
        <v>427</v>
      </c>
      <c r="B137" s="2">
        <v>3013345679</v>
      </c>
      <c r="C137" s="5">
        <v>1380</v>
      </c>
      <c r="D137" s="2" t="s">
        <v>428</v>
      </c>
      <c r="E137" s="5" t="s">
        <v>50</v>
      </c>
      <c r="F137" s="5" t="s">
        <v>45</v>
      </c>
      <c r="G137" s="5" t="s">
        <v>429</v>
      </c>
      <c r="H137" s="5" t="s">
        <v>15</v>
      </c>
      <c r="I137" s="5" t="s">
        <v>16</v>
      </c>
      <c r="J137" s="12">
        <v>42135</v>
      </c>
      <c r="K137" s="20"/>
      <c r="L137" s="20"/>
    </row>
    <row r="138" spans="1:12">
      <c r="A138" s="2" t="s">
        <v>430</v>
      </c>
      <c r="B138" s="2">
        <v>3343501747</v>
      </c>
      <c r="C138" s="5">
        <v>1070</v>
      </c>
      <c r="D138" s="2" t="s">
        <v>431</v>
      </c>
      <c r="E138" s="5" t="s">
        <v>50</v>
      </c>
      <c r="F138" s="5" t="s">
        <v>45</v>
      </c>
      <c r="G138" s="5" t="s">
        <v>432</v>
      </c>
      <c r="H138" s="5" t="s">
        <v>15</v>
      </c>
      <c r="I138" s="5" t="s">
        <v>16</v>
      </c>
      <c r="J138" s="12">
        <v>42135</v>
      </c>
      <c r="K138" s="20"/>
      <c r="L138" s="20"/>
    </row>
    <row r="139" spans="1:12">
      <c r="A139" s="2" t="s">
        <v>1370</v>
      </c>
      <c r="B139" s="2">
        <v>3452820133</v>
      </c>
      <c r="C139" s="5">
        <v>1100</v>
      </c>
      <c r="D139" s="2" t="s">
        <v>433</v>
      </c>
      <c r="E139" s="5" t="s">
        <v>50</v>
      </c>
      <c r="F139" s="5" t="s">
        <v>24</v>
      </c>
      <c r="G139" s="5" t="s">
        <v>100</v>
      </c>
      <c r="H139" s="5" t="s">
        <v>15</v>
      </c>
      <c r="I139" s="5" t="s">
        <v>16</v>
      </c>
      <c r="J139" s="12">
        <v>42135</v>
      </c>
      <c r="K139" s="20"/>
      <c r="L139" s="20"/>
    </row>
    <row r="140" spans="1:12">
      <c r="A140" s="2" t="s">
        <v>434</v>
      </c>
      <c r="B140" s="2">
        <v>3024784064</v>
      </c>
      <c r="C140" s="5">
        <v>1220</v>
      </c>
      <c r="D140" s="2" t="s">
        <v>435</v>
      </c>
      <c r="E140" s="5" t="s">
        <v>23</v>
      </c>
      <c r="F140" s="5" t="s">
        <v>13</v>
      </c>
      <c r="G140" s="5" t="s">
        <v>94</v>
      </c>
      <c r="H140" s="5" t="s">
        <v>15</v>
      </c>
      <c r="I140" s="5" t="s">
        <v>16</v>
      </c>
      <c r="J140" s="12">
        <v>42135</v>
      </c>
      <c r="K140" s="20"/>
      <c r="L140" s="20"/>
    </row>
    <row r="141" spans="1:12">
      <c r="A141" s="2" t="s">
        <v>436</v>
      </c>
      <c r="B141" s="2">
        <v>3004710338</v>
      </c>
      <c r="C141" s="5">
        <v>1170</v>
      </c>
      <c r="D141" s="2" t="s">
        <v>437</v>
      </c>
      <c r="E141" s="5" t="s">
        <v>23</v>
      </c>
      <c r="F141" s="5" t="s">
        <v>31</v>
      </c>
      <c r="G141" s="5" t="s">
        <v>46</v>
      </c>
      <c r="H141" s="5" t="s">
        <v>15</v>
      </c>
      <c r="I141" s="5" t="s">
        <v>16</v>
      </c>
      <c r="J141" s="12">
        <v>42135</v>
      </c>
      <c r="K141" s="20"/>
      <c r="L141" s="20"/>
    </row>
    <row r="142" spans="1:12">
      <c r="A142" s="30" t="s">
        <v>438</v>
      </c>
      <c r="B142" s="30">
        <v>3007517443</v>
      </c>
      <c r="C142" s="30">
        <v>1460</v>
      </c>
      <c r="D142" s="30" t="s">
        <v>439</v>
      </c>
      <c r="E142" s="31" t="s">
        <v>23</v>
      </c>
      <c r="F142" s="31" t="s">
        <v>24</v>
      </c>
      <c r="G142" s="31" t="s">
        <v>231</v>
      </c>
      <c r="H142" s="31" t="s">
        <v>15</v>
      </c>
      <c r="I142" s="31" t="s">
        <v>122</v>
      </c>
      <c r="J142" s="36">
        <v>42135</v>
      </c>
      <c r="K142" s="53"/>
      <c r="L142" s="53"/>
    </row>
    <row r="143" spans="1:12">
      <c r="A143" s="2" t="s">
        <v>440</v>
      </c>
      <c r="B143" s="2" t="s">
        <v>104</v>
      </c>
      <c r="C143" s="5">
        <v>1000</v>
      </c>
      <c r="D143" s="2" t="s">
        <v>441</v>
      </c>
      <c r="E143" s="5" t="s">
        <v>148</v>
      </c>
      <c r="F143" s="5" t="s">
        <v>24</v>
      </c>
      <c r="G143" s="5" t="s">
        <v>442</v>
      </c>
      <c r="H143" s="5" t="s">
        <v>15</v>
      </c>
      <c r="I143" s="5" t="s">
        <v>16</v>
      </c>
      <c r="J143" s="13">
        <v>42196</v>
      </c>
      <c r="K143" s="20"/>
      <c r="L143" s="20"/>
    </row>
    <row r="144" spans="1:12">
      <c r="A144" s="2" t="s">
        <v>443</v>
      </c>
      <c r="B144" s="2" t="s">
        <v>445</v>
      </c>
      <c r="C144" s="5">
        <v>1250</v>
      </c>
      <c r="D144" s="2" t="s">
        <v>444</v>
      </c>
      <c r="E144" s="5" t="s">
        <v>19</v>
      </c>
      <c r="F144" s="5" t="s">
        <v>24</v>
      </c>
      <c r="G144" s="5" t="s">
        <v>446</v>
      </c>
      <c r="H144" s="5" t="s">
        <v>15</v>
      </c>
      <c r="I144" s="5" t="s">
        <v>16</v>
      </c>
      <c r="J144" s="13">
        <v>42196</v>
      </c>
      <c r="K144" s="20"/>
      <c r="L144" s="20"/>
    </row>
    <row r="145" spans="1:12">
      <c r="A145" s="2" t="s">
        <v>447</v>
      </c>
      <c r="B145" s="2">
        <v>3016620720</v>
      </c>
      <c r="C145" s="5">
        <v>800</v>
      </c>
      <c r="D145" s="2" t="s">
        <v>448</v>
      </c>
      <c r="E145" s="5" t="s">
        <v>19</v>
      </c>
      <c r="F145" s="5" t="s">
        <v>24</v>
      </c>
      <c r="G145" s="5" t="s">
        <v>318</v>
      </c>
      <c r="H145" s="5" t="s">
        <v>15</v>
      </c>
      <c r="I145" s="5" t="s">
        <v>16</v>
      </c>
      <c r="J145" s="13">
        <v>42196</v>
      </c>
      <c r="K145" s="20"/>
      <c r="L145" s="20"/>
    </row>
    <row r="146" spans="1:12">
      <c r="A146" s="2" t="s">
        <v>449</v>
      </c>
      <c r="B146" s="2">
        <v>3435000168</v>
      </c>
      <c r="C146" s="5">
        <v>1000</v>
      </c>
      <c r="D146" s="2" t="s">
        <v>450</v>
      </c>
      <c r="E146" s="5" t="s">
        <v>23</v>
      </c>
      <c r="F146" s="5" t="s">
        <v>24</v>
      </c>
      <c r="G146" s="5" t="s">
        <v>420</v>
      </c>
      <c r="H146" s="5" t="s">
        <v>15</v>
      </c>
      <c r="I146" s="5" t="s">
        <v>16</v>
      </c>
      <c r="J146" s="13">
        <v>42196</v>
      </c>
      <c r="K146" s="20"/>
      <c r="L146" s="20"/>
    </row>
    <row r="147" spans="1:12">
      <c r="A147" s="2" t="s">
        <v>451</v>
      </c>
      <c r="B147" s="2">
        <v>3334707299</v>
      </c>
      <c r="C147" s="5">
        <v>1140</v>
      </c>
      <c r="D147" s="2" t="s">
        <v>452</v>
      </c>
      <c r="E147" s="5" t="s">
        <v>453</v>
      </c>
      <c r="F147" s="5" t="s">
        <v>31</v>
      </c>
      <c r="G147" s="5" t="s">
        <v>454</v>
      </c>
      <c r="H147" s="5" t="s">
        <v>15</v>
      </c>
      <c r="I147" s="5" t="s">
        <v>16</v>
      </c>
      <c r="J147" s="13">
        <v>42196</v>
      </c>
      <c r="K147" s="20"/>
      <c r="L147" s="20"/>
    </row>
    <row r="148" spans="1:12">
      <c r="A148" s="2" t="s">
        <v>456</v>
      </c>
      <c r="B148" s="2" t="s">
        <v>456</v>
      </c>
      <c r="C148" s="2">
        <v>1300</v>
      </c>
      <c r="D148" s="2" t="s">
        <v>456</v>
      </c>
      <c r="E148" s="5" t="s">
        <v>50</v>
      </c>
      <c r="F148" s="5" t="s">
        <v>31</v>
      </c>
      <c r="G148" s="5" t="s">
        <v>455</v>
      </c>
      <c r="H148" s="5" t="s">
        <v>41</v>
      </c>
      <c r="I148" s="5" t="s">
        <v>16</v>
      </c>
      <c r="J148" s="12">
        <v>42196</v>
      </c>
      <c r="K148" s="20"/>
      <c r="L148" s="20"/>
    </row>
    <row r="149" spans="1:12">
      <c r="A149" s="2" t="s">
        <v>499</v>
      </c>
      <c r="B149" s="2">
        <v>3464161233</v>
      </c>
      <c r="C149" s="5">
        <v>1000</v>
      </c>
      <c r="D149" s="2" t="s">
        <v>500</v>
      </c>
      <c r="E149" s="5" t="s">
        <v>23</v>
      </c>
      <c r="F149" s="5" t="s">
        <v>24</v>
      </c>
      <c r="G149" s="5" t="s">
        <v>420</v>
      </c>
      <c r="H149" s="5" t="s">
        <v>15</v>
      </c>
      <c r="I149" s="5" t="s">
        <v>16</v>
      </c>
      <c r="J149" s="12">
        <v>42258</v>
      </c>
      <c r="K149" s="20"/>
      <c r="L149" s="20"/>
    </row>
    <row r="150" spans="1:12">
      <c r="A150" s="2" t="s">
        <v>457</v>
      </c>
      <c r="B150" s="2">
        <v>3223345939</v>
      </c>
      <c r="C150" s="5">
        <v>1230</v>
      </c>
      <c r="D150" s="2" t="s">
        <v>458</v>
      </c>
      <c r="E150" s="5" t="s">
        <v>50</v>
      </c>
      <c r="F150" s="5" t="s">
        <v>24</v>
      </c>
      <c r="G150" s="5" t="s">
        <v>446</v>
      </c>
      <c r="H150" s="5" t="s">
        <v>15</v>
      </c>
      <c r="I150" s="5" t="s">
        <v>16</v>
      </c>
      <c r="J150" s="12">
        <v>42258</v>
      </c>
      <c r="K150" s="20"/>
      <c r="L150" s="20"/>
    </row>
    <row r="151" spans="1:12">
      <c r="A151" s="2" t="s">
        <v>460</v>
      </c>
      <c r="B151" s="2">
        <v>3327925644</v>
      </c>
      <c r="C151" s="5">
        <v>1150</v>
      </c>
      <c r="D151" s="2" t="s">
        <v>459</v>
      </c>
      <c r="E151" s="5" t="s">
        <v>50</v>
      </c>
      <c r="F151" s="5" t="s">
        <v>31</v>
      </c>
      <c r="G151" s="5" t="s">
        <v>46</v>
      </c>
      <c r="H151" s="5" t="s">
        <v>15</v>
      </c>
      <c r="I151" s="5" t="s">
        <v>16</v>
      </c>
      <c r="J151" s="12">
        <v>42258</v>
      </c>
      <c r="K151" s="20"/>
      <c r="L151" s="20"/>
    </row>
    <row r="152" spans="1:12">
      <c r="A152" s="2" t="s">
        <v>461</v>
      </c>
      <c r="B152" s="2">
        <v>3453053894</v>
      </c>
      <c r="C152" s="5">
        <v>1120</v>
      </c>
      <c r="D152" s="2" t="s">
        <v>462</v>
      </c>
      <c r="E152" s="5" t="s">
        <v>50</v>
      </c>
      <c r="F152" s="5" t="s">
        <v>31</v>
      </c>
      <c r="G152" s="5" t="s">
        <v>46</v>
      </c>
      <c r="H152" s="5" t="s">
        <v>15</v>
      </c>
      <c r="I152" s="5" t="s">
        <v>16</v>
      </c>
      <c r="J152" s="12">
        <v>42258</v>
      </c>
      <c r="K152" s="20"/>
      <c r="L152" s="20"/>
    </row>
    <row r="153" spans="1:12">
      <c r="A153" s="20" t="s">
        <v>463</v>
      </c>
      <c r="B153" s="20" t="s">
        <v>463</v>
      </c>
      <c r="C153" s="20">
        <v>1500</v>
      </c>
      <c r="D153" s="20" t="s">
        <v>464</v>
      </c>
      <c r="E153" s="5" t="s">
        <v>50</v>
      </c>
      <c r="F153" s="5" t="s">
        <v>31</v>
      </c>
      <c r="G153" s="5" t="s">
        <v>213</v>
      </c>
      <c r="H153" s="5" t="s">
        <v>41</v>
      </c>
      <c r="I153" s="5" t="s">
        <v>16</v>
      </c>
      <c r="J153" s="12">
        <v>42258</v>
      </c>
      <c r="K153" s="20"/>
      <c r="L153" s="20"/>
    </row>
    <row r="154" spans="1:12">
      <c r="A154" s="2" t="s">
        <v>465</v>
      </c>
      <c r="B154" s="2">
        <v>3332831141</v>
      </c>
      <c r="C154" s="2">
        <v>950</v>
      </c>
      <c r="D154" s="2" t="s">
        <v>466</v>
      </c>
      <c r="E154" s="5" t="s">
        <v>50</v>
      </c>
      <c r="F154" s="5" t="s">
        <v>24</v>
      </c>
      <c r="G154" s="5" t="s">
        <v>420</v>
      </c>
      <c r="H154" s="5" t="s">
        <v>15</v>
      </c>
      <c r="I154" s="5" t="s">
        <v>16</v>
      </c>
      <c r="J154" s="12">
        <v>42258</v>
      </c>
      <c r="K154" s="20"/>
      <c r="L154" s="20"/>
    </row>
    <row r="155" spans="1:12">
      <c r="A155" s="30" t="s">
        <v>467</v>
      </c>
      <c r="B155" s="30">
        <v>3456463762</v>
      </c>
      <c r="C155" s="30">
        <v>1850</v>
      </c>
      <c r="D155" s="30" t="s">
        <v>468</v>
      </c>
      <c r="E155" s="31" t="s">
        <v>30</v>
      </c>
      <c r="F155" s="31" t="s">
        <v>45</v>
      </c>
      <c r="G155" s="31" t="s">
        <v>469</v>
      </c>
      <c r="H155" s="31" t="s">
        <v>41</v>
      </c>
      <c r="I155" s="31" t="s">
        <v>122</v>
      </c>
      <c r="J155" s="36">
        <v>42258</v>
      </c>
      <c r="K155" s="53"/>
      <c r="L155" s="53"/>
    </row>
    <row r="156" spans="1:12">
      <c r="A156" s="2" t="s">
        <v>470</v>
      </c>
      <c r="B156" s="2">
        <v>3357731777</v>
      </c>
      <c r="C156" s="2">
        <v>1100</v>
      </c>
      <c r="D156" s="2" t="s">
        <v>471</v>
      </c>
      <c r="E156" s="5" t="s">
        <v>19</v>
      </c>
      <c r="F156" s="5" t="s">
        <v>45</v>
      </c>
      <c r="G156" s="5" t="s">
        <v>454</v>
      </c>
      <c r="H156" s="5" t="s">
        <v>15</v>
      </c>
      <c r="I156" s="5" t="s">
        <v>16</v>
      </c>
      <c r="J156" s="12">
        <v>42258</v>
      </c>
      <c r="K156" s="20"/>
      <c r="L156" s="20"/>
    </row>
    <row r="157" spans="1:12">
      <c r="A157" s="30" t="s">
        <v>472</v>
      </c>
      <c r="B157" s="30">
        <v>3017461453</v>
      </c>
      <c r="C157" s="30">
        <v>1140</v>
      </c>
      <c r="D157" s="30" t="s">
        <v>473</v>
      </c>
      <c r="E157" s="31" t="s">
        <v>474</v>
      </c>
      <c r="F157" s="31" t="s">
        <v>31</v>
      </c>
      <c r="G157" s="31" t="s">
        <v>454</v>
      </c>
      <c r="H157" s="31" t="s">
        <v>15</v>
      </c>
      <c r="I157" s="31" t="s">
        <v>122</v>
      </c>
      <c r="J157" s="36">
        <v>42258</v>
      </c>
      <c r="K157" s="53"/>
      <c r="L157" s="53"/>
    </row>
    <row r="158" spans="1:12">
      <c r="A158" s="2" t="s">
        <v>475</v>
      </c>
      <c r="B158" s="2">
        <v>3126969609</v>
      </c>
      <c r="C158" s="2">
        <v>1000</v>
      </c>
      <c r="D158" s="2" t="s">
        <v>476</v>
      </c>
      <c r="E158" s="5" t="s">
        <v>12</v>
      </c>
      <c r="F158" s="5" t="s">
        <v>24</v>
      </c>
      <c r="G158" s="5" t="s">
        <v>420</v>
      </c>
      <c r="H158" s="5" t="s">
        <v>15</v>
      </c>
      <c r="I158" s="5" t="s">
        <v>16</v>
      </c>
      <c r="J158" s="12">
        <v>42258</v>
      </c>
      <c r="K158" s="20"/>
      <c r="L158" s="20"/>
    </row>
    <row r="159" spans="1:12">
      <c r="A159" s="2" t="s">
        <v>477</v>
      </c>
      <c r="B159" s="2">
        <v>3449385746</v>
      </c>
      <c r="C159" s="2">
        <v>1300</v>
      </c>
      <c r="D159" s="2" t="s">
        <v>478</v>
      </c>
      <c r="E159" s="5" t="s">
        <v>170</v>
      </c>
      <c r="F159" s="5" t="s">
        <v>31</v>
      </c>
      <c r="G159" s="5" t="s">
        <v>455</v>
      </c>
      <c r="H159" s="5" t="s">
        <v>15</v>
      </c>
      <c r="I159" s="5" t="s">
        <v>16</v>
      </c>
      <c r="J159" s="12">
        <v>42258</v>
      </c>
      <c r="K159" s="20"/>
      <c r="L159" s="20"/>
    </row>
    <row r="160" spans="1:12">
      <c r="A160" s="2" t="s">
        <v>479</v>
      </c>
      <c r="B160" s="2">
        <v>3335559707</v>
      </c>
      <c r="C160" s="2">
        <v>1120</v>
      </c>
      <c r="D160" s="2" t="s">
        <v>480</v>
      </c>
      <c r="E160" s="5" t="s">
        <v>12</v>
      </c>
      <c r="F160" s="2" t="s">
        <v>24</v>
      </c>
      <c r="G160" s="2" t="s">
        <v>100</v>
      </c>
      <c r="H160" s="5" t="s">
        <v>15</v>
      </c>
      <c r="I160" s="5" t="s">
        <v>16</v>
      </c>
      <c r="J160" s="12">
        <v>42258</v>
      </c>
      <c r="K160" s="20"/>
      <c r="L160" s="20"/>
    </row>
    <row r="161" spans="1:12">
      <c r="A161" s="2" t="s">
        <v>481</v>
      </c>
      <c r="B161" s="2">
        <v>3430100223</v>
      </c>
      <c r="C161" s="2">
        <v>1050</v>
      </c>
      <c r="D161" s="2" t="s">
        <v>482</v>
      </c>
      <c r="E161" s="5" t="s">
        <v>23</v>
      </c>
      <c r="F161" s="2" t="s">
        <v>45</v>
      </c>
      <c r="G161" s="2" t="s">
        <v>495</v>
      </c>
      <c r="H161" s="5" t="s">
        <v>15</v>
      </c>
      <c r="I161" s="5" t="s">
        <v>16</v>
      </c>
      <c r="J161" s="12">
        <v>42258</v>
      </c>
      <c r="K161" s="20"/>
      <c r="L161" s="20"/>
    </row>
    <row r="162" spans="1:12">
      <c r="A162" s="2" t="s">
        <v>483</v>
      </c>
      <c r="B162" s="2">
        <v>3030972411</v>
      </c>
      <c r="C162" s="2">
        <v>1450</v>
      </c>
      <c r="D162" s="2" t="s">
        <v>484</v>
      </c>
      <c r="E162" s="5" t="s">
        <v>485</v>
      </c>
      <c r="F162" s="5" t="s">
        <v>31</v>
      </c>
      <c r="G162" s="5" t="s">
        <v>486</v>
      </c>
      <c r="H162" s="5" t="s">
        <v>41</v>
      </c>
      <c r="I162" s="5" t="s">
        <v>16</v>
      </c>
      <c r="J162" s="12">
        <v>42258</v>
      </c>
      <c r="K162" s="20"/>
      <c r="L162" s="20"/>
    </row>
    <row r="163" spans="1:12">
      <c r="A163" s="2" t="s">
        <v>487</v>
      </c>
      <c r="B163" s="2">
        <v>3333666960</v>
      </c>
      <c r="C163" s="2">
        <v>5150</v>
      </c>
      <c r="D163" s="2" t="s">
        <v>488</v>
      </c>
      <c r="E163" s="5" t="s">
        <v>50</v>
      </c>
      <c r="F163" s="5" t="s">
        <v>45</v>
      </c>
      <c r="G163" s="5" t="s">
        <v>489</v>
      </c>
      <c r="H163" s="5" t="s">
        <v>41</v>
      </c>
      <c r="I163" s="5" t="s">
        <v>16</v>
      </c>
      <c r="J163" s="12">
        <v>42258</v>
      </c>
      <c r="K163" s="20"/>
      <c r="L163" s="20"/>
    </row>
    <row r="164" spans="1:12">
      <c r="A164" s="30" t="s">
        <v>490</v>
      </c>
      <c r="B164" s="30">
        <v>3157697376</v>
      </c>
      <c r="C164" s="30">
        <v>1290</v>
      </c>
      <c r="D164" s="30" t="s">
        <v>491</v>
      </c>
      <c r="E164" s="31" t="s">
        <v>57</v>
      </c>
      <c r="F164" s="31" t="s">
        <v>24</v>
      </c>
      <c r="G164" s="31" t="s">
        <v>446</v>
      </c>
      <c r="H164" s="31" t="s">
        <v>15</v>
      </c>
      <c r="I164" s="31" t="s">
        <v>122</v>
      </c>
      <c r="J164" s="36">
        <v>42319</v>
      </c>
      <c r="K164" s="53"/>
      <c r="L164" s="53"/>
    </row>
    <row r="165" spans="1:12">
      <c r="A165" s="2" t="s">
        <v>492</v>
      </c>
      <c r="B165" s="2">
        <v>3334512471</v>
      </c>
      <c r="C165" s="2">
        <v>2900</v>
      </c>
      <c r="D165" s="2" t="s">
        <v>494</v>
      </c>
      <c r="E165" s="5" t="s">
        <v>23</v>
      </c>
      <c r="F165" s="5" t="s">
        <v>45</v>
      </c>
      <c r="G165" s="5" t="s">
        <v>493</v>
      </c>
      <c r="H165" s="5" t="s">
        <v>41</v>
      </c>
      <c r="I165" s="5" t="s">
        <v>16</v>
      </c>
      <c r="J165" s="12">
        <v>42319</v>
      </c>
      <c r="K165" s="20"/>
      <c r="L165" s="20"/>
    </row>
    <row r="166" spans="1:12">
      <c r="A166" s="2" t="s">
        <v>496</v>
      </c>
      <c r="B166" s="2">
        <v>3314645434</v>
      </c>
      <c r="C166" s="2">
        <v>4000</v>
      </c>
      <c r="D166" s="2" t="s">
        <v>497</v>
      </c>
      <c r="E166" s="5" t="s">
        <v>23</v>
      </c>
      <c r="F166" s="5" t="s">
        <v>24</v>
      </c>
      <c r="G166" s="5" t="s">
        <v>498</v>
      </c>
      <c r="H166" s="5" t="s">
        <v>15</v>
      </c>
      <c r="I166" s="5" t="s">
        <v>16</v>
      </c>
      <c r="J166" s="12">
        <v>42319</v>
      </c>
      <c r="K166" s="20"/>
      <c r="L166" s="20"/>
    </row>
    <row r="167" spans="1:12">
      <c r="A167" s="2" t="s">
        <v>501</v>
      </c>
      <c r="B167" s="2">
        <v>3242984905</v>
      </c>
      <c r="C167" s="2">
        <v>650</v>
      </c>
      <c r="D167" s="2" t="s">
        <v>502</v>
      </c>
      <c r="E167" s="5" t="s">
        <v>50</v>
      </c>
      <c r="F167" s="5" t="s">
        <v>45</v>
      </c>
      <c r="G167" s="5" t="s">
        <v>529</v>
      </c>
      <c r="H167" s="5" t="s">
        <v>41</v>
      </c>
      <c r="I167" s="5" t="s">
        <v>16</v>
      </c>
      <c r="J167" s="12">
        <v>42319</v>
      </c>
      <c r="K167" s="20"/>
      <c r="L167" s="20"/>
    </row>
    <row r="168" spans="1:12">
      <c r="A168" s="2" t="s">
        <v>503</v>
      </c>
      <c r="B168" s="2">
        <v>3461283211</v>
      </c>
      <c r="C168" s="2">
        <v>1300</v>
      </c>
      <c r="D168" s="2" t="s">
        <v>504</v>
      </c>
      <c r="E168" s="5" t="s">
        <v>50</v>
      </c>
      <c r="F168" s="5" t="s">
        <v>24</v>
      </c>
      <c r="G168" s="5" t="s">
        <v>420</v>
      </c>
      <c r="H168" s="5" t="s">
        <v>41</v>
      </c>
      <c r="I168" s="5" t="s">
        <v>16</v>
      </c>
      <c r="J168" s="12">
        <v>42319</v>
      </c>
      <c r="K168" s="20"/>
      <c r="L168" s="20"/>
    </row>
    <row r="169" spans="1:12">
      <c r="A169" s="2" t="s">
        <v>507</v>
      </c>
      <c r="B169" s="2">
        <v>3432998344</v>
      </c>
      <c r="C169" s="2">
        <v>1600</v>
      </c>
      <c r="D169" s="2" t="s">
        <v>511</v>
      </c>
      <c r="E169" s="5" t="s">
        <v>50</v>
      </c>
      <c r="F169" s="5" t="s">
        <v>24</v>
      </c>
      <c r="G169" s="5" t="s">
        <v>506</v>
      </c>
      <c r="H169" s="5" t="s">
        <v>41</v>
      </c>
      <c r="I169" s="5" t="s">
        <v>16</v>
      </c>
      <c r="J169" s="12" t="s">
        <v>505</v>
      </c>
      <c r="K169" s="20"/>
      <c r="L169" s="20"/>
    </row>
    <row r="170" spans="1:12">
      <c r="A170" s="2" t="s">
        <v>508</v>
      </c>
      <c r="B170" s="2">
        <v>3216442684</v>
      </c>
      <c r="C170" s="2">
        <v>1290</v>
      </c>
      <c r="D170" s="2" t="s">
        <v>509</v>
      </c>
      <c r="E170" s="5" t="s">
        <v>30</v>
      </c>
      <c r="F170" s="5" t="s">
        <v>24</v>
      </c>
      <c r="G170" s="5" t="s">
        <v>303</v>
      </c>
      <c r="H170" s="5" t="s">
        <v>15</v>
      </c>
      <c r="I170" s="5" t="s">
        <v>16</v>
      </c>
      <c r="J170" s="12" t="s">
        <v>505</v>
      </c>
      <c r="K170" s="20"/>
      <c r="L170" s="20"/>
    </row>
    <row r="171" spans="1:12">
      <c r="A171" s="2" t="s">
        <v>510</v>
      </c>
      <c r="B171" s="2">
        <v>3315050582</v>
      </c>
      <c r="C171" s="2">
        <v>850</v>
      </c>
      <c r="D171" s="2" t="s">
        <v>587</v>
      </c>
      <c r="E171" s="5" t="s">
        <v>12</v>
      </c>
      <c r="F171" s="5" t="s">
        <v>45</v>
      </c>
      <c r="G171" s="5" t="s">
        <v>512</v>
      </c>
      <c r="H171" s="5" t="s">
        <v>15</v>
      </c>
      <c r="I171" s="5" t="s">
        <v>16</v>
      </c>
      <c r="J171" s="12" t="s">
        <v>505</v>
      </c>
      <c r="K171" s="20"/>
      <c r="L171" s="20"/>
    </row>
    <row r="172" spans="1:12">
      <c r="A172" s="2" t="s">
        <v>513</v>
      </c>
      <c r="B172" s="2">
        <v>3454882587</v>
      </c>
      <c r="C172" s="2">
        <v>2200</v>
      </c>
      <c r="D172" s="2" t="s">
        <v>514</v>
      </c>
      <c r="E172" s="5" t="s">
        <v>148</v>
      </c>
      <c r="F172" s="5" t="s">
        <v>515</v>
      </c>
      <c r="G172" s="5" t="s">
        <v>516</v>
      </c>
      <c r="H172" s="5" t="s">
        <v>41</v>
      </c>
      <c r="I172" s="5" t="s">
        <v>16</v>
      </c>
      <c r="J172" s="12" t="s">
        <v>505</v>
      </c>
      <c r="K172" s="20"/>
      <c r="L172" s="20"/>
    </row>
    <row r="173" spans="1:12">
      <c r="A173" s="2" t="s">
        <v>517</v>
      </c>
      <c r="B173" s="2">
        <v>3218387575</v>
      </c>
      <c r="C173" s="2">
        <v>1500</v>
      </c>
      <c r="D173" s="2" t="s">
        <v>518</v>
      </c>
      <c r="E173" s="5" t="s">
        <v>23</v>
      </c>
      <c r="F173" s="5" t="s">
        <v>45</v>
      </c>
      <c r="G173" s="5" t="s">
        <v>213</v>
      </c>
      <c r="H173" s="5" t="s">
        <v>41</v>
      </c>
      <c r="I173" s="5" t="s">
        <v>16</v>
      </c>
      <c r="J173" s="12" t="s">
        <v>505</v>
      </c>
      <c r="K173" s="20"/>
      <c r="L173" s="20"/>
    </row>
    <row r="174" spans="1:12">
      <c r="A174" s="2" t="s">
        <v>519</v>
      </c>
      <c r="B174" s="2">
        <v>3333334358</v>
      </c>
      <c r="C174" s="2">
        <v>1020</v>
      </c>
      <c r="D174" s="2" t="s">
        <v>520</v>
      </c>
      <c r="E174" s="5" t="s">
        <v>474</v>
      </c>
      <c r="F174" s="5" t="s">
        <v>24</v>
      </c>
      <c r="G174" s="5" t="s">
        <v>420</v>
      </c>
      <c r="H174" s="5" t="s">
        <v>15</v>
      </c>
      <c r="I174" s="5" t="s">
        <v>16</v>
      </c>
      <c r="J174" s="12" t="s">
        <v>505</v>
      </c>
      <c r="K174" s="20"/>
      <c r="L174" s="20"/>
    </row>
    <row r="175" spans="1:12">
      <c r="A175" s="2" t="s">
        <v>521</v>
      </c>
      <c r="B175" s="2">
        <v>3212401473</v>
      </c>
      <c r="C175" s="2">
        <v>1000</v>
      </c>
      <c r="D175" s="2" t="s">
        <v>522</v>
      </c>
      <c r="E175" s="5" t="s">
        <v>50</v>
      </c>
      <c r="F175" s="5" t="s">
        <v>133</v>
      </c>
      <c r="G175" s="5" t="s">
        <v>134</v>
      </c>
      <c r="H175" s="5" t="s">
        <v>41</v>
      </c>
      <c r="I175" s="5" t="s">
        <v>16</v>
      </c>
      <c r="J175" s="12" t="s">
        <v>505</v>
      </c>
      <c r="K175" s="20"/>
      <c r="L175" s="20"/>
    </row>
    <row r="176" spans="1:12">
      <c r="A176" s="2" t="s">
        <v>523</v>
      </c>
      <c r="B176" s="2">
        <v>3152613344</v>
      </c>
      <c r="C176" s="2">
        <v>1050</v>
      </c>
      <c r="D176" s="2" t="s">
        <v>524</v>
      </c>
      <c r="E176" s="5" t="s">
        <v>50</v>
      </c>
      <c r="F176" s="5" t="s">
        <v>133</v>
      </c>
      <c r="G176" s="5" t="s">
        <v>134</v>
      </c>
      <c r="H176" s="5" t="s">
        <v>15</v>
      </c>
      <c r="I176" s="5" t="s">
        <v>16</v>
      </c>
      <c r="J176" s="12" t="s">
        <v>505</v>
      </c>
      <c r="K176" s="20"/>
      <c r="L176" s="20"/>
    </row>
    <row r="177" spans="1:12">
      <c r="A177" s="2" t="s">
        <v>525</v>
      </c>
      <c r="B177" s="2">
        <v>3248259757</v>
      </c>
      <c r="C177" s="2">
        <v>1120</v>
      </c>
      <c r="D177" s="2" t="s">
        <v>526</v>
      </c>
      <c r="E177" s="5" t="s">
        <v>50</v>
      </c>
      <c r="F177" s="5" t="s">
        <v>45</v>
      </c>
      <c r="G177" s="5" t="s">
        <v>46</v>
      </c>
      <c r="H177" s="5" t="s">
        <v>15</v>
      </c>
      <c r="I177" s="5" t="s">
        <v>16</v>
      </c>
      <c r="J177" s="12" t="s">
        <v>505</v>
      </c>
      <c r="K177" s="20"/>
      <c r="L177" s="20"/>
    </row>
    <row r="178" spans="1:12">
      <c r="A178" s="2" t="s">
        <v>527</v>
      </c>
      <c r="B178" s="2">
        <v>3472820633</v>
      </c>
      <c r="C178" s="2">
        <v>1080</v>
      </c>
      <c r="D178" s="2" t="s">
        <v>528</v>
      </c>
      <c r="E178" s="5" t="s">
        <v>50</v>
      </c>
      <c r="F178" s="5" t="s">
        <v>45</v>
      </c>
      <c r="G178" s="5" t="s">
        <v>454</v>
      </c>
      <c r="H178" s="5" t="s">
        <v>15</v>
      </c>
      <c r="I178" s="5" t="s">
        <v>16</v>
      </c>
      <c r="J178" s="12" t="s">
        <v>505</v>
      </c>
      <c r="K178" s="20"/>
      <c r="L178" s="20"/>
    </row>
    <row r="179" spans="1:12">
      <c r="A179" s="2" t="s">
        <v>530</v>
      </c>
      <c r="B179" s="2">
        <v>3318012874</v>
      </c>
      <c r="C179" s="2">
        <v>1220</v>
      </c>
      <c r="D179" s="2" t="s">
        <v>531</v>
      </c>
      <c r="E179" s="5" t="s">
        <v>201</v>
      </c>
      <c r="F179" s="5" t="s">
        <v>45</v>
      </c>
      <c r="G179" s="5" t="s">
        <v>94</v>
      </c>
      <c r="H179" s="5" t="s">
        <v>15</v>
      </c>
      <c r="I179" s="5" t="s">
        <v>16</v>
      </c>
      <c r="J179" s="13" t="s">
        <v>532</v>
      </c>
      <c r="K179" s="20"/>
      <c r="L179" s="20"/>
    </row>
    <row r="180" spans="1:12">
      <c r="A180" s="2" t="s">
        <v>533</v>
      </c>
      <c r="B180" s="2">
        <v>3126853922</v>
      </c>
      <c r="C180" s="2">
        <v>1500</v>
      </c>
      <c r="D180" s="2" t="s">
        <v>534</v>
      </c>
      <c r="E180" s="5" t="s">
        <v>535</v>
      </c>
      <c r="F180" s="5" t="s">
        <v>45</v>
      </c>
      <c r="G180" s="5" t="s">
        <v>536</v>
      </c>
      <c r="H180" s="5" t="s">
        <v>41</v>
      </c>
      <c r="I180" s="5" t="s">
        <v>16</v>
      </c>
      <c r="J180" s="13" t="s">
        <v>532</v>
      </c>
      <c r="K180" s="20"/>
      <c r="L180" s="20"/>
    </row>
    <row r="181" spans="1:12">
      <c r="A181" s="2" t="s">
        <v>537</v>
      </c>
      <c r="B181" s="2">
        <v>3338427273</v>
      </c>
      <c r="C181" s="2">
        <v>850</v>
      </c>
      <c r="D181" s="2" t="s">
        <v>538</v>
      </c>
      <c r="E181" s="5" t="s">
        <v>539</v>
      </c>
      <c r="F181" s="5" t="s">
        <v>24</v>
      </c>
      <c r="G181" s="5" t="s">
        <v>318</v>
      </c>
      <c r="H181" s="5" t="s">
        <v>15</v>
      </c>
      <c r="I181" s="5" t="s">
        <v>16</v>
      </c>
      <c r="J181" s="13" t="s">
        <v>532</v>
      </c>
      <c r="K181" s="20"/>
      <c r="L181" s="20"/>
    </row>
    <row r="182" spans="1:12">
      <c r="A182" s="2" t="s">
        <v>540</v>
      </c>
      <c r="B182" s="2">
        <v>3331238966</v>
      </c>
      <c r="C182" s="2">
        <v>1290</v>
      </c>
      <c r="D182" s="2" t="s">
        <v>541</v>
      </c>
      <c r="E182" s="5" t="s">
        <v>542</v>
      </c>
      <c r="F182" s="5" t="s">
        <v>24</v>
      </c>
      <c r="G182" s="5" t="s">
        <v>446</v>
      </c>
      <c r="H182" s="5" t="s">
        <v>15</v>
      </c>
      <c r="I182" s="5" t="s">
        <v>16</v>
      </c>
      <c r="J182" s="13" t="s">
        <v>532</v>
      </c>
      <c r="K182" s="20"/>
      <c r="L182" s="20"/>
    </row>
    <row r="183" spans="1:12">
      <c r="A183" s="2" t="s">
        <v>543</v>
      </c>
      <c r="B183" s="2">
        <v>3002114818</v>
      </c>
      <c r="C183" s="2">
        <v>660</v>
      </c>
      <c r="D183" s="2" t="s">
        <v>544</v>
      </c>
      <c r="E183" s="5" t="s">
        <v>50</v>
      </c>
      <c r="F183" s="5" t="s">
        <v>24</v>
      </c>
      <c r="G183" s="5" t="s">
        <v>259</v>
      </c>
      <c r="H183" s="5" t="s">
        <v>15</v>
      </c>
      <c r="I183" s="5" t="s">
        <v>16</v>
      </c>
      <c r="J183" s="13" t="s">
        <v>532</v>
      </c>
      <c r="K183" s="20"/>
      <c r="L183" s="20"/>
    </row>
    <row r="184" spans="1:12">
      <c r="A184" s="2" t="s">
        <v>545</v>
      </c>
      <c r="B184" s="2">
        <v>3152838664</v>
      </c>
      <c r="C184" s="2">
        <v>800</v>
      </c>
      <c r="D184" s="2" t="s">
        <v>546</v>
      </c>
      <c r="E184" s="5" t="s">
        <v>50</v>
      </c>
      <c r="F184" s="5" t="s">
        <v>24</v>
      </c>
      <c r="G184" s="5" t="s">
        <v>318</v>
      </c>
      <c r="H184" s="5" t="s">
        <v>15</v>
      </c>
      <c r="I184" s="5" t="s">
        <v>16</v>
      </c>
      <c r="J184" s="13" t="s">
        <v>532</v>
      </c>
      <c r="K184" s="20"/>
      <c r="L184" s="20"/>
    </row>
    <row r="185" spans="1:12">
      <c r="A185" s="2" t="s">
        <v>547</v>
      </c>
      <c r="B185" s="2">
        <v>3321663774</v>
      </c>
      <c r="C185" s="2">
        <v>850</v>
      </c>
      <c r="D185" s="2" t="s">
        <v>548</v>
      </c>
      <c r="E185" s="5" t="s">
        <v>57</v>
      </c>
      <c r="F185" s="5" t="s">
        <v>24</v>
      </c>
      <c r="G185" s="5" t="s">
        <v>318</v>
      </c>
      <c r="H185" s="5" t="s">
        <v>15</v>
      </c>
      <c r="I185" s="5" t="s">
        <v>16</v>
      </c>
      <c r="J185" s="13" t="s">
        <v>532</v>
      </c>
      <c r="K185" s="20"/>
      <c r="L185" s="20"/>
    </row>
    <row r="186" spans="1:12">
      <c r="A186" s="2" t="s">
        <v>551</v>
      </c>
      <c r="B186" s="2">
        <v>3003730465</v>
      </c>
      <c r="C186" s="2">
        <v>1700</v>
      </c>
      <c r="D186" s="2" t="s">
        <v>549</v>
      </c>
      <c r="E186" s="5" t="s">
        <v>550</v>
      </c>
      <c r="F186" s="5" t="s">
        <v>45</v>
      </c>
      <c r="G186" s="5" t="s">
        <v>372</v>
      </c>
      <c r="H186" s="5" t="s">
        <v>41</v>
      </c>
      <c r="I186" s="5" t="s">
        <v>16</v>
      </c>
      <c r="J186" s="13" t="s">
        <v>532</v>
      </c>
      <c r="K186" s="20"/>
      <c r="L186" s="20"/>
    </row>
    <row r="187" spans="1:12">
      <c r="A187" s="2" t="s">
        <v>554</v>
      </c>
      <c r="B187" s="2">
        <v>3120580010</v>
      </c>
      <c r="C187" s="2">
        <v>550</v>
      </c>
      <c r="D187" s="2" t="s">
        <v>552</v>
      </c>
      <c r="E187" s="5" t="s">
        <v>50</v>
      </c>
      <c r="F187" s="5" t="s">
        <v>45</v>
      </c>
      <c r="G187" s="5" t="s">
        <v>553</v>
      </c>
      <c r="H187" s="5" t="s">
        <v>41</v>
      </c>
      <c r="I187" s="5" t="s">
        <v>16</v>
      </c>
      <c r="J187" s="13" t="s">
        <v>532</v>
      </c>
      <c r="K187" s="20"/>
      <c r="L187" s="20"/>
    </row>
    <row r="188" spans="1:12">
      <c r="A188" s="2" t="s">
        <v>555</v>
      </c>
      <c r="B188" s="2">
        <v>3458335737</v>
      </c>
      <c r="C188" s="2">
        <v>900</v>
      </c>
      <c r="D188" s="2" t="s">
        <v>556</v>
      </c>
      <c r="E188" s="5" t="s">
        <v>148</v>
      </c>
      <c r="F188" s="5" t="s">
        <v>31</v>
      </c>
      <c r="G188" s="5" t="s">
        <v>557</v>
      </c>
      <c r="H188" s="5" t="s">
        <v>15</v>
      </c>
      <c r="I188" s="5" t="s">
        <v>16</v>
      </c>
      <c r="J188" s="13" t="s">
        <v>558</v>
      </c>
      <c r="K188" s="20"/>
      <c r="L188" s="20"/>
    </row>
    <row r="189" spans="1:12">
      <c r="A189" s="2" t="s">
        <v>559</v>
      </c>
      <c r="B189" s="2">
        <v>3205355678</v>
      </c>
      <c r="C189" s="2">
        <v>1000</v>
      </c>
      <c r="D189" s="2" t="s">
        <v>560</v>
      </c>
      <c r="E189" s="5" t="s">
        <v>50</v>
      </c>
      <c r="F189" s="5" t="s">
        <v>24</v>
      </c>
      <c r="G189" s="5" t="s">
        <v>420</v>
      </c>
      <c r="H189" s="5" t="s">
        <v>15</v>
      </c>
      <c r="I189" s="5" t="s">
        <v>16</v>
      </c>
      <c r="J189" s="13" t="s">
        <v>558</v>
      </c>
      <c r="K189" s="20"/>
      <c r="L189" s="20"/>
    </row>
    <row r="190" spans="1:12">
      <c r="A190" s="2" t="s">
        <v>561</v>
      </c>
      <c r="B190" s="2">
        <v>3002023010</v>
      </c>
      <c r="C190" s="2">
        <v>620</v>
      </c>
      <c r="D190" s="2" t="s">
        <v>562</v>
      </c>
      <c r="E190" s="5" t="s">
        <v>19</v>
      </c>
      <c r="F190" s="5" t="s">
        <v>31</v>
      </c>
      <c r="G190" s="5" t="s">
        <v>563</v>
      </c>
      <c r="H190" s="5" t="s">
        <v>15</v>
      </c>
      <c r="I190" s="5" t="s">
        <v>16</v>
      </c>
      <c r="J190" s="13" t="s">
        <v>558</v>
      </c>
      <c r="K190" s="20"/>
      <c r="L190" s="20"/>
    </row>
    <row r="191" spans="1:12">
      <c r="A191" s="2" t="s">
        <v>564</v>
      </c>
      <c r="B191" s="2">
        <v>3000914867</v>
      </c>
      <c r="C191" s="2">
        <v>1460</v>
      </c>
      <c r="D191" s="2" t="s">
        <v>565</v>
      </c>
      <c r="E191" s="5" t="s">
        <v>35</v>
      </c>
      <c r="F191" s="5" t="s">
        <v>31</v>
      </c>
      <c r="G191" s="5" t="s">
        <v>231</v>
      </c>
      <c r="H191" s="5" t="s">
        <v>15</v>
      </c>
      <c r="I191" s="5" t="s">
        <v>16</v>
      </c>
      <c r="J191" s="13" t="s">
        <v>558</v>
      </c>
      <c r="K191" s="20"/>
      <c r="L191" s="20"/>
    </row>
    <row r="192" spans="1:12">
      <c r="A192" s="2" t="s">
        <v>566</v>
      </c>
      <c r="B192" s="2">
        <v>3333277749</v>
      </c>
      <c r="C192" s="2">
        <v>800</v>
      </c>
      <c r="D192" s="2" t="s">
        <v>567</v>
      </c>
      <c r="E192" s="5" t="s">
        <v>50</v>
      </c>
      <c r="F192" s="5" t="s">
        <v>24</v>
      </c>
      <c r="G192" s="5" t="s">
        <v>318</v>
      </c>
      <c r="H192" s="5" t="s">
        <v>15</v>
      </c>
      <c r="I192" s="5" t="s">
        <v>16</v>
      </c>
      <c r="J192" s="13" t="s">
        <v>558</v>
      </c>
      <c r="K192" s="20"/>
      <c r="L192" s="20"/>
    </row>
    <row r="193" spans="1:12">
      <c r="A193" s="2" t="s">
        <v>568</v>
      </c>
      <c r="B193" s="2">
        <v>3083241726</v>
      </c>
      <c r="C193" s="2">
        <v>1500</v>
      </c>
      <c r="D193" s="2" t="s">
        <v>569</v>
      </c>
      <c r="E193" s="5" t="s">
        <v>125</v>
      </c>
      <c r="F193" s="2" t="s">
        <v>515</v>
      </c>
      <c r="G193" s="2" t="s">
        <v>575</v>
      </c>
      <c r="H193" s="5" t="s">
        <v>41</v>
      </c>
      <c r="I193" s="5" t="s">
        <v>16</v>
      </c>
      <c r="J193" s="13" t="s">
        <v>558</v>
      </c>
      <c r="K193" s="20"/>
      <c r="L193" s="20"/>
    </row>
    <row r="194" spans="1:12">
      <c r="A194" s="2" t="s">
        <v>570</v>
      </c>
      <c r="B194" s="2">
        <v>3012302366</v>
      </c>
      <c r="C194" s="2">
        <v>1070</v>
      </c>
      <c r="D194" s="2" t="s">
        <v>571</v>
      </c>
      <c r="E194" s="5" t="s">
        <v>19</v>
      </c>
      <c r="F194" s="2" t="s">
        <v>515</v>
      </c>
      <c r="G194" s="5" t="s">
        <v>594</v>
      </c>
      <c r="H194" s="5" t="s">
        <v>15</v>
      </c>
      <c r="I194" s="5" t="s">
        <v>16</v>
      </c>
      <c r="J194" s="13" t="s">
        <v>572</v>
      </c>
      <c r="K194" s="20"/>
      <c r="L194" s="20"/>
    </row>
    <row r="195" spans="1:12">
      <c r="A195" s="2" t="s">
        <v>573</v>
      </c>
      <c r="B195" s="2">
        <v>3339738004</v>
      </c>
      <c r="C195" s="2">
        <v>870</v>
      </c>
      <c r="D195" s="2" t="s">
        <v>574</v>
      </c>
      <c r="E195" s="2" t="s">
        <v>419</v>
      </c>
      <c r="F195" s="2" t="s">
        <v>24</v>
      </c>
      <c r="G195" s="5" t="s">
        <v>318</v>
      </c>
      <c r="H195" s="5" t="s">
        <v>15</v>
      </c>
      <c r="I195" s="5" t="s">
        <v>16</v>
      </c>
      <c r="J195" s="13" t="s">
        <v>572</v>
      </c>
      <c r="K195" s="20"/>
      <c r="L195" s="20"/>
    </row>
    <row r="196" spans="1:12">
      <c r="A196" s="2" t="s">
        <v>576</v>
      </c>
      <c r="B196" s="2">
        <v>3334504878</v>
      </c>
      <c r="C196" s="2">
        <v>1170</v>
      </c>
      <c r="D196" s="2" t="s">
        <v>577</v>
      </c>
      <c r="E196" s="2" t="s">
        <v>23</v>
      </c>
      <c r="F196" s="2" t="s">
        <v>31</v>
      </c>
      <c r="G196" s="5" t="s">
        <v>46</v>
      </c>
      <c r="H196" s="5" t="s">
        <v>15</v>
      </c>
      <c r="I196" s="5" t="s">
        <v>16</v>
      </c>
      <c r="J196" s="13" t="s">
        <v>572</v>
      </c>
      <c r="K196" s="20"/>
      <c r="L196" s="20"/>
    </row>
    <row r="197" spans="1:12">
      <c r="A197" s="2" t="s">
        <v>578</v>
      </c>
      <c r="B197" s="2">
        <v>3452944853</v>
      </c>
      <c r="C197" s="2">
        <v>1150</v>
      </c>
      <c r="D197" s="2" t="s">
        <v>579</v>
      </c>
      <c r="E197" s="2" t="s">
        <v>50</v>
      </c>
      <c r="F197" s="2" t="s">
        <v>31</v>
      </c>
      <c r="G197" s="5" t="s">
        <v>46</v>
      </c>
      <c r="H197" s="5" t="s">
        <v>15</v>
      </c>
      <c r="I197" s="5" t="s">
        <v>16</v>
      </c>
      <c r="J197" s="13" t="s">
        <v>572</v>
      </c>
      <c r="K197" s="20"/>
      <c r="L197" s="20"/>
    </row>
    <row r="198" spans="1:12">
      <c r="A198" s="2" t="s">
        <v>580</v>
      </c>
      <c r="B198" s="2" t="s">
        <v>581</v>
      </c>
      <c r="C198" s="2">
        <v>2900</v>
      </c>
      <c r="D198" s="2" t="s">
        <v>582</v>
      </c>
      <c r="E198" s="2" t="s">
        <v>12</v>
      </c>
      <c r="F198" s="2" t="s">
        <v>45</v>
      </c>
      <c r="G198" s="5" t="s">
        <v>583</v>
      </c>
      <c r="H198" s="5" t="s">
        <v>41</v>
      </c>
      <c r="I198" s="5" t="s">
        <v>16</v>
      </c>
      <c r="J198" s="13" t="s">
        <v>572</v>
      </c>
      <c r="K198" s="20"/>
      <c r="L198" s="20"/>
    </row>
    <row r="199" spans="1:12">
      <c r="A199" s="2" t="s">
        <v>584</v>
      </c>
      <c r="B199" s="2">
        <v>3136015944</v>
      </c>
      <c r="C199" s="2">
        <v>1800</v>
      </c>
      <c r="D199" s="2" t="s">
        <v>585</v>
      </c>
      <c r="E199" s="2" t="s">
        <v>339</v>
      </c>
      <c r="F199" s="2" t="s">
        <v>24</v>
      </c>
      <c r="G199" s="5" t="s">
        <v>586</v>
      </c>
      <c r="H199" s="5" t="s">
        <v>41</v>
      </c>
      <c r="I199" s="5" t="s">
        <v>16</v>
      </c>
      <c r="J199" s="13" t="s">
        <v>572</v>
      </c>
      <c r="K199" s="20"/>
      <c r="L199" s="20"/>
    </row>
    <row r="200" spans="1:12">
      <c r="A200" s="2" t="s">
        <v>588</v>
      </c>
      <c r="B200" s="2">
        <v>3455161120</v>
      </c>
      <c r="C200" s="2">
        <v>1000</v>
      </c>
      <c r="D200" s="2" t="s">
        <v>589</v>
      </c>
      <c r="E200" s="2" t="s">
        <v>19</v>
      </c>
      <c r="F200" s="2" t="s">
        <v>24</v>
      </c>
      <c r="G200" s="5" t="s">
        <v>318</v>
      </c>
      <c r="H200" s="5" t="s">
        <v>41</v>
      </c>
      <c r="I200" s="5" t="s">
        <v>16</v>
      </c>
      <c r="J200" s="13" t="s">
        <v>590</v>
      </c>
      <c r="K200" s="20"/>
      <c r="L200" s="20"/>
    </row>
    <row r="201" spans="1:12">
      <c r="A201" s="2" t="s">
        <v>591</v>
      </c>
      <c r="B201" s="2">
        <v>3003648233</v>
      </c>
      <c r="C201" s="2">
        <v>1220</v>
      </c>
      <c r="D201" s="2" t="s">
        <v>592</v>
      </c>
      <c r="E201" s="2" t="s">
        <v>593</v>
      </c>
      <c r="F201" s="2" t="s">
        <v>45</v>
      </c>
      <c r="G201" s="5" t="s">
        <v>94</v>
      </c>
      <c r="H201" s="5" t="s">
        <v>15</v>
      </c>
      <c r="I201" s="5" t="s">
        <v>16</v>
      </c>
      <c r="J201" s="13" t="s">
        <v>590</v>
      </c>
      <c r="K201" s="20"/>
      <c r="L201" s="20"/>
    </row>
    <row r="202" spans="1:12">
      <c r="A202" s="2" t="s">
        <v>595</v>
      </c>
      <c r="B202" s="2">
        <v>3365188073</v>
      </c>
      <c r="C202" s="2">
        <v>1220</v>
      </c>
      <c r="D202" s="2" t="s">
        <v>596</v>
      </c>
      <c r="E202" s="2" t="s">
        <v>76</v>
      </c>
      <c r="F202" s="2" t="s">
        <v>24</v>
      </c>
      <c r="G202" s="5" t="s">
        <v>94</v>
      </c>
      <c r="H202" s="5" t="s">
        <v>15</v>
      </c>
      <c r="I202" s="5" t="s">
        <v>16</v>
      </c>
      <c r="J202" s="13" t="s">
        <v>590</v>
      </c>
      <c r="K202" s="20"/>
      <c r="L202" s="20"/>
    </row>
    <row r="203" spans="1:12">
      <c r="A203" s="2" t="s">
        <v>597</v>
      </c>
      <c r="B203" s="2">
        <v>3406041445</v>
      </c>
      <c r="C203" s="2">
        <v>1300</v>
      </c>
      <c r="D203" s="2" t="s">
        <v>598</v>
      </c>
      <c r="E203" s="2" t="s">
        <v>600</v>
      </c>
      <c r="F203" s="2" t="s">
        <v>45</v>
      </c>
      <c r="G203" s="5" t="s">
        <v>599</v>
      </c>
      <c r="H203" s="5" t="s">
        <v>41</v>
      </c>
      <c r="I203" s="5" t="s">
        <v>16</v>
      </c>
      <c r="J203" s="13" t="s">
        <v>590</v>
      </c>
      <c r="K203" s="20"/>
      <c r="L203" s="20"/>
    </row>
    <row r="204" spans="1:12">
      <c r="A204" s="2" t="s">
        <v>601</v>
      </c>
      <c r="B204" s="2">
        <v>3062452564</v>
      </c>
      <c r="C204" s="2">
        <v>1150</v>
      </c>
      <c r="D204" s="2" t="s">
        <v>602</v>
      </c>
      <c r="E204" s="2" t="s">
        <v>50</v>
      </c>
      <c r="F204" s="2" t="s">
        <v>45</v>
      </c>
      <c r="G204" s="5" t="s">
        <v>46</v>
      </c>
      <c r="H204" s="5" t="s">
        <v>15</v>
      </c>
      <c r="I204" s="5" t="s">
        <v>16</v>
      </c>
      <c r="J204" s="13" t="s">
        <v>590</v>
      </c>
      <c r="K204" s="20"/>
      <c r="L204" s="20"/>
    </row>
    <row r="205" spans="1:12">
      <c r="A205" s="2" t="s">
        <v>603</v>
      </c>
      <c r="B205" s="2">
        <v>3323056946</v>
      </c>
      <c r="C205" s="2">
        <v>1080</v>
      </c>
      <c r="D205" s="2" t="s">
        <v>604</v>
      </c>
      <c r="E205" s="2" t="s">
        <v>50</v>
      </c>
      <c r="F205" s="2" t="s">
        <v>45</v>
      </c>
      <c r="G205" s="5" t="s">
        <v>348</v>
      </c>
      <c r="H205" s="5" t="s">
        <v>15</v>
      </c>
      <c r="I205" s="5" t="s">
        <v>16</v>
      </c>
      <c r="J205" s="13" t="s">
        <v>590</v>
      </c>
      <c r="K205" s="20"/>
      <c r="L205" s="20"/>
    </row>
    <row r="206" spans="1:12">
      <c r="A206" s="2" t="s">
        <v>605</v>
      </c>
      <c r="B206" s="2">
        <v>3032966289</v>
      </c>
      <c r="C206" s="2">
        <v>810</v>
      </c>
      <c r="D206" s="2" t="s">
        <v>606</v>
      </c>
      <c r="E206" s="2" t="s">
        <v>50</v>
      </c>
      <c r="F206" s="2" t="s">
        <v>24</v>
      </c>
      <c r="G206" s="5" t="s">
        <v>318</v>
      </c>
      <c r="H206" s="5" t="s">
        <v>15</v>
      </c>
      <c r="I206" s="5" t="s">
        <v>16</v>
      </c>
      <c r="J206" s="13" t="s">
        <v>590</v>
      </c>
      <c r="K206" s="20"/>
      <c r="L206" s="20"/>
    </row>
    <row r="207" spans="1:12">
      <c r="A207" s="2" t="s">
        <v>607</v>
      </c>
      <c r="B207" s="2">
        <v>3340079332</v>
      </c>
      <c r="C207" s="2">
        <v>1000</v>
      </c>
      <c r="D207" s="2" t="s">
        <v>608</v>
      </c>
      <c r="E207" s="2" t="s">
        <v>19</v>
      </c>
      <c r="F207" s="2" t="s">
        <v>24</v>
      </c>
      <c r="G207" s="5" t="s">
        <v>420</v>
      </c>
      <c r="H207" s="5" t="s">
        <v>15</v>
      </c>
      <c r="I207" s="5" t="s">
        <v>16</v>
      </c>
      <c r="J207" s="13" t="s">
        <v>590</v>
      </c>
      <c r="K207" s="20"/>
      <c r="L207" s="20"/>
    </row>
    <row r="208" spans="1:12">
      <c r="A208" s="2" t="s">
        <v>609</v>
      </c>
      <c r="B208" s="2">
        <v>3234143885</v>
      </c>
      <c r="C208" s="2">
        <v>1170</v>
      </c>
      <c r="D208" s="2" t="s">
        <v>610</v>
      </c>
      <c r="E208" s="2" t="s">
        <v>23</v>
      </c>
      <c r="F208" s="2" t="s">
        <v>45</v>
      </c>
      <c r="G208" s="5" t="s">
        <v>46</v>
      </c>
      <c r="H208" s="5" t="s">
        <v>15</v>
      </c>
      <c r="I208" s="5" t="s">
        <v>16</v>
      </c>
      <c r="J208" s="13" t="s">
        <v>590</v>
      </c>
      <c r="K208" s="20"/>
      <c r="L208" s="20"/>
    </row>
    <row r="209" spans="1:12">
      <c r="A209" s="2" t="s">
        <v>611</v>
      </c>
      <c r="B209" s="2">
        <v>3105054377</v>
      </c>
      <c r="C209" s="2">
        <v>1000</v>
      </c>
      <c r="D209" s="2" t="s">
        <v>612</v>
      </c>
      <c r="E209" s="2" t="s">
        <v>12</v>
      </c>
      <c r="F209" s="2" t="s">
        <v>45</v>
      </c>
      <c r="G209" s="5" t="s">
        <v>557</v>
      </c>
      <c r="H209" s="5" t="s">
        <v>15</v>
      </c>
      <c r="I209" s="5" t="s">
        <v>16</v>
      </c>
      <c r="J209" s="13" t="s">
        <v>590</v>
      </c>
      <c r="K209" s="20"/>
      <c r="L209" s="20"/>
    </row>
    <row r="210" spans="1:12">
      <c r="A210" s="2" t="s">
        <v>613</v>
      </c>
      <c r="B210" s="2">
        <v>3076302425</v>
      </c>
      <c r="C210" s="2">
        <v>950</v>
      </c>
      <c r="D210" s="2" t="s">
        <v>614</v>
      </c>
      <c r="E210" s="2" t="s">
        <v>35</v>
      </c>
      <c r="F210" s="2" t="s">
        <v>45</v>
      </c>
      <c r="G210" s="5" t="s">
        <v>557</v>
      </c>
      <c r="H210" s="5" t="s">
        <v>15</v>
      </c>
      <c r="I210" s="5" t="s">
        <v>16</v>
      </c>
      <c r="J210" s="13" t="s">
        <v>590</v>
      </c>
      <c r="K210" s="20"/>
      <c r="L210" s="20"/>
    </row>
    <row r="211" spans="1:12">
      <c r="A211" s="2" t="s">
        <v>615</v>
      </c>
      <c r="B211" s="2">
        <v>3152022232</v>
      </c>
      <c r="C211" s="2">
        <v>1230</v>
      </c>
      <c r="D211" s="2" t="s">
        <v>616</v>
      </c>
      <c r="E211" s="2" t="s">
        <v>50</v>
      </c>
      <c r="F211" s="2" t="s">
        <v>24</v>
      </c>
      <c r="G211" s="5" t="s">
        <v>446</v>
      </c>
      <c r="H211" s="5" t="s">
        <v>15</v>
      </c>
      <c r="I211" s="5" t="s">
        <v>16</v>
      </c>
      <c r="J211" s="13" t="s">
        <v>590</v>
      </c>
      <c r="K211" s="20"/>
      <c r="L211" s="20"/>
    </row>
    <row r="212" spans="1:12">
      <c r="A212" s="2" t="s">
        <v>619</v>
      </c>
      <c r="B212" s="2">
        <v>3036126022</v>
      </c>
      <c r="C212" s="2">
        <v>2900</v>
      </c>
      <c r="D212" s="2" t="s">
        <v>617</v>
      </c>
      <c r="E212" s="2" t="s">
        <v>50</v>
      </c>
      <c r="F212" s="2" t="s">
        <v>24</v>
      </c>
      <c r="G212" s="5" t="s">
        <v>618</v>
      </c>
      <c r="H212" s="5" t="s">
        <v>41</v>
      </c>
      <c r="I212" s="5" t="s">
        <v>16</v>
      </c>
      <c r="J212" s="13" t="s">
        <v>590</v>
      </c>
      <c r="K212" s="20"/>
      <c r="L212" s="20"/>
    </row>
    <row r="213" spans="1:12">
      <c r="A213" s="2" t="s">
        <v>620</v>
      </c>
      <c r="B213" s="2">
        <v>3323117901</v>
      </c>
      <c r="C213" s="2">
        <v>1280</v>
      </c>
      <c r="D213" s="2" t="s">
        <v>621</v>
      </c>
      <c r="E213" s="2" t="s">
        <v>50</v>
      </c>
      <c r="F213" s="2" t="s">
        <v>24</v>
      </c>
      <c r="G213" s="5" t="s">
        <v>622</v>
      </c>
      <c r="H213" s="5" t="s">
        <v>15</v>
      </c>
      <c r="I213" s="5" t="s">
        <v>16</v>
      </c>
      <c r="J213" s="13" t="s">
        <v>590</v>
      </c>
      <c r="K213" s="20"/>
      <c r="L213" s="20"/>
    </row>
    <row r="214" spans="1:12">
      <c r="A214" s="2" t="s">
        <v>623</v>
      </c>
      <c r="B214" s="2">
        <v>3016702001</v>
      </c>
      <c r="C214" s="2">
        <v>1030</v>
      </c>
      <c r="D214" s="2" t="s">
        <v>624</v>
      </c>
      <c r="E214" s="2" t="s">
        <v>377</v>
      </c>
      <c r="F214" s="2" t="s">
        <v>45</v>
      </c>
      <c r="G214" s="5" t="s">
        <v>625</v>
      </c>
      <c r="H214" s="5" t="s">
        <v>15</v>
      </c>
      <c r="I214" s="5" t="s">
        <v>16</v>
      </c>
      <c r="J214" s="13" t="s">
        <v>626</v>
      </c>
      <c r="K214" s="20"/>
      <c r="L214" s="20"/>
    </row>
    <row r="215" spans="1:12">
      <c r="A215" s="2" t="s">
        <v>568</v>
      </c>
      <c r="B215" s="2">
        <v>3083241726</v>
      </c>
      <c r="C215" s="2">
        <v>1500</v>
      </c>
      <c r="D215" s="2" t="s">
        <v>569</v>
      </c>
      <c r="E215" s="5" t="s">
        <v>125</v>
      </c>
      <c r="F215" s="2" t="s">
        <v>515</v>
      </c>
      <c r="G215" s="2" t="s">
        <v>575</v>
      </c>
      <c r="H215" s="5" t="s">
        <v>41</v>
      </c>
      <c r="I215" s="5" t="s">
        <v>16</v>
      </c>
      <c r="J215" s="13" t="s">
        <v>626</v>
      </c>
      <c r="K215" s="20"/>
      <c r="L215" s="20"/>
    </row>
    <row r="216" spans="1:12">
      <c r="A216" s="2" t="s">
        <v>627</v>
      </c>
      <c r="B216" s="2">
        <v>3075124714</v>
      </c>
      <c r="C216" s="2">
        <v>1350</v>
      </c>
      <c r="D216" s="2" t="s">
        <v>628</v>
      </c>
      <c r="E216" s="5" t="s">
        <v>629</v>
      </c>
      <c r="F216" s="2" t="s">
        <v>45</v>
      </c>
      <c r="G216" s="2" t="s">
        <v>633</v>
      </c>
      <c r="H216" s="5" t="s">
        <v>41</v>
      </c>
      <c r="I216" s="5" t="s">
        <v>16</v>
      </c>
      <c r="J216" s="13" t="s">
        <v>626</v>
      </c>
      <c r="K216" s="20"/>
      <c r="L216" s="20"/>
    </row>
    <row r="217" spans="1:12">
      <c r="A217" s="2" t="s">
        <v>630</v>
      </c>
      <c r="B217" s="2">
        <v>3145452288</v>
      </c>
      <c r="C217" s="2">
        <v>1700</v>
      </c>
      <c r="D217" s="2" t="s">
        <v>631</v>
      </c>
      <c r="E217" s="5" t="s">
        <v>148</v>
      </c>
      <c r="F217" s="2" t="s">
        <v>515</v>
      </c>
      <c r="G217" s="5" t="s">
        <v>632</v>
      </c>
      <c r="H217" s="5" t="s">
        <v>41</v>
      </c>
      <c r="I217" s="5" t="s">
        <v>16</v>
      </c>
      <c r="J217" s="13" t="s">
        <v>626</v>
      </c>
      <c r="K217" s="20"/>
      <c r="L217" s="20"/>
    </row>
    <row r="218" spans="1:12">
      <c r="A218" s="2" t="s">
        <v>634</v>
      </c>
      <c r="B218" s="2">
        <v>3337813378</v>
      </c>
      <c r="C218" s="2">
        <v>1750</v>
      </c>
      <c r="D218" s="2" t="s">
        <v>635</v>
      </c>
      <c r="E218" s="5" t="s">
        <v>148</v>
      </c>
      <c r="F218" s="2" t="s">
        <v>24</v>
      </c>
      <c r="G218" s="5" t="s">
        <v>100</v>
      </c>
      <c r="H218" s="5" t="s">
        <v>150</v>
      </c>
      <c r="I218" s="5" t="s">
        <v>16</v>
      </c>
      <c r="J218" s="13" t="s">
        <v>626</v>
      </c>
      <c r="K218" s="20"/>
      <c r="L218" s="20"/>
    </row>
    <row r="219" spans="1:12">
      <c r="A219" s="2" t="s">
        <v>636</v>
      </c>
      <c r="B219" s="2">
        <v>3028504782</v>
      </c>
      <c r="C219" s="2">
        <v>1020</v>
      </c>
      <c r="D219" s="2" t="s">
        <v>637</v>
      </c>
      <c r="E219" s="5" t="s">
        <v>638</v>
      </c>
      <c r="F219" s="2" t="s">
        <v>24</v>
      </c>
      <c r="G219" s="5" t="s">
        <v>420</v>
      </c>
      <c r="H219" s="5" t="s">
        <v>15</v>
      </c>
      <c r="I219" s="5" t="s">
        <v>16</v>
      </c>
      <c r="J219" s="13" t="s">
        <v>626</v>
      </c>
      <c r="K219" s="20"/>
      <c r="L219" s="20"/>
    </row>
    <row r="220" spans="1:12">
      <c r="A220" s="2" t="s">
        <v>570</v>
      </c>
      <c r="B220" s="2">
        <v>3012302366</v>
      </c>
      <c r="C220" s="2">
        <v>800</v>
      </c>
      <c r="D220" s="2" t="s">
        <v>571</v>
      </c>
      <c r="E220" s="5" t="s">
        <v>19</v>
      </c>
      <c r="F220" s="2" t="s">
        <v>515</v>
      </c>
      <c r="G220" s="5" t="s">
        <v>594</v>
      </c>
      <c r="H220" s="5" t="s">
        <v>15</v>
      </c>
      <c r="I220" s="5" t="s">
        <v>16</v>
      </c>
      <c r="J220" s="13" t="s">
        <v>639</v>
      </c>
      <c r="K220" s="20"/>
      <c r="L220" s="20"/>
    </row>
    <row r="221" spans="1:12">
      <c r="A221" s="2" t="s">
        <v>640</v>
      </c>
      <c r="B221" s="2">
        <v>3070767802</v>
      </c>
      <c r="C221" s="2">
        <v>870</v>
      </c>
      <c r="D221" s="2" t="s">
        <v>641</v>
      </c>
      <c r="E221" s="5" t="s">
        <v>272</v>
      </c>
      <c r="F221" s="2" t="s">
        <v>24</v>
      </c>
      <c r="G221" s="5" t="s">
        <v>318</v>
      </c>
      <c r="H221" s="5" t="s">
        <v>15</v>
      </c>
      <c r="I221" s="5" t="s">
        <v>16</v>
      </c>
      <c r="J221" s="13" t="s">
        <v>639</v>
      </c>
      <c r="K221" s="20"/>
      <c r="L221" s="20"/>
    </row>
    <row r="222" spans="1:12">
      <c r="A222" s="2" t="s">
        <v>642</v>
      </c>
      <c r="B222" s="2">
        <v>3312485821</v>
      </c>
      <c r="C222" s="2">
        <v>1200</v>
      </c>
      <c r="D222" s="2" t="s">
        <v>643</v>
      </c>
      <c r="E222" s="5" t="s">
        <v>644</v>
      </c>
      <c r="F222" s="2" t="s">
        <v>45</v>
      </c>
      <c r="G222" s="5" t="s">
        <v>645</v>
      </c>
      <c r="H222" s="5" t="s">
        <v>15</v>
      </c>
      <c r="I222" s="5" t="s">
        <v>16</v>
      </c>
      <c r="J222" s="13" t="s">
        <v>639</v>
      </c>
      <c r="K222" s="20"/>
      <c r="L222" s="20"/>
    </row>
    <row r="223" spans="1:12">
      <c r="A223" s="2" t="s">
        <v>646</v>
      </c>
      <c r="B223" s="2">
        <v>3475743765</v>
      </c>
      <c r="C223" s="2">
        <v>1250</v>
      </c>
      <c r="D223" s="2" t="s">
        <v>647</v>
      </c>
      <c r="E223" s="5" t="s">
        <v>12</v>
      </c>
      <c r="F223" s="2" t="s">
        <v>24</v>
      </c>
      <c r="G223" s="5" t="s">
        <v>303</v>
      </c>
      <c r="H223" s="5" t="s">
        <v>15</v>
      </c>
      <c r="I223" s="5" t="s">
        <v>16</v>
      </c>
      <c r="J223" s="13" t="s">
        <v>639</v>
      </c>
      <c r="K223" s="20"/>
      <c r="L223" s="20"/>
    </row>
    <row r="224" spans="1:12">
      <c r="A224" s="2" t="s">
        <v>648</v>
      </c>
      <c r="B224" s="2">
        <v>3004332031</v>
      </c>
      <c r="C224" s="2">
        <v>1250</v>
      </c>
      <c r="D224" s="2" t="s">
        <v>649</v>
      </c>
      <c r="E224" s="5" t="s">
        <v>23</v>
      </c>
      <c r="F224" s="2" t="s">
        <v>24</v>
      </c>
      <c r="G224" s="5" t="s">
        <v>303</v>
      </c>
      <c r="H224" s="5" t="s">
        <v>15</v>
      </c>
      <c r="I224" s="5" t="s">
        <v>16</v>
      </c>
      <c r="J224" s="13" t="s">
        <v>639</v>
      </c>
      <c r="K224" s="20"/>
      <c r="L224" s="20"/>
    </row>
    <row r="225" spans="1:12">
      <c r="A225" s="2" t="s">
        <v>650</v>
      </c>
      <c r="B225" s="2">
        <v>3342677825</v>
      </c>
      <c r="C225" s="2">
        <v>1290</v>
      </c>
      <c r="D225" s="2" t="s">
        <v>651</v>
      </c>
      <c r="E225" s="5" t="s">
        <v>652</v>
      </c>
      <c r="F225" s="2" t="s">
        <v>24</v>
      </c>
      <c r="G225" s="5" t="s">
        <v>303</v>
      </c>
      <c r="H225" s="5" t="s">
        <v>15</v>
      </c>
      <c r="I225" s="5" t="s">
        <v>16</v>
      </c>
      <c r="J225" s="13" t="s">
        <v>639</v>
      </c>
      <c r="K225" s="20"/>
      <c r="L225" s="20"/>
    </row>
    <row r="226" spans="1:12">
      <c r="A226" s="2" t="s">
        <v>653</v>
      </c>
      <c r="B226" s="2">
        <v>3363007276</v>
      </c>
      <c r="C226" s="2">
        <v>1000</v>
      </c>
      <c r="D226" s="2" t="s">
        <v>654</v>
      </c>
      <c r="E226" s="5" t="s">
        <v>50</v>
      </c>
      <c r="F226" s="2" t="s">
        <v>45</v>
      </c>
      <c r="G226" s="5" t="s">
        <v>213</v>
      </c>
      <c r="H226" s="5" t="s">
        <v>413</v>
      </c>
      <c r="I226" s="5" t="s">
        <v>16</v>
      </c>
      <c r="J226" s="13" t="s">
        <v>655</v>
      </c>
      <c r="K226" s="20"/>
      <c r="L226" s="20"/>
    </row>
    <row r="227" spans="1:12">
      <c r="A227" s="2" t="s">
        <v>658</v>
      </c>
      <c r="B227" s="2">
        <v>3343397629</v>
      </c>
      <c r="C227" s="2">
        <v>5000</v>
      </c>
      <c r="D227" s="2" t="s">
        <v>657</v>
      </c>
      <c r="E227" s="5" t="s">
        <v>50</v>
      </c>
      <c r="F227" s="2" t="s">
        <v>24</v>
      </c>
      <c r="G227" s="5" t="s">
        <v>656</v>
      </c>
      <c r="H227" s="5" t="s">
        <v>41</v>
      </c>
      <c r="I227" s="5" t="s">
        <v>16</v>
      </c>
      <c r="J227" s="13" t="s">
        <v>655</v>
      </c>
      <c r="K227" s="20"/>
      <c r="L227" s="20"/>
    </row>
    <row r="228" spans="1:12">
      <c r="A228" s="2" t="s">
        <v>588</v>
      </c>
      <c r="B228" s="2">
        <v>3455161120</v>
      </c>
      <c r="C228" s="2">
        <v>1600</v>
      </c>
      <c r="D228" s="2" t="s">
        <v>589</v>
      </c>
      <c r="E228" s="2" t="s">
        <v>19</v>
      </c>
      <c r="F228" s="2" t="s">
        <v>24</v>
      </c>
      <c r="G228" s="5" t="s">
        <v>659</v>
      </c>
      <c r="H228" s="5" t="s">
        <v>41</v>
      </c>
      <c r="I228" s="5" t="s">
        <v>16</v>
      </c>
      <c r="J228" s="13" t="s">
        <v>655</v>
      </c>
      <c r="K228" s="20"/>
      <c r="L228" s="20"/>
    </row>
    <row r="229" spans="1:12">
      <c r="A229" s="30" t="s">
        <v>660</v>
      </c>
      <c r="B229" s="30">
        <v>3341686433</v>
      </c>
      <c r="C229" s="30">
        <v>1080</v>
      </c>
      <c r="D229" s="30" t="s">
        <v>661</v>
      </c>
      <c r="E229" s="30" t="s">
        <v>50</v>
      </c>
      <c r="F229" s="30" t="s">
        <v>45</v>
      </c>
      <c r="G229" s="31" t="s">
        <v>348</v>
      </c>
      <c r="H229" s="31" t="s">
        <v>15</v>
      </c>
      <c r="I229" s="31" t="s">
        <v>122</v>
      </c>
      <c r="J229" s="32" t="s">
        <v>655</v>
      </c>
      <c r="K229" s="53"/>
      <c r="L229" s="53"/>
    </row>
    <row r="230" spans="1:12">
      <c r="A230" s="2" t="s">
        <v>662</v>
      </c>
      <c r="B230" s="2">
        <v>3239919990</v>
      </c>
      <c r="C230" s="2">
        <v>1120</v>
      </c>
      <c r="D230" s="2" t="s">
        <v>663</v>
      </c>
      <c r="E230" s="2" t="s">
        <v>23</v>
      </c>
      <c r="F230" s="2" t="s">
        <v>45</v>
      </c>
      <c r="G230" s="5" t="s">
        <v>664</v>
      </c>
      <c r="H230" s="5" t="s">
        <v>15</v>
      </c>
      <c r="I230" s="5" t="s">
        <v>16</v>
      </c>
      <c r="J230" s="13" t="s">
        <v>655</v>
      </c>
      <c r="K230" s="3" t="s">
        <v>696</v>
      </c>
      <c r="L230" s="20"/>
    </row>
    <row r="231" spans="1:12">
      <c r="A231" s="2" t="s">
        <v>665</v>
      </c>
      <c r="B231" s="2">
        <v>3234014432</v>
      </c>
      <c r="C231" s="2">
        <v>1250</v>
      </c>
      <c r="D231" s="2" t="s">
        <v>666</v>
      </c>
      <c r="E231" s="2" t="s">
        <v>23</v>
      </c>
      <c r="F231" s="2" t="s">
        <v>24</v>
      </c>
      <c r="G231" s="5" t="s">
        <v>303</v>
      </c>
      <c r="H231" s="5" t="s">
        <v>15</v>
      </c>
      <c r="I231" s="5" t="s">
        <v>16</v>
      </c>
      <c r="J231" s="13" t="s">
        <v>655</v>
      </c>
      <c r="K231" s="20"/>
      <c r="L231" s="20"/>
    </row>
    <row r="232" spans="1:12">
      <c r="A232" s="2" t="s">
        <v>667</v>
      </c>
      <c r="B232" s="2">
        <v>3218481000</v>
      </c>
      <c r="C232" s="2">
        <v>1170</v>
      </c>
      <c r="D232" s="2" t="s">
        <v>668</v>
      </c>
      <c r="E232" s="2" t="s">
        <v>23</v>
      </c>
      <c r="F232" s="2" t="s">
        <v>24</v>
      </c>
      <c r="G232" s="5" t="s">
        <v>46</v>
      </c>
      <c r="H232" s="5" t="s">
        <v>15</v>
      </c>
      <c r="I232" s="5" t="s">
        <v>16</v>
      </c>
      <c r="J232" s="13" t="s">
        <v>655</v>
      </c>
      <c r="K232" s="20"/>
      <c r="L232" s="20"/>
    </row>
    <row r="233" spans="1:12">
      <c r="A233" s="2" t="s">
        <v>669</v>
      </c>
      <c r="B233" s="2">
        <v>3336841523</v>
      </c>
      <c r="C233" s="2">
        <v>750</v>
      </c>
      <c r="D233" s="2" t="s">
        <v>670</v>
      </c>
      <c r="E233" s="2" t="s">
        <v>280</v>
      </c>
      <c r="F233" s="2" t="s">
        <v>45</v>
      </c>
      <c r="G233" s="5" t="s">
        <v>671</v>
      </c>
      <c r="H233" s="5" t="s">
        <v>41</v>
      </c>
      <c r="I233" s="5" t="s">
        <v>16</v>
      </c>
      <c r="J233" s="13" t="s">
        <v>655</v>
      </c>
      <c r="K233" s="20"/>
      <c r="L233" s="20"/>
    </row>
    <row r="234" spans="1:12">
      <c r="A234" s="2" t="s">
        <v>672</v>
      </c>
      <c r="B234" s="2">
        <v>3062643135</v>
      </c>
      <c r="C234" s="2">
        <v>1350</v>
      </c>
      <c r="D234" s="2" t="s">
        <v>673</v>
      </c>
      <c r="E234" s="2" t="s">
        <v>23</v>
      </c>
      <c r="F234" s="2" t="s">
        <v>515</v>
      </c>
      <c r="G234" s="5" t="s">
        <v>632</v>
      </c>
      <c r="H234" s="5" t="s">
        <v>41</v>
      </c>
      <c r="I234" s="5" t="s">
        <v>16</v>
      </c>
      <c r="J234" s="13" t="s">
        <v>655</v>
      </c>
      <c r="K234" s="20"/>
      <c r="L234" s="20"/>
    </row>
    <row r="235" spans="1:12">
      <c r="A235" s="2" t="s">
        <v>674</v>
      </c>
      <c r="B235" s="2">
        <v>3313514458</v>
      </c>
      <c r="C235" s="2">
        <v>1750</v>
      </c>
      <c r="D235" s="2" t="s">
        <v>675</v>
      </c>
      <c r="E235" s="2" t="s">
        <v>125</v>
      </c>
      <c r="F235" s="2" t="s">
        <v>45</v>
      </c>
      <c r="G235" s="5" t="s">
        <v>676</v>
      </c>
      <c r="H235" s="5" t="s">
        <v>41</v>
      </c>
      <c r="I235" s="5" t="s">
        <v>16</v>
      </c>
      <c r="J235" s="13" t="s">
        <v>677</v>
      </c>
      <c r="K235" s="20"/>
      <c r="L235" s="20"/>
    </row>
    <row r="236" spans="1:12">
      <c r="A236" s="30" t="s">
        <v>678</v>
      </c>
      <c r="B236" s="30">
        <v>3458203470</v>
      </c>
      <c r="C236" s="30">
        <v>810</v>
      </c>
      <c r="D236" s="30" t="s">
        <v>679</v>
      </c>
      <c r="E236" s="30" t="s">
        <v>50</v>
      </c>
      <c r="F236" s="30" t="s">
        <v>24</v>
      </c>
      <c r="G236" s="31" t="s">
        <v>318</v>
      </c>
      <c r="H236" s="31" t="s">
        <v>15</v>
      </c>
      <c r="I236" s="31" t="s">
        <v>122</v>
      </c>
      <c r="J236" s="32" t="s">
        <v>677</v>
      </c>
      <c r="K236" s="53"/>
      <c r="L236" s="53"/>
    </row>
    <row r="237" spans="1:12">
      <c r="A237" s="2" t="s">
        <v>680</v>
      </c>
      <c r="B237" s="2">
        <v>3447067287</v>
      </c>
      <c r="C237" s="2">
        <v>1140</v>
      </c>
      <c r="D237" s="2" t="s">
        <v>681</v>
      </c>
      <c r="E237" s="2" t="s">
        <v>474</v>
      </c>
      <c r="F237" s="2" t="s">
        <v>45</v>
      </c>
      <c r="G237" s="5" t="s">
        <v>348</v>
      </c>
      <c r="H237" s="5" t="s">
        <v>15</v>
      </c>
      <c r="I237" s="5" t="s">
        <v>16</v>
      </c>
      <c r="J237" s="13" t="s">
        <v>677</v>
      </c>
      <c r="K237" s="20"/>
      <c r="L237" s="20"/>
    </row>
    <row r="238" spans="1:12">
      <c r="A238" s="2" t="s">
        <v>682</v>
      </c>
      <c r="B238" s="2">
        <v>3479292532</v>
      </c>
      <c r="C238" s="2">
        <v>1300</v>
      </c>
      <c r="D238" s="2" t="s">
        <v>683</v>
      </c>
      <c r="E238" s="2" t="s">
        <v>453</v>
      </c>
      <c r="F238" s="2" t="s">
        <v>45</v>
      </c>
      <c r="G238" s="5" t="s">
        <v>46</v>
      </c>
      <c r="H238" s="5" t="s">
        <v>15</v>
      </c>
      <c r="I238" s="5" t="s">
        <v>16</v>
      </c>
      <c r="J238" s="13" t="s">
        <v>677</v>
      </c>
      <c r="K238" s="20"/>
      <c r="L238" s="20"/>
    </row>
    <row r="239" spans="1:12">
      <c r="A239" s="2" t="s">
        <v>684</v>
      </c>
      <c r="B239" s="2">
        <v>3123549950</v>
      </c>
      <c r="C239" s="2">
        <v>1000</v>
      </c>
      <c r="D239" s="2" t="s">
        <v>685</v>
      </c>
      <c r="E239" s="2" t="s">
        <v>686</v>
      </c>
      <c r="F239" s="2" t="s">
        <v>31</v>
      </c>
      <c r="G239" s="5" t="s">
        <v>557</v>
      </c>
      <c r="H239" s="5" t="s">
        <v>15</v>
      </c>
      <c r="I239" s="5" t="s">
        <v>16</v>
      </c>
      <c r="J239" s="13" t="s">
        <v>677</v>
      </c>
      <c r="K239" s="20"/>
      <c r="L239" s="20"/>
    </row>
    <row r="240" spans="1:12">
      <c r="A240" s="2" t="s">
        <v>687</v>
      </c>
      <c r="B240" s="2">
        <v>3337400001</v>
      </c>
      <c r="C240" s="2">
        <v>930</v>
      </c>
      <c r="D240" s="2" t="s">
        <v>688</v>
      </c>
      <c r="E240" s="2" t="s">
        <v>50</v>
      </c>
      <c r="F240" s="2" t="s">
        <v>31</v>
      </c>
      <c r="G240" s="5" t="s">
        <v>557</v>
      </c>
      <c r="H240" s="5" t="s">
        <v>15</v>
      </c>
      <c r="I240" s="5" t="s">
        <v>16</v>
      </c>
      <c r="J240" s="13" t="s">
        <v>677</v>
      </c>
      <c r="K240" s="20"/>
      <c r="L240" s="20"/>
    </row>
    <row r="241" spans="1:12">
      <c r="A241" s="2" t="s">
        <v>689</v>
      </c>
      <c r="B241" s="2">
        <v>3128637219</v>
      </c>
      <c r="C241" s="2">
        <v>1150</v>
      </c>
      <c r="D241" s="2" t="s">
        <v>690</v>
      </c>
      <c r="E241" s="2" t="s">
        <v>50</v>
      </c>
      <c r="F241" s="2" t="s">
        <v>31</v>
      </c>
      <c r="G241" s="5" t="s">
        <v>46</v>
      </c>
      <c r="H241" s="5" t="s">
        <v>15</v>
      </c>
      <c r="I241" s="5" t="s">
        <v>16</v>
      </c>
      <c r="J241" s="13" t="s">
        <v>677</v>
      </c>
      <c r="K241" s="20"/>
      <c r="L241" s="20"/>
    </row>
    <row r="242" spans="1:12">
      <c r="A242" s="2" t="s">
        <v>691</v>
      </c>
      <c r="B242" s="2">
        <v>3045999001</v>
      </c>
      <c r="C242" s="2">
        <v>1200</v>
      </c>
      <c r="D242" s="2" t="s">
        <v>692</v>
      </c>
      <c r="E242" s="2" t="s">
        <v>50</v>
      </c>
      <c r="F242" s="2" t="s">
        <v>31</v>
      </c>
      <c r="G242" s="5" t="s">
        <v>693</v>
      </c>
      <c r="H242" s="5" t="s">
        <v>15</v>
      </c>
      <c r="I242" s="5" t="s">
        <v>16</v>
      </c>
      <c r="J242" s="13" t="s">
        <v>677</v>
      </c>
      <c r="K242" s="20"/>
      <c r="L242" s="20"/>
    </row>
    <row r="243" spans="1:12" ht="15.75" thickBot="1">
      <c r="A243" s="2" t="s">
        <v>694</v>
      </c>
      <c r="B243" s="2">
        <v>3151030034</v>
      </c>
      <c r="C243" s="2">
        <v>810</v>
      </c>
      <c r="D243" s="2" t="s">
        <v>695</v>
      </c>
      <c r="E243" s="2" t="s">
        <v>50</v>
      </c>
      <c r="F243" s="2" t="s">
        <v>24</v>
      </c>
      <c r="G243" s="5" t="s">
        <v>318</v>
      </c>
      <c r="H243" s="5" t="s">
        <v>15</v>
      </c>
      <c r="I243" s="5" t="s">
        <v>16</v>
      </c>
      <c r="J243" s="13" t="s">
        <v>677</v>
      </c>
      <c r="K243" s="20"/>
      <c r="L243" s="20"/>
    </row>
    <row r="244" spans="1:12">
      <c r="A244" s="8" t="s">
        <v>697</v>
      </c>
      <c r="B244" s="2">
        <v>3028265444</v>
      </c>
      <c r="C244" s="2">
        <v>1150</v>
      </c>
      <c r="D244" s="2" t="s">
        <v>698</v>
      </c>
      <c r="E244" s="2" t="s">
        <v>50</v>
      </c>
      <c r="F244" s="2" t="s">
        <v>515</v>
      </c>
      <c r="G244" s="5" t="s">
        <v>181</v>
      </c>
      <c r="H244" s="5" t="s">
        <v>15</v>
      </c>
      <c r="I244" s="5" t="s">
        <v>16</v>
      </c>
      <c r="J244" s="13" t="s">
        <v>699</v>
      </c>
      <c r="K244" s="20"/>
      <c r="L244" s="20"/>
    </row>
    <row r="245" spans="1:12">
      <c r="A245" s="2" t="s">
        <v>700</v>
      </c>
      <c r="B245" s="2">
        <v>3446396211</v>
      </c>
      <c r="C245" s="2">
        <v>1100</v>
      </c>
      <c r="D245" s="2" t="s">
        <v>701</v>
      </c>
      <c r="E245" s="2" t="s">
        <v>550</v>
      </c>
      <c r="F245" s="2" t="s">
        <v>515</v>
      </c>
      <c r="G245" s="5" t="s">
        <v>702</v>
      </c>
      <c r="H245" s="5" t="s">
        <v>41</v>
      </c>
      <c r="I245" s="5" t="s">
        <v>16</v>
      </c>
      <c r="J245" s="13" t="s">
        <v>699</v>
      </c>
      <c r="K245" s="20"/>
      <c r="L245" s="20"/>
    </row>
    <row r="246" spans="1:12">
      <c r="A246" s="2" t="s">
        <v>703</v>
      </c>
      <c r="B246" s="2">
        <v>3316884447</v>
      </c>
      <c r="C246" s="2">
        <v>1130</v>
      </c>
      <c r="D246" s="2" t="s">
        <v>704</v>
      </c>
      <c r="E246" s="2" t="s">
        <v>453</v>
      </c>
      <c r="F246" s="2" t="s">
        <v>31</v>
      </c>
      <c r="G246" s="5" t="s">
        <v>46</v>
      </c>
      <c r="H246" s="5" t="s">
        <v>41</v>
      </c>
      <c r="I246" s="5" t="s">
        <v>16</v>
      </c>
      <c r="J246" s="13" t="s">
        <v>699</v>
      </c>
      <c r="K246" s="20"/>
      <c r="L246" s="20"/>
    </row>
    <row r="247" spans="1:12">
      <c r="A247" s="2" t="s">
        <v>705</v>
      </c>
      <c r="B247" s="2">
        <v>3451643002</v>
      </c>
      <c r="C247" s="2">
        <v>830</v>
      </c>
      <c r="D247" s="2" t="s">
        <v>706</v>
      </c>
      <c r="E247" s="2" t="s">
        <v>23</v>
      </c>
      <c r="F247" s="2" t="s">
        <v>24</v>
      </c>
      <c r="G247" s="5" t="s">
        <v>318</v>
      </c>
      <c r="H247" s="5" t="s">
        <v>15</v>
      </c>
      <c r="I247" s="5" t="s">
        <v>16</v>
      </c>
      <c r="J247" s="13" t="s">
        <v>699</v>
      </c>
      <c r="K247" s="20"/>
      <c r="L247" s="20"/>
    </row>
    <row r="248" spans="1:12">
      <c r="A248" s="30" t="s">
        <v>707</v>
      </c>
      <c r="B248" s="30">
        <v>3480224998</v>
      </c>
      <c r="C248" s="30">
        <v>1300</v>
      </c>
      <c r="D248" s="30" t="s">
        <v>708</v>
      </c>
      <c r="E248" s="30" t="s">
        <v>148</v>
      </c>
      <c r="F248" s="30" t="s">
        <v>515</v>
      </c>
      <c r="G248" s="31" t="s">
        <v>632</v>
      </c>
      <c r="H248" s="31" t="s">
        <v>41</v>
      </c>
      <c r="I248" s="31" t="s">
        <v>122</v>
      </c>
      <c r="J248" s="32" t="s">
        <v>699</v>
      </c>
      <c r="K248" s="53"/>
      <c r="L248" s="53"/>
    </row>
    <row r="249" spans="1:12">
      <c r="A249" s="2" t="s">
        <v>709</v>
      </c>
      <c r="B249" s="2">
        <v>3430100223</v>
      </c>
      <c r="C249" s="2">
        <v>2600</v>
      </c>
      <c r="D249" s="2" t="s">
        <v>710</v>
      </c>
      <c r="E249" s="2" t="s">
        <v>23</v>
      </c>
      <c r="F249" s="2" t="s">
        <v>31</v>
      </c>
      <c r="G249" s="5" t="s">
        <v>711</v>
      </c>
      <c r="H249" s="5" t="s">
        <v>41</v>
      </c>
      <c r="I249" s="5" t="s">
        <v>16</v>
      </c>
      <c r="J249" s="13" t="s">
        <v>699</v>
      </c>
      <c r="K249" s="20"/>
      <c r="L249" s="20"/>
    </row>
    <row r="250" spans="1:12">
      <c r="A250" s="2" t="s">
        <v>727</v>
      </c>
      <c r="B250" s="2">
        <v>3023975197</v>
      </c>
      <c r="C250" s="2">
        <v>1900</v>
      </c>
      <c r="D250" s="2" t="s">
        <v>728</v>
      </c>
      <c r="E250" s="2" t="s">
        <v>125</v>
      </c>
      <c r="F250" s="2" t="s">
        <v>31</v>
      </c>
      <c r="G250" s="5" t="s">
        <v>372</v>
      </c>
      <c r="H250" s="5" t="s">
        <v>15</v>
      </c>
      <c r="I250" s="5" t="s">
        <v>16</v>
      </c>
      <c r="J250" s="13" t="s">
        <v>699</v>
      </c>
      <c r="K250" s="20"/>
      <c r="L250" s="20"/>
    </row>
    <row r="251" spans="1:12">
      <c r="A251" s="2" t="s">
        <v>729</v>
      </c>
      <c r="B251" s="2">
        <v>3022296281</v>
      </c>
      <c r="C251" s="2">
        <v>1000</v>
      </c>
      <c r="D251" s="2" t="s">
        <v>730</v>
      </c>
      <c r="E251" s="2" t="s">
        <v>731</v>
      </c>
      <c r="F251" s="2" t="s">
        <v>45</v>
      </c>
      <c r="G251" s="5" t="s">
        <v>557</v>
      </c>
      <c r="H251" s="5" t="s">
        <v>15</v>
      </c>
      <c r="I251" s="5" t="s">
        <v>16</v>
      </c>
      <c r="J251" s="13" t="s">
        <v>699</v>
      </c>
      <c r="K251" s="20"/>
      <c r="L251" s="20"/>
    </row>
    <row r="252" spans="1:12">
      <c r="A252" s="2" t="s">
        <v>732</v>
      </c>
      <c r="B252" s="2">
        <v>3417098506</v>
      </c>
      <c r="C252" s="2">
        <v>1230</v>
      </c>
      <c r="D252" s="2" t="s">
        <v>733</v>
      </c>
      <c r="E252" s="2" t="s">
        <v>50</v>
      </c>
      <c r="F252" s="2" t="s">
        <v>24</v>
      </c>
      <c r="G252" s="5" t="s">
        <v>303</v>
      </c>
      <c r="H252" s="5" t="s">
        <v>15</v>
      </c>
      <c r="I252" s="5" t="s">
        <v>16</v>
      </c>
      <c r="J252" s="13" t="s">
        <v>699</v>
      </c>
      <c r="K252" s="20"/>
      <c r="L252" s="20"/>
    </row>
    <row r="253" spans="1:12">
      <c r="A253" s="2" t="s">
        <v>737</v>
      </c>
      <c r="B253" s="2">
        <v>3316161193</v>
      </c>
      <c r="C253" s="2">
        <v>1140</v>
      </c>
      <c r="D253" s="2" t="s">
        <v>738</v>
      </c>
      <c r="E253" s="2" t="s">
        <v>170</v>
      </c>
      <c r="F253" s="2" t="s">
        <v>45</v>
      </c>
      <c r="G253" s="5" t="s">
        <v>736</v>
      </c>
      <c r="H253" s="5" t="s">
        <v>15</v>
      </c>
      <c r="I253" s="5" t="s">
        <v>16</v>
      </c>
      <c r="J253" s="13" t="s">
        <v>699</v>
      </c>
      <c r="K253" s="20"/>
      <c r="L253" s="20"/>
    </row>
    <row r="254" spans="1:12">
      <c r="A254" s="2" t="s">
        <v>734</v>
      </c>
      <c r="B254" s="2">
        <v>3000570683</v>
      </c>
      <c r="C254" s="2">
        <v>1500</v>
      </c>
      <c r="D254" s="2" t="s">
        <v>735</v>
      </c>
      <c r="E254" s="2" t="s">
        <v>12</v>
      </c>
      <c r="F254" s="2" t="s">
        <v>515</v>
      </c>
      <c r="G254" s="5" t="s">
        <v>632</v>
      </c>
      <c r="H254" s="5" t="s">
        <v>15</v>
      </c>
      <c r="I254" s="5" t="s">
        <v>16</v>
      </c>
      <c r="J254" s="13" t="s">
        <v>699</v>
      </c>
      <c r="K254" s="20"/>
      <c r="L254" s="20"/>
    </row>
    <row r="255" spans="1:12">
      <c r="A255" s="30" t="s">
        <v>712</v>
      </c>
      <c r="B255" s="30">
        <v>3162032302</v>
      </c>
      <c r="C255" s="30">
        <v>810</v>
      </c>
      <c r="D255" s="30" t="s">
        <v>718</v>
      </c>
      <c r="E255" s="30" t="s">
        <v>713</v>
      </c>
      <c r="F255" s="30" t="s">
        <v>714</v>
      </c>
      <c r="G255" s="30" t="s">
        <v>715</v>
      </c>
      <c r="H255" s="30" t="s">
        <v>716</v>
      </c>
      <c r="I255" s="30" t="s">
        <v>122</v>
      </c>
      <c r="J255" s="36" t="s">
        <v>717</v>
      </c>
      <c r="K255" s="53"/>
      <c r="L255" s="53"/>
    </row>
    <row r="256" spans="1:12">
      <c r="A256" s="2" t="s">
        <v>719</v>
      </c>
      <c r="B256" s="2">
        <v>3110265125</v>
      </c>
      <c r="C256" s="2">
        <v>960</v>
      </c>
      <c r="D256" s="2" t="s">
        <v>720</v>
      </c>
      <c r="E256" s="2" t="s">
        <v>713</v>
      </c>
      <c r="F256" s="2" t="s">
        <v>714</v>
      </c>
      <c r="G256" s="2" t="s">
        <v>420</v>
      </c>
      <c r="H256" s="2" t="s">
        <v>716</v>
      </c>
      <c r="I256" s="2" t="s">
        <v>16</v>
      </c>
      <c r="J256" s="12" t="s">
        <v>717</v>
      </c>
      <c r="K256" s="20"/>
      <c r="L256" s="20"/>
    </row>
    <row r="257" spans="1:12">
      <c r="A257" s="2" t="s">
        <v>722</v>
      </c>
      <c r="B257" s="2" t="s">
        <v>456</v>
      </c>
      <c r="C257" s="2">
        <v>900</v>
      </c>
      <c r="D257" s="2" t="s">
        <v>721</v>
      </c>
      <c r="E257" s="2" t="s">
        <v>713</v>
      </c>
      <c r="F257" s="2" t="s">
        <v>714</v>
      </c>
      <c r="G257" s="2"/>
      <c r="H257" s="2" t="s">
        <v>41</v>
      </c>
      <c r="I257" s="2" t="s">
        <v>16</v>
      </c>
      <c r="J257" s="12" t="s">
        <v>717</v>
      </c>
      <c r="K257" s="20"/>
      <c r="L257" s="20"/>
    </row>
    <row r="258" spans="1:12">
      <c r="A258" s="2" t="s">
        <v>723</v>
      </c>
      <c r="B258" s="2">
        <v>3453060329</v>
      </c>
      <c r="C258" s="2">
        <v>1110</v>
      </c>
      <c r="D258" s="2" t="s">
        <v>724</v>
      </c>
      <c r="E258" s="2" t="s">
        <v>713</v>
      </c>
      <c r="F258" s="2" t="s">
        <v>725</v>
      </c>
      <c r="G258" s="2" t="s">
        <v>726</v>
      </c>
      <c r="H258" s="2" t="s">
        <v>716</v>
      </c>
      <c r="I258" s="2" t="s">
        <v>16</v>
      </c>
      <c r="J258" s="12" t="s">
        <v>717</v>
      </c>
      <c r="K258" s="20"/>
      <c r="L258" s="20"/>
    </row>
    <row r="259" spans="1:12">
      <c r="A259" s="2" t="s">
        <v>709</v>
      </c>
      <c r="B259" s="2">
        <v>3430100223</v>
      </c>
      <c r="C259" s="2">
        <v>1450</v>
      </c>
      <c r="D259" s="2" t="s">
        <v>710</v>
      </c>
      <c r="E259" s="2" t="s">
        <v>23</v>
      </c>
      <c r="F259" s="2" t="s">
        <v>31</v>
      </c>
      <c r="G259" s="5" t="s">
        <v>726</v>
      </c>
      <c r="H259" s="5" t="s">
        <v>41</v>
      </c>
      <c r="I259" s="5" t="s">
        <v>16</v>
      </c>
      <c r="J259" s="13" t="s">
        <v>699</v>
      </c>
      <c r="K259" s="20"/>
      <c r="L259" s="20"/>
    </row>
    <row r="260" spans="1:12">
      <c r="A260" s="2" t="s">
        <v>739</v>
      </c>
      <c r="B260" s="2">
        <v>3330350428</v>
      </c>
      <c r="C260" s="2">
        <v>700</v>
      </c>
      <c r="D260" s="2" t="s">
        <v>740</v>
      </c>
      <c r="E260" s="2" t="s">
        <v>741</v>
      </c>
      <c r="F260" s="2" t="s">
        <v>24</v>
      </c>
      <c r="G260" s="2" t="s">
        <v>742</v>
      </c>
      <c r="H260" s="5" t="s">
        <v>15</v>
      </c>
      <c r="I260" s="2" t="s">
        <v>16</v>
      </c>
      <c r="J260" s="12">
        <v>42016</v>
      </c>
      <c r="K260" s="20"/>
      <c r="L260" s="20"/>
    </row>
    <row r="261" spans="1:12">
      <c r="A261" s="2" t="s">
        <v>743</v>
      </c>
      <c r="B261" s="2">
        <v>3330377333</v>
      </c>
      <c r="C261" s="2">
        <v>870</v>
      </c>
      <c r="D261" s="2" t="s">
        <v>744</v>
      </c>
      <c r="E261" s="2" t="s">
        <v>745</v>
      </c>
      <c r="F261" s="2" t="s">
        <v>24</v>
      </c>
      <c r="G261" s="2" t="s">
        <v>318</v>
      </c>
      <c r="H261" s="5" t="s">
        <v>15</v>
      </c>
      <c r="I261" s="2" t="s">
        <v>16</v>
      </c>
      <c r="J261" s="12">
        <v>42016</v>
      </c>
      <c r="K261" s="20"/>
      <c r="L261" s="20"/>
    </row>
    <row r="262" spans="1:12">
      <c r="A262" s="30" t="s">
        <v>746</v>
      </c>
      <c r="B262" s="30">
        <v>3339013930</v>
      </c>
      <c r="C262" s="30">
        <v>1290</v>
      </c>
      <c r="D262" s="30" t="s">
        <v>747</v>
      </c>
      <c r="E262" s="30" t="s">
        <v>76</v>
      </c>
      <c r="F262" s="30" t="s">
        <v>24</v>
      </c>
      <c r="G262" s="30" t="s">
        <v>446</v>
      </c>
      <c r="H262" s="31" t="s">
        <v>15</v>
      </c>
      <c r="I262" s="30" t="s">
        <v>122</v>
      </c>
      <c r="J262" s="36">
        <v>42016</v>
      </c>
      <c r="K262" s="53"/>
      <c r="L262" s="53"/>
    </row>
    <row r="263" spans="1:12">
      <c r="A263" s="2" t="s">
        <v>748</v>
      </c>
      <c r="B263" s="2">
        <v>3335170418</v>
      </c>
      <c r="C263" s="2">
        <v>1100</v>
      </c>
      <c r="D263" s="2" t="s">
        <v>749</v>
      </c>
      <c r="E263" s="2" t="s">
        <v>12</v>
      </c>
      <c r="F263" s="2" t="s">
        <v>45</v>
      </c>
      <c r="G263" s="2" t="s">
        <v>348</v>
      </c>
      <c r="H263" s="5" t="s">
        <v>15</v>
      </c>
      <c r="I263" s="2" t="s">
        <v>16</v>
      </c>
      <c r="J263" s="12">
        <v>42016</v>
      </c>
      <c r="K263" s="20"/>
      <c r="L263" s="20"/>
    </row>
    <row r="264" spans="1:12">
      <c r="A264" s="2" t="s">
        <v>750</v>
      </c>
      <c r="B264" s="2">
        <v>3043343118</v>
      </c>
      <c r="C264" s="2">
        <v>2950</v>
      </c>
      <c r="D264" s="2" t="s">
        <v>751</v>
      </c>
      <c r="E264" s="2" t="s">
        <v>125</v>
      </c>
      <c r="F264" s="2" t="s">
        <v>45</v>
      </c>
      <c r="G264" s="2" t="s">
        <v>752</v>
      </c>
      <c r="H264" s="5" t="s">
        <v>41</v>
      </c>
      <c r="I264" s="2" t="s">
        <v>16</v>
      </c>
      <c r="J264" s="12">
        <v>42016</v>
      </c>
      <c r="K264" s="20"/>
      <c r="L264" s="20"/>
    </row>
    <row r="265" spans="1:12">
      <c r="A265" s="2" t="s">
        <v>753</v>
      </c>
      <c r="B265" s="2">
        <v>3443230698</v>
      </c>
      <c r="C265" s="2">
        <v>1500</v>
      </c>
      <c r="D265" s="2" t="s">
        <v>754</v>
      </c>
      <c r="E265" s="2" t="s">
        <v>755</v>
      </c>
      <c r="F265" s="2" t="s">
        <v>515</v>
      </c>
      <c r="G265" s="2" t="s">
        <v>632</v>
      </c>
      <c r="H265" s="5" t="s">
        <v>41</v>
      </c>
      <c r="I265" s="2" t="s">
        <v>16</v>
      </c>
      <c r="J265" s="12">
        <v>42016</v>
      </c>
      <c r="K265" s="20"/>
      <c r="L265" s="20"/>
    </row>
    <row r="266" spans="1:12">
      <c r="A266" s="2" t="s">
        <v>756</v>
      </c>
      <c r="B266" s="2">
        <v>3313538399</v>
      </c>
      <c r="C266" s="2">
        <v>1350</v>
      </c>
      <c r="D266" s="2" t="s">
        <v>757</v>
      </c>
      <c r="E266" s="2" t="s">
        <v>125</v>
      </c>
      <c r="F266" s="2" t="s">
        <v>45</v>
      </c>
      <c r="G266" s="2" t="s">
        <v>726</v>
      </c>
      <c r="H266" s="5" t="s">
        <v>41</v>
      </c>
      <c r="I266" s="2" t="s">
        <v>16</v>
      </c>
      <c r="J266" s="12">
        <v>42016</v>
      </c>
      <c r="K266" s="20"/>
      <c r="L266" s="20"/>
    </row>
    <row r="267" spans="1:12">
      <c r="A267" s="2" t="s">
        <v>758</v>
      </c>
      <c r="B267" s="2">
        <v>3469000224</v>
      </c>
      <c r="C267" s="2">
        <v>1500</v>
      </c>
      <c r="D267" s="2" t="s">
        <v>759</v>
      </c>
      <c r="E267" s="2" t="s">
        <v>35</v>
      </c>
      <c r="F267" s="2" t="s">
        <v>45</v>
      </c>
      <c r="G267" s="2" t="s">
        <v>726</v>
      </c>
      <c r="H267" s="5" t="s">
        <v>41</v>
      </c>
      <c r="I267" s="2" t="s">
        <v>16</v>
      </c>
      <c r="J267" s="12">
        <v>42016</v>
      </c>
      <c r="K267" s="20"/>
      <c r="L267" s="20"/>
    </row>
    <row r="268" spans="1:12">
      <c r="A268" s="20" t="s">
        <v>760</v>
      </c>
      <c r="B268" s="20">
        <v>3112115833</v>
      </c>
      <c r="C268" s="2">
        <v>1600</v>
      </c>
      <c r="D268" s="20" t="s">
        <v>761</v>
      </c>
      <c r="E268" s="2" t="s">
        <v>50</v>
      </c>
      <c r="F268" s="2" t="s">
        <v>24</v>
      </c>
      <c r="G268" s="2" t="s">
        <v>762</v>
      </c>
      <c r="H268" s="5" t="s">
        <v>15</v>
      </c>
      <c r="I268" s="2" t="s">
        <v>16</v>
      </c>
      <c r="J268" s="12">
        <v>42106</v>
      </c>
      <c r="K268" s="20"/>
      <c r="L268" s="20"/>
    </row>
    <row r="269" spans="1:12">
      <c r="A269" s="2" t="s">
        <v>763</v>
      </c>
      <c r="B269" s="2">
        <v>3348000805</v>
      </c>
      <c r="C269" s="2">
        <v>1250</v>
      </c>
      <c r="D269" s="2" t="s">
        <v>764</v>
      </c>
      <c r="E269" s="2" t="s">
        <v>23</v>
      </c>
      <c r="F269" s="2" t="s">
        <v>24</v>
      </c>
      <c r="G269" s="2" t="s">
        <v>446</v>
      </c>
      <c r="H269" s="5" t="s">
        <v>15</v>
      </c>
      <c r="I269" s="2" t="s">
        <v>16</v>
      </c>
      <c r="J269" s="12">
        <v>42047</v>
      </c>
      <c r="K269" s="20"/>
      <c r="L269" s="20"/>
    </row>
    <row r="270" spans="1:12">
      <c r="A270" s="2" t="s">
        <v>765</v>
      </c>
      <c r="B270" s="2">
        <v>3349612737</v>
      </c>
      <c r="C270" s="2">
        <v>870</v>
      </c>
      <c r="D270" s="2" t="s">
        <v>766</v>
      </c>
      <c r="E270" s="2" t="s">
        <v>767</v>
      </c>
      <c r="F270" s="2" t="s">
        <v>24</v>
      </c>
      <c r="G270" s="2" t="s">
        <v>318</v>
      </c>
      <c r="H270" s="5" t="s">
        <v>15</v>
      </c>
      <c r="I270" s="2" t="s">
        <v>16</v>
      </c>
      <c r="J270" s="12">
        <v>42047</v>
      </c>
      <c r="K270" s="20"/>
      <c r="L270" s="20"/>
    </row>
    <row r="271" spans="1:12">
      <c r="A271" s="30" t="s">
        <v>768</v>
      </c>
      <c r="B271" s="30">
        <v>3238863226</v>
      </c>
      <c r="C271" s="30">
        <v>1000</v>
      </c>
      <c r="D271" s="30" t="s">
        <v>769</v>
      </c>
      <c r="E271" s="30" t="s">
        <v>23</v>
      </c>
      <c r="F271" s="30" t="s">
        <v>24</v>
      </c>
      <c r="G271" s="30" t="s">
        <v>420</v>
      </c>
      <c r="H271" s="31" t="s">
        <v>15</v>
      </c>
      <c r="I271" s="30" t="s">
        <v>122</v>
      </c>
      <c r="J271" s="36">
        <v>42047</v>
      </c>
      <c r="K271" s="53"/>
      <c r="L271" s="53"/>
    </row>
    <row r="272" spans="1:12">
      <c r="A272" s="2" t="s">
        <v>770</v>
      </c>
      <c r="B272" s="2">
        <v>3009383770</v>
      </c>
      <c r="C272" s="2">
        <v>1140</v>
      </c>
      <c r="D272" s="2" t="s">
        <v>771</v>
      </c>
      <c r="E272" s="2" t="s">
        <v>148</v>
      </c>
      <c r="F272" s="2" t="s">
        <v>45</v>
      </c>
      <c r="G272" s="2" t="s">
        <v>348</v>
      </c>
      <c r="H272" s="5" t="s">
        <v>15</v>
      </c>
      <c r="I272" s="2" t="s">
        <v>16</v>
      </c>
      <c r="J272" s="12">
        <v>42047</v>
      </c>
      <c r="K272" s="20"/>
      <c r="L272" s="20"/>
    </row>
    <row r="273" spans="1:12">
      <c r="A273" s="2" t="s">
        <v>772</v>
      </c>
      <c r="B273" s="2">
        <v>3214429242</v>
      </c>
      <c r="C273" s="2">
        <v>850</v>
      </c>
      <c r="D273" s="2" t="s">
        <v>773</v>
      </c>
      <c r="E273" s="2" t="s">
        <v>23</v>
      </c>
      <c r="F273" s="2" t="s">
        <v>24</v>
      </c>
      <c r="G273" s="2" t="s">
        <v>110</v>
      </c>
      <c r="H273" s="5" t="s">
        <v>15</v>
      </c>
      <c r="I273" s="2" t="s">
        <v>16</v>
      </c>
      <c r="J273" s="12">
        <v>42047</v>
      </c>
      <c r="K273" s="20"/>
      <c r="L273" s="20"/>
    </row>
    <row r="274" spans="1:12">
      <c r="A274" s="2" t="s">
        <v>774</v>
      </c>
      <c r="B274" s="2">
        <v>3459058303</v>
      </c>
      <c r="C274" s="2">
        <v>1000</v>
      </c>
      <c r="D274" s="2" t="s">
        <v>775</v>
      </c>
      <c r="E274" s="2" t="s">
        <v>35</v>
      </c>
      <c r="F274" s="2" t="s">
        <v>24</v>
      </c>
      <c r="G274" s="2" t="s">
        <v>420</v>
      </c>
      <c r="H274" s="5" t="s">
        <v>15</v>
      </c>
      <c r="I274" s="2" t="s">
        <v>16</v>
      </c>
      <c r="J274" s="12">
        <v>42047</v>
      </c>
      <c r="K274" s="20"/>
      <c r="L274" s="20"/>
    </row>
    <row r="275" spans="1:12">
      <c r="A275" s="2" t="s">
        <v>776</v>
      </c>
      <c r="B275" s="2">
        <v>3335315332</v>
      </c>
      <c r="C275" s="2">
        <v>1250</v>
      </c>
      <c r="D275" s="2" t="s">
        <v>777</v>
      </c>
      <c r="E275" s="2" t="s">
        <v>23</v>
      </c>
      <c r="F275" s="2" t="s">
        <v>24</v>
      </c>
      <c r="G275" s="2" t="s">
        <v>303</v>
      </c>
      <c r="H275" s="5" t="s">
        <v>15</v>
      </c>
      <c r="I275" s="2" t="s">
        <v>16</v>
      </c>
      <c r="J275" s="12">
        <v>42047</v>
      </c>
      <c r="K275" s="20"/>
      <c r="L275" s="20"/>
    </row>
    <row r="276" spans="1:12">
      <c r="A276" s="2" t="s">
        <v>778</v>
      </c>
      <c r="B276" s="2">
        <v>3068727512</v>
      </c>
      <c r="C276" s="2">
        <v>950</v>
      </c>
      <c r="D276" s="2" t="s">
        <v>779</v>
      </c>
      <c r="E276" s="2" t="s">
        <v>550</v>
      </c>
      <c r="F276" s="2" t="s">
        <v>45</v>
      </c>
      <c r="G276" s="2" t="s">
        <v>557</v>
      </c>
      <c r="H276" s="5" t="s">
        <v>15</v>
      </c>
      <c r="I276" s="2" t="s">
        <v>16</v>
      </c>
      <c r="J276" s="12">
        <v>42047</v>
      </c>
      <c r="K276" s="20"/>
      <c r="L276" s="20"/>
    </row>
    <row r="277" spans="1:12">
      <c r="A277" s="2" t="s">
        <v>780</v>
      </c>
      <c r="B277" s="2">
        <v>3242828490</v>
      </c>
      <c r="C277" s="2">
        <v>1100</v>
      </c>
      <c r="D277" s="2" t="s">
        <v>781</v>
      </c>
      <c r="E277" s="2" t="s">
        <v>50</v>
      </c>
      <c r="F277" s="2" t="s">
        <v>45</v>
      </c>
      <c r="G277" s="2" t="s">
        <v>782</v>
      </c>
      <c r="H277" s="5" t="s">
        <v>15</v>
      </c>
      <c r="I277" s="2" t="s">
        <v>16</v>
      </c>
      <c r="J277" s="12">
        <v>42106</v>
      </c>
      <c r="K277" s="20"/>
      <c r="L277" s="20"/>
    </row>
    <row r="278" spans="1:12">
      <c r="A278" s="2" t="s">
        <v>783</v>
      </c>
      <c r="B278" s="2">
        <v>3212388329</v>
      </c>
      <c r="C278" s="2">
        <v>1300</v>
      </c>
      <c r="D278" s="2" t="s">
        <v>784</v>
      </c>
      <c r="E278" s="2" t="s">
        <v>50</v>
      </c>
      <c r="F278" s="2" t="s">
        <v>24</v>
      </c>
      <c r="G278" s="2" t="s">
        <v>420</v>
      </c>
      <c r="H278" s="5" t="s">
        <v>41</v>
      </c>
      <c r="I278" s="2" t="s">
        <v>16</v>
      </c>
      <c r="J278" s="12">
        <v>42106</v>
      </c>
      <c r="K278" s="20"/>
      <c r="L278" s="20"/>
    </row>
    <row r="279" spans="1:12">
      <c r="A279" s="2" t="s">
        <v>785</v>
      </c>
      <c r="B279" s="2">
        <v>3343509054</v>
      </c>
      <c r="C279" s="2">
        <v>1230</v>
      </c>
      <c r="D279" s="2" t="s">
        <v>786</v>
      </c>
      <c r="E279" s="2" t="s">
        <v>50</v>
      </c>
      <c r="F279" s="2" t="s">
        <v>45</v>
      </c>
      <c r="G279" s="2" t="s">
        <v>633</v>
      </c>
      <c r="H279" s="5" t="s">
        <v>15</v>
      </c>
      <c r="I279" s="2" t="s">
        <v>16</v>
      </c>
      <c r="J279" s="12">
        <v>42106</v>
      </c>
      <c r="K279" s="20"/>
      <c r="L279" s="20"/>
    </row>
    <row r="280" spans="1:12">
      <c r="A280" s="2" t="s">
        <v>787</v>
      </c>
      <c r="B280" s="2">
        <v>3332380958</v>
      </c>
      <c r="C280" s="2">
        <v>1220</v>
      </c>
      <c r="D280" s="2" t="s">
        <v>788</v>
      </c>
      <c r="E280" s="2" t="s">
        <v>50</v>
      </c>
      <c r="F280" s="2" t="s">
        <v>24</v>
      </c>
      <c r="G280" s="2" t="s">
        <v>789</v>
      </c>
      <c r="H280" s="5" t="s">
        <v>15</v>
      </c>
      <c r="I280" s="2" t="s">
        <v>16</v>
      </c>
      <c r="J280" s="12">
        <v>42106</v>
      </c>
      <c r="K280" s="20"/>
      <c r="L280" s="20"/>
    </row>
    <row r="281" spans="1:12">
      <c r="A281" s="2" t="s">
        <v>790</v>
      </c>
      <c r="B281" s="2">
        <v>3335007679</v>
      </c>
      <c r="C281" s="2">
        <v>750</v>
      </c>
      <c r="D281" s="2" t="s">
        <v>791</v>
      </c>
      <c r="E281" s="2" t="s">
        <v>792</v>
      </c>
      <c r="F281" s="2" t="s">
        <v>45</v>
      </c>
      <c r="G281" s="2" t="s">
        <v>671</v>
      </c>
      <c r="H281" s="5" t="s">
        <v>41</v>
      </c>
      <c r="I281" s="2" t="s">
        <v>16</v>
      </c>
      <c r="J281" s="12">
        <v>42106</v>
      </c>
      <c r="K281" s="20"/>
      <c r="L281" s="20"/>
    </row>
    <row r="282" spans="1:12">
      <c r="A282" s="2" t="s">
        <v>793</v>
      </c>
      <c r="B282" s="2">
        <v>3331294639</v>
      </c>
      <c r="C282" s="2">
        <v>1500</v>
      </c>
      <c r="D282" s="2" t="s">
        <v>794</v>
      </c>
      <c r="E282" s="2" t="s">
        <v>125</v>
      </c>
      <c r="F282" s="2" t="s">
        <v>515</v>
      </c>
      <c r="G282" s="2" t="s">
        <v>632</v>
      </c>
      <c r="H282" s="5" t="s">
        <v>41</v>
      </c>
      <c r="I282" s="2" t="s">
        <v>16</v>
      </c>
      <c r="J282" s="12">
        <v>42106</v>
      </c>
      <c r="K282" s="20"/>
      <c r="L282" s="20"/>
    </row>
    <row r="283" spans="1:12">
      <c r="A283" s="2" t="s">
        <v>796</v>
      </c>
      <c r="B283" s="2">
        <v>3435282919</v>
      </c>
      <c r="C283" s="2">
        <v>1500</v>
      </c>
      <c r="D283" s="2" t="s">
        <v>797</v>
      </c>
      <c r="E283" s="2" t="s">
        <v>125</v>
      </c>
      <c r="F283" s="2" t="s">
        <v>45</v>
      </c>
      <c r="G283" s="2" t="s">
        <v>795</v>
      </c>
      <c r="H283" s="5" t="s">
        <v>41</v>
      </c>
      <c r="I283" s="2" t="s">
        <v>16</v>
      </c>
      <c r="J283" s="12">
        <v>42106</v>
      </c>
      <c r="K283" s="1"/>
      <c r="L283" s="24"/>
    </row>
    <row r="284" spans="1:12">
      <c r="A284" s="2" t="s">
        <v>798</v>
      </c>
      <c r="B284" s="2">
        <v>3008144988</v>
      </c>
      <c r="C284" s="2">
        <v>950</v>
      </c>
      <c r="D284" s="2" t="s">
        <v>799</v>
      </c>
      <c r="E284" s="2" t="s">
        <v>23</v>
      </c>
      <c r="F284" s="2" t="s">
        <v>45</v>
      </c>
      <c r="G284" s="2" t="s">
        <v>557</v>
      </c>
      <c r="H284" s="5" t="s">
        <v>15</v>
      </c>
      <c r="I284" s="2" t="s">
        <v>16</v>
      </c>
      <c r="J284" s="12">
        <v>42106</v>
      </c>
      <c r="K284" s="20"/>
      <c r="L284" s="20"/>
    </row>
    <row r="285" spans="1:12">
      <c r="A285" s="2" t="s">
        <v>800</v>
      </c>
      <c r="B285" s="2">
        <v>3454687068</v>
      </c>
      <c r="C285" s="2">
        <v>1120</v>
      </c>
      <c r="D285" s="2" t="s">
        <v>801</v>
      </c>
      <c r="E285" s="2" t="s">
        <v>23</v>
      </c>
      <c r="F285" s="2" t="s">
        <v>24</v>
      </c>
      <c r="G285" s="2" t="s">
        <v>802</v>
      </c>
      <c r="H285" s="5" t="s">
        <v>15</v>
      </c>
      <c r="I285" s="2" t="s">
        <v>16</v>
      </c>
      <c r="J285" s="12">
        <v>42106</v>
      </c>
      <c r="K285" s="20"/>
      <c r="L285" s="20"/>
    </row>
    <row r="286" spans="1:12">
      <c r="A286" s="2" t="s">
        <v>803</v>
      </c>
      <c r="B286" s="2">
        <v>3035735688</v>
      </c>
      <c r="C286" s="2">
        <v>950</v>
      </c>
      <c r="D286" s="2" t="s">
        <v>804</v>
      </c>
      <c r="E286" s="2" t="s">
        <v>19</v>
      </c>
      <c r="F286" s="2" t="s">
        <v>45</v>
      </c>
      <c r="G286" s="2" t="s">
        <v>557</v>
      </c>
      <c r="H286" s="5" t="s">
        <v>15</v>
      </c>
      <c r="I286" s="2" t="s">
        <v>16</v>
      </c>
      <c r="J286" s="12">
        <v>42106</v>
      </c>
      <c r="K286" s="20"/>
      <c r="L286" s="20"/>
    </row>
    <row r="287" spans="1:12">
      <c r="A287" s="2" t="s">
        <v>805</v>
      </c>
      <c r="B287" s="2">
        <v>3335528384</v>
      </c>
      <c r="C287" s="2">
        <v>1020</v>
      </c>
      <c r="D287" s="2" t="s">
        <v>806</v>
      </c>
      <c r="E287" s="2" t="s">
        <v>792</v>
      </c>
      <c r="F287" s="2" t="s">
        <v>24</v>
      </c>
      <c r="G287" s="2" t="s">
        <v>420</v>
      </c>
      <c r="H287" s="5" t="s">
        <v>15</v>
      </c>
      <c r="I287" s="2" t="s">
        <v>16</v>
      </c>
      <c r="J287" s="12">
        <v>42106</v>
      </c>
      <c r="K287" s="20"/>
      <c r="L287" s="20"/>
    </row>
    <row r="288" spans="1:12">
      <c r="A288" s="2" t="s">
        <v>807</v>
      </c>
      <c r="B288" s="2">
        <v>3007699957</v>
      </c>
      <c r="C288" s="2">
        <v>1200</v>
      </c>
      <c r="D288" s="2" t="s">
        <v>808</v>
      </c>
      <c r="E288" s="2" t="s">
        <v>174</v>
      </c>
      <c r="F288" s="2" t="s">
        <v>515</v>
      </c>
      <c r="G288" s="2" t="s">
        <v>594</v>
      </c>
      <c r="H288" s="5" t="s">
        <v>15</v>
      </c>
      <c r="I288" s="2" t="s">
        <v>16</v>
      </c>
      <c r="J288" s="12">
        <v>42106</v>
      </c>
      <c r="K288" s="20"/>
      <c r="L288" s="20"/>
    </row>
    <row r="289" spans="1:12">
      <c r="A289" s="2" t="s">
        <v>809</v>
      </c>
      <c r="B289" s="2">
        <v>3218739739</v>
      </c>
      <c r="C289" s="2">
        <v>1000</v>
      </c>
      <c r="D289" s="2" t="s">
        <v>810</v>
      </c>
      <c r="E289" s="2" t="s">
        <v>23</v>
      </c>
      <c r="F289" s="2" t="s">
        <v>24</v>
      </c>
      <c r="G289" s="2" t="s">
        <v>420</v>
      </c>
      <c r="H289" s="5" t="s">
        <v>15</v>
      </c>
      <c r="I289" s="2" t="s">
        <v>16</v>
      </c>
      <c r="J289" s="12">
        <v>42106</v>
      </c>
      <c r="K289" s="20"/>
      <c r="L289" s="20"/>
    </row>
    <row r="290" spans="1:12">
      <c r="A290" s="2" t="s">
        <v>811</v>
      </c>
      <c r="B290" s="2">
        <v>3126644372</v>
      </c>
      <c r="C290" s="2">
        <v>1290</v>
      </c>
      <c r="D290" s="2" t="s">
        <v>812</v>
      </c>
      <c r="E290" s="2" t="s">
        <v>813</v>
      </c>
      <c r="F290" s="2" t="s">
        <v>24</v>
      </c>
      <c r="G290" s="2" t="s">
        <v>303</v>
      </c>
      <c r="H290" s="5" t="s">
        <v>15</v>
      </c>
      <c r="I290" s="2" t="s">
        <v>16</v>
      </c>
      <c r="J290" s="12">
        <v>42106</v>
      </c>
      <c r="K290" s="20"/>
      <c r="L290" s="20"/>
    </row>
    <row r="291" spans="1:12">
      <c r="A291" s="30" t="s">
        <v>814</v>
      </c>
      <c r="B291" s="30">
        <v>3004867728</v>
      </c>
      <c r="C291" s="30">
        <v>1470</v>
      </c>
      <c r="D291" s="30" t="s">
        <v>815</v>
      </c>
      <c r="E291" s="30" t="s">
        <v>230</v>
      </c>
      <c r="F291" s="30" t="s">
        <v>24</v>
      </c>
      <c r="G291" s="30" t="s">
        <v>816</v>
      </c>
      <c r="H291" s="31" t="s">
        <v>15</v>
      </c>
      <c r="I291" s="30" t="s">
        <v>122</v>
      </c>
      <c r="J291" s="36">
        <v>42106</v>
      </c>
      <c r="K291" s="53"/>
      <c r="L291" s="53"/>
    </row>
    <row r="292" spans="1:12">
      <c r="A292" s="2" t="s">
        <v>817</v>
      </c>
      <c r="B292" s="2">
        <v>3451995204</v>
      </c>
      <c r="C292" s="2">
        <v>1500</v>
      </c>
      <c r="D292" s="2" t="s">
        <v>818</v>
      </c>
      <c r="E292" s="2" t="s">
        <v>50</v>
      </c>
      <c r="F292" s="2" t="s">
        <v>133</v>
      </c>
      <c r="G292" s="2" t="s">
        <v>134</v>
      </c>
      <c r="H292" s="5" t="s">
        <v>41</v>
      </c>
      <c r="I292" s="2" t="s">
        <v>16</v>
      </c>
      <c r="J292" s="12">
        <v>42197</v>
      </c>
      <c r="K292" s="20"/>
      <c r="L292" s="20"/>
    </row>
    <row r="293" spans="1:12">
      <c r="A293" s="2" t="s">
        <v>819</v>
      </c>
      <c r="B293" s="2">
        <v>3343755124</v>
      </c>
      <c r="C293" s="2">
        <v>1500</v>
      </c>
      <c r="D293" s="2" t="s">
        <v>820</v>
      </c>
      <c r="E293" s="2" t="s">
        <v>50</v>
      </c>
      <c r="F293" s="2" t="s">
        <v>515</v>
      </c>
      <c r="G293" s="2" t="s">
        <v>632</v>
      </c>
      <c r="H293" s="5" t="s">
        <v>41</v>
      </c>
      <c r="I293" s="2" t="s">
        <v>16</v>
      </c>
      <c r="J293" s="28">
        <v>42228</v>
      </c>
      <c r="K293" s="20"/>
      <c r="L293" s="20"/>
    </row>
    <row r="294" spans="1:12">
      <c r="A294" s="2" t="s">
        <v>819</v>
      </c>
      <c r="B294" s="2">
        <v>3162586693</v>
      </c>
      <c r="C294" s="2">
        <v>900</v>
      </c>
      <c r="D294" s="2" t="s">
        <v>821</v>
      </c>
      <c r="E294" s="2" t="s">
        <v>50</v>
      </c>
      <c r="F294" s="2" t="s">
        <v>45</v>
      </c>
      <c r="G294" s="2" t="s">
        <v>557</v>
      </c>
      <c r="H294" s="5" t="s">
        <v>41</v>
      </c>
      <c r="I294" s="2" t="s">
        <v>16</v>
      </c>
      <c r="J294" s="28">
        <v>42228</v>
      </c>
      <c r="K294" s="20"/>
      <c r="L294" s="20"/>
    </row>
    <row r="295" spans="1:12">
      <c r="A295" s="2" t="s">
        <v>822</v>
      </c>
      <c r="B295" s="20">
        <v>3363002138</v>
      </c>
      <c r="C295" s="2">
        <v>1500</v>
      </c>
      <c r="D295" s="2" t="s">
        <v>823</v>
      </c>
      <c r="E295" s="2" t="s">
        <v>50</v>
      </c>
      <c r="F295" s="2" t="s">
        <v>24</v>
      </c>
      <c r="G295" s="2" t="s">
        <v>824</v>
      </c>
      <c r="H295" s="5" t="s">
        <v>41</v>
      </c>
      <c r="I295" s="2" t="s">
        <v>16</v>
      </c>
      <c r="J295" s="28">
        <v>42228</v>
      </c>
      <c r="K295" s="20"/>
      <c r="L295" s="20"/>
    </row>
    <row r="296" spans="1:12">
      <c r="A296" s="2" t="s">
        <v>756</v>
      </c>
      <c r="B296" s="2">
        <v>3313538399</v>
      </c>
      <c r="C296" s="2">
        <v>250</v>
      </c>
      <c r="D296" s="2" t="s">
        <v>757</v>
      </c>
      <c r="E296" s="2" t="s">
        <v>125</v>
      </c>
      <c r="F296" s="2" t="s">
        <v>45</v>
      </c>
      <c r="G296" s="2" t="s">
        <v>726</v>
      </c>
      <c r="H296" s="5" t="s">
        <v>41</v>
      </c>
      <c r="I296" s="2" t="s">
        <v>16</v>
      </c>
      <c r="J296" s="12">
        <v>42228</v>
      </c>
      <c r="K296" s="20"/>
      <c r="L296" s="20"/>
    </row>
    <row r="297" spans="1:12">
      <c r="A297" s="2" t="s">
        <v>825</v>
      </c>
      <c r="B297" s="2">
        <v>3423658160</v>
      </c>
      <c r="C297" s="2">
        <v>1170</v>
      </c>
      <c r="D297" s="2" t="s">
        <v>826</v>
      </c>
      <c r="E297" s="2" t="s">
        <v>125</v>
      </c>
      <c r="F297" s="2" t="s">
        <v>45</v>
      </c>
      <c r="G297" s="2" t="s">
        <v>827</v>
      </c>
      <c r="H297" s="5" t="s">
        <v>15</v>
      </c>
      <c r="I297" s="2" t="s">
        <v>16</v>
      </c>
      <c r="J297" s="12">
        <v>42228</v>
      </c>
      <c r="K297" s="20"/>
      <c r="L297" s="20"/>
    </row>
    <row r="298" spans="1:12">
      <c r="A298" s="30" t="s">
        <v>828</v>
      </c>
      <c r="B298" s="30">
        <v>3322214786</v>
      </c>
      <c r="C298" s="30">
        <v>1020</v>
      </c>
      <c r="D298" s="30" t="s">
        <v>829</v>
      </c>
      <c r="E298" s="30" t="s">
        <v>40</v>
      </c>
      <c r="F298" s="30" t="s">
        <v>24</v>
      </c>
      <c r="G298" s="30" t="s">
        <v>420</v>
      </c>
      <c r="H298" s="31" t="s">
        <v>15</v>
      </c>
      <c r="I298" s="30" t="s">
        <v>122</v>
      </c>
      <c r="J298" s="36">
        <v>42228</v>
      </c>
      <c r="K298" s="53"/>
      <c r="L298" s="53"/>
    </row>
    <row r="299" spans="1:12">
      <c r="A299" s="2" t="s">
        <v>839</v>
      </c>
      <c r="B299" s="2">
        <v>3202727166</v>
      </c>
      <c r="C299" s="2">
        <v>950</v>
      </c>
      <c r="D299" s="2" t="s">
        <v>840</v>
      </c>
      <c r="E299" s="2" t="s">
        <v>23</v>
      </c>
      <c r="F299" s="2" t="s">
        <v>45</v>
      </c>
      <c r="G299" s="2" t="s">
        <v>557</v>
      </c>
      <c r="H299" s="2" t="s">
        <v>15</v>
      </c>
      <c r="I299" s="2" t="s">
        <v>16</v>
      </c>
      <c r="J299" s="12">
        <v>42228</v>
      </c>
      <c r="K299" s="20"/>
      <c r="L299" s="20"/>
    </row>
    <row r="300" spans="1:12">
      <c r="A300" s="2" t="s">
        <v>841</v>
      </c>
      <c r="B300" s="2">
        <v>3431514024</v>
      </c>
      <c r="C300" s="2">
        <v>2250</v>
      </c>
      <c r="D300" s="2" t="s">
        <v>842</v>
      </c>
      <c r="E300" s="2" t="s">
        <v>12</v>
      </c>
      <c r="F300" s="2" t="s">
        <v>45</v>
      </c>
      <c r="G300" s="2" t="s">
        <v>843</v>
      </c>
      <c r="H300" s="2" t="s">
        <v>41</v>
      </c>
      <c r="I300" s="2" t="s">
        <v>16</v>
      </c>
      <c r="J300" s="12">
        <v>42228</v>
      </c>
      <c r="K300" s="20"/>
      <c r="L300" s="20"/>
    </row>
    <row r="301" spans="1:12">
      <c r="A301" s="2" t="s">
        <v>844</v>
      </c>
      <c r="B301" s="2">
        <v>3365346459</v>
      </c>
      <c r="C301" s="2">
        <v>950</v>
      </c>
      <c r="D301" s="2" t="s">
        <v>845</v>
      </c>
      <c r="E301" s="2" t="s">
        <v>19</v>
      </c>
      <c r="F301" s="2" t="s">
        <v>45</v>
      </c>
      <c r="G301" s="2" t="s">
        <v>557</v>
      </c>
      <c r="H301" s="2" t="s">
        <v>15</v>
      </c>
      <c r="I301" s="2" t="s">
        <v>16</v>
      </c>
      <c r="J301" s="12">
        <v>42228</v>
      </c>
      <c r="K301" s="20"/>
      <c r="L301" s="20"/>
    </row>
    <row r="302" spans="1:12">
      <c r="A302" s="2" t="s">
        <v>846</v>
      </c>
      <c r="B302" s="2">
        <v>3345859538</v>
      </c>
      <c r="C302" s="2">
        <v>680</v>
      </c>
      <c r="D302" s="2" t="s">
        <v>847</v>
      </c>
      <c r="E302" s="2" t="s">
        <v>12</v>
      </c>
      <c r="F302" s="2" t="s">
        <v>24</v>
      </c>
      <c r="G302" s="2" t="s">
        <v>259</v>
      </c>
      <c r="H302" s="2" t="s">
        <v>15</v>
      </c>
      <c r="I302" s="2" t="s">
        <v>16</v>
      </c>
      <c r="J302" s="12">
        <v>42228</v>
      </c>
      <c r="K302" s="20"/>
      <c r="L302" s="20"/>
    </row>
    <row r="303" spans="1:12">
      <c r="A303" s="2" t="s">
        <v>848</v>
      </c>
      <c r="B303" s="2">
        <v>3319387977</v>
      </c>
      <c r="C303" s="2">
        <v>1140</v>
      </c>
      <c r="D303" s="2" t="s">
        <v>849</v>
      </c>
      <c r="E303" s="2" t="s">
        <v>148</v>
      </c>
      <c r="F303" s="2" t="s">
        <v>45</v>
      </c>
      <c r="G303" s="2" t="s">
        <v>348</v>
      </c>
      <c r="H303" s="2" t="s">
        <v>15</v>
      </c>
      <c r="I303" s="2" t="s">
        <v>16</v>
      </c>
      <c r="J303" s="12">
        <v>42228</v>
      </c>
      <c r="K303" s="20"/>
      <c r="L303" s="20"/>
    </row>
    <row r="304" spans="1:12">
      <c r="A304" s="2" t="s">
        <v>850</v>
      </c>
      <c r="B304" s="2">
        <v>3333732020</v>
      </c>
      <c r="C304" s="2">
        <v>1600</v>
      </c>
      <c r="D304" s="2" t="s">
        <v>851</v>
      </c>
      <c r="E304" s="2" t="s">
        <v>852</v>
      </c>
      <c r="F304" s="2" t="s">
        <v>24</v>
      </c>
      <c r="G304" s="2" t="s">
        <v>860</v>
      </c>
      <c r="H304" s="2" t="s">
        <v>41</v>
      </c>
      <c r="I304" s="2" t="s">
        <v>16</v>
      </c>
      <c r="J304" s="12">
        <v>42228</v>
      </c>
      <c r="K304" s="20"/>
      <c r="L304" s="20"/>
    </row>
    <row r="305" spans="1:12">
      <c r="A305" s="2" t="s">
        <v>853</v>
      </c>
      <c r="B305" s="2">
        <v>3103315164</v>
      </c>
      <c r="C305" s="2">
        <v>1430</v>
      </c>
      <c r="D305" s="2" t="s">
        <v>854</v>
      </c>
      <c r="E305" s="2" t="s">
        <v>201</v>
      </c>
      <c r="F305" s="2" t="s">
        <v>133</v>
      </c>
      <c r="G305" s="2" t="s">
        <v>816</v>
      </c>
      <c r="H305" s="2" t="s">
        <v>15</v>
      </c>
      <c r="I305" s="2" t="s">
        <v>16</v>
      </c>
      <c r="J305" s="12">
        <v>42228</v>
      </c>
      <c r="K305" s="20"/>
      <c r="L305" s="20"/>
    </row>
    <row r="306" spans="1:12">
      <c r="A306" s="30" t="s">
        <v>855</v>
      </c>
      <c r="B306" s="30">
        <v>3149234627</v>
      </c>
      <c r="C306" s="30">
        <v>1120</v>
      </c>
      <c r="D306" s="30" t="s">
        <v>856</v>
      </c>
      <c r="E306" s="30" t="s">
        <v>35</v>
      </c>
      <c r="F306" s="30" t="s">
        <v>45</v>
      </c>
      <c r="G306" s="30" t="s">
        <v>100</v>
      </c>
      <c r="H306" s="30" t="s">
        <v>15</v>
      </c>
      <c r="I306" s="30" t="s">
        <v>122</v>
      </c>
      <c r="J306" s="36">
        <v>42228</v>
      </c>
      <c r="K306" s="53"/>
      <c r="L306" s="53"/>
    </row>
    <row r="307" spans="1:12">
      <c r="A307" s="2" t="s">
        <v>857</v>
      </c>
      <c r="B307" s="2">
        <v>3222852980</v>
      </c>
      <c r="C307" s="2">
        <v>1300</v>
      </c>
      <c r="D307" s="2" t="s">
        <v>858</v>
      </c>
      <c r="E307" s="2" t="s">
        <v>50</v>
      </c>
      <c r="F307" s="2" t="s">
        <v>45</v>
      </c>
      <c r="G307" s="2" t="s">
        <v>859</v>
      </c>
      <c r="H307" s="2" t="s">
        <v>41</v>
      </c>
      <c r="I307" s="2" t="s">
        <v>16</v>
      </c>
      <c r="J307" s="25">
        <v>42259</v>
      </c>
      <c r="K307" s="20"/>
      <c r="L307" s="20"/>
    </row>
    <row r="308" spans="1:12">
      <c r="A308" s="2" t="s">
        <v>861</v>
      </c>
      <c r="B308" s="2">
        <v>3462004228</v>
      </c>
      <c r="C308" s="2">
        <v>1500</v>
      </c>
      <c r="D308" s="2" t="s">
        <v>862</v>
      </c>
      <c r="E308" s="2" t="s">
        <v>50</v>
      </c>
      <c r="F308" s="2" t="s">
        <v>24</v>
      </c>
      <c r="G308" s="2" t="s">
        <v>145</v>
      </c>
      <c r="H308" s="2" t="s">
        <v>15</v>
      </c>
      <c r="I308" s="2" t="s">
        <v>16</v>
      </c>
      <c r="J308" s="25">
        <v>42289</v>
      </c>
      <c r="K308" s="20"/>
      <c r="L308" s="20"/>
    </row>
    <row r="309" spans="1:12">
      <c r="A309" s="2" t="s">
        <v>863</v>
      </c>
      <c r="B309" s="2">
        <v>3084247557</v>
      </c>
      <c r="C309" s="2">
        <v>950</v>
      </c>
      <c r="D309" s="2" t="s">
        <v>864</v>
      </c>
      <c r="E309" s="2" t="s">
        <v>865</v>
      </c>
      <c r="F309" s="2" t="s">
        <v>45</v>
      </c>
      <c r="G309" s="2" t="s">
        <v>557</v>
      </c>
      <c r="H309" s="2" t="s">
        <v>15</v>
      </c>
      <c r="I309" s="2" t="s">
        <v>16</v>
      </c>
      <c r="J309" s="25">
        <v>42289</v>
      </c>
      <c r="K309" s="20"/>
      <c r="L309" s="20"/>
    </row>
    <row r="310" spans="1:12">
      <c r="A310" s="30" t="s">
        <v>866</v>
      </c>
      <c r="B310" s="30">
        <v>3460536480</v>
      </c>
      <c r="C310" s="30">
        <v>2000</v>
      </c>
      <c r="D310" s="30" t="s">
        <v>867</v>
      </c>
      <c r="E310" s="30" t="s">
        <v>868</v>
      </c>
      <c r="F310" s="30" t="s">
        <v>45</v>
      </c>
      <c r="G310" s="30" t="s">
        <v>869</v>
      </c>
      <c r="H310" s="30" t="s">
        <v>15</v>
      </c>
      <c r="I310" s="30" t="s">
        <v>122</v>
      </c>
      <c r="J310" s="34">
        <v>42289</v>
      </c>
      <c r="K310" s="53"/>
      <c r="L310" s="53"/>
    </row>
    <row r="311" spans="1:12">
      <c r="A311" s="2" t="s">
        <v>870</v>
      </c>
      <c r="B311" s="2">
        <v>3334757431</v>
      </c>
      <c r="C311" s="2">
        <v>950</v>
      </c>
      <c r="D311" s="2" t="s">
        <v>871</v>
      </c>
      <c r="E311" s="2" t="s">
        <v>23</v>
      </c>
      <c r="F311" s="2" t="s">
        <v>45</v>
      </c>
      <c r="G311" s="2" t="s">
        <v>557</v>
      </c>
      <c r="H311" s="2" t="s">
        <v>15</v>
      </c>
      <c r="I311" s="2" t="s">
        <v>16</v>
      </c>
      <c r="J311" s="25">
        <v>42289</v>
      </c>
      <c r="K311" s="20"/>
      <c r="L311" s="20"/>
    </row>
    <row r="312" spans="1:12">
      <c r="A312" s="2" t="s">
        <v>872</v>
      </c>
      <c r="B312" s="2">
        <v>3482641122</v>
      </c>
      <c r="C312" s="2">
        <v>1000</v>
      </c>
      <c r="D312" s="2" t="s">
        <v>873</v>
      </c>
      <c r="E312" s="2" t="s">
        <v>201</v>
      </c>
      <c r="F312" s="2" t="s">
        <v>45</v>
      </c>
      <c r="G312" s="2" t="s">
        <v>671</v>
      </c>
      <c r="H312" s="2" t="s">
        <v>15</v>
      </c>
      <c r="I312" s="2" t="s">
        <v>16</v>
      </c>
      <c r="J312" s="25">
        <v>42289</v>
      </c>
      <c r="K312" s="20"/>
      <c r="L312" s="20"/>
    </row>
    <row r="313" spans="1:12">
      <c r="A313" s="2" t="s">
        <v>887</v>
      </c>
      <c r="B313" s="20">
        <v>3363309947</v>
      </c>
      <c r="C313" s="2">
        <v>810</v>
      </c>
      <c r="D313" s="2" t="s">
        <v>888</v>
      </c>
      <c r="E313" s="2" t="s">
        <v>50</v>
      </c>
      <c r="F313" s="2" t="s">
        <v>24</v>
      </c>
      <c r="G313" s="2" t="s">
        <v>318</v>
      </c>
      <c r="H313" s="2" t="s">
        <v>15</v>
      </c>
      <c r="I313" s="2" t="s">
        <v>16</v>
      </c>
      <c r="J313" s="25">
        <v>42289</v>
      </c>
      <c r="K313" s="20"/>
      <c r="L313" s="20"/>
    </row>
    <row r="314" spans="1:12">
      <c r="A314" s="2" t="s">
        <v>874</v>
      </c>
      <c r="B314" s="2">
        <v>3129373225</v>
      </c>
      <c r="C314" s="2">
        <v>700</v>
      </c>
      <c r="D314" s="2" t="s">
        <v>875</v>
      </c>
      <c r="E314" s="2" t="s">
        <v>125</v>
      </c>
      <c r="F314" s="2" t="s">
        <v>24</v>
      </c>
      <c r="G314" s="2" t="s">
        <v>742</v>
      </c>
      <c r="H314" s="2" t="s">
        <v>15</v>
      </c>
      <c r="I314" s="2" t="s">
        <v>16</v>
      </c>
      <c r="J314" s="25">
        <v>42289</v>
      </c>
      <c r="K314" s="20"/>
      <c r="L314" s="20"/>
    </row>
    <row r="315" spans="1:12">
      <c r="A315" s="2" t="s">
        <v>876</v>
      </c>
      <c r="B315" s="2">
        <v>3162258515</v>
      </c>
      <c r="C315" s="2">
        <v>810</v>
      </c>
      <c r="D315" s="2" t="s">
        <v>877</v>
      </c>
      <c r="E315" s="2" t="s">
        <v>50</v>
      </c>
      <c r="F315" s="2" t="s">
        <v>24</v>
      </c>
      <c r="G315" s="2" t="s">
        <v>318</v>
      </c>
      <c r="H315" s="2" t="s">
        <v>15</v>
      </c>
      <c r="I315" s="2" t="s">
        <v>16</v>
      </c>
      <c r="J315" s="25">
        <v>42289</v>
      </c>
      <c r="K315" s="20"/>
      <c r="L315" s="20"/>
    </row>
    <row r="316" spans="1:12">
      <c r="A316" s="2" t="s">
        <v>881</v>
      </c>
      <c r="B316" s="2"/>
      <c r="C316" s="2">
        <v>1300</v>
      </c>
      <c r="D316" s="2" t="s">
        <v>884</v>
      </c>
      <c r="E316" s="2" t="s">
        <v>50</v>
      </c>
      <c r="F316" s="2" t="s">
        <v>45</v>
      </c>
      <c r="G316" s="2" t="s">
        <v>878</v>
      </c>
      <c r="H316" s="2" t="s">
        <v>41</v>
      </c>
      <c r="I316" s="2" t="s">
        <v>16</v>
      </c>
      <c r="J316" s="25">
        <v>42350</v>
      </c>
      <c r="K316" s="20"/>
      <c r="L316" s="20"/>
    </row>
    <row r="317" spans="1:12">
      <c r="A317" s="2" t="s">
        <v>819</v>
      </c>
      <c r="B317" s="2"/>
      <c r="C317" s="2">
        <v>700</v>
      </c>
      <c r="D317" s="2" t="s">
        <v>885</v>
      </c>
      <c r="E317" s="2" t="s">
        <v>50</v>
      </c>
      <c r="F317" s="2" t="s">
        <v>24</v>
      </c>
      <c r="G317" s="2" t="s">
        <v>879</v>
      </c>
      <c r="H317" s="2" t="s">
        <v>41</v>
      </c>
      <c r="I317" s="2" t="s">
        <v>16</v>
      </c>
      <c r="J317" s="25">
        <v>42350</v>
      </c>
      <c r="K317" s="20"/>
      <c r="L317" s="20"/>
    </row>
    <row r="318" spans="1:12">
      <c r="A318" s="20" t="s">
        <v>882</v>
      </c>
      <c r="B318" s="20">
        <v>3223171243</v>
      </c>
      <c r="C318" s="20">
        <v>980</v>
      </c>
      <c r="D318" s="20" t="s">
        <v>883</v>
      </c>
      <c r="E318" s="2" t="s">
        <v>50</v>
      </c>
      <c r="F318" s="2" t="s">
        <v>24</v>
      </c>
      <c r="G318" s="2" t="s">
        <v>789</v>
      </c>
      <c r="H318" s="2" t="s">
        <v>15</v>
      </c>
      <c r="I318" s="2" t="s">
        <v>16</v>
      </c>
      <c r="J318" s="29" t="s">
        <v>892</v>
      </c>
      <c r="K318" s="20"/>
      <c r="L318" s="20"/>
    </row>
    <row r="319" spans="1:12">
      <c r="A319" s="20" t="s">
        <v>819</v>
      </c>
      <c r="B319" s="20" t="s">
        <v>819</v>
      </c>
      <c r="C319" s="20">
        <v>750</v>
      </c>
      <c r="D319" s="20" t="s">
        <v>886</v>
      </c>
      <c r="E319" s="2" t="s">
        <v>50</v>
      </c>
      <c r="F319" s="2" t="s">
        <v>45</v>
      </c>
      <c r="G319" s="2" t="s">
        <v>671</v>
      </c>
      <c r="H319" s="2" t="s">
        <v>41</v>
      </c>
      <c r="I319" s="2" t="s">
        <v>16</v>
      </c>
      <c r="J319" s="29" t="s">
        <v>892</v>
      </c>
      <c r="K319" s="20"/>
      <c r="L319" s="20"/>
    </row>
    <row r="320" spans="1:12">
      <c r="A320" s="2" t="s">
        <v>889</v>
      </c>
      <c r="B320" s="2">
        <v>3235937576</v>
      </c>
      <c r="C320" s="2">
        <v>990</v>
      </c>
      <c r="D320" s="2" t="s">
        <v>890</v>
      </c>
      <c r="E320" s="2" t="s">
        <v>891</v>
      </c>
      <c r="F320" s="2" t="s">
        <v>45</v>
      </c>
      <c r="G320" s="2" t="s">
        <v>557</v>
      </c>
      <c r="H320" s="2" t="s">
        <v>15</v>
      </c>
      <c r="I320" s="2" t="s">
        <v>16</v>
      </c>
      <c r="J320" s="19" t="s">
        <v>880</v>
      </c>
      <c r="K320" s="20"/>
      <c r="L320" s="20"/>
    </row>
    <row r="321" spans="1:14">
      <c r="A321" s="2" t="s">
        <v>893</v>
      </c>
      <c r="B321" s="2">
        <v>3244057005</v>
      </c>
      <c r="C321" s="2">
        <v>1300</v>
      </c>
      <c r="D321" s="2" t="s">
        <v>894</v>
      </c>
      <c r="E321" s="2" t="s">
        <v>23</v>
      </c>
      <c r="F321" s="2" t="s">
        <v>24</v>
      </c>
      <c r="G321" s="2" t="s">
        <v>220</v>
      </c>
      <c r="H321" s="2" t="s">
        <v>15</v>
      </c>
      <c r="I321" s="2" t="s">
        <v>16</v>
      </c>
      <c r="J321" s="19" t="s">
        <v>880</v>
      </c>
      <c r="K321" s="20"/>
      <c r="L321" s="20"/>
    </row>
    <row r="322" spans="1:14">
      <c r="A322" s="2" t="s">
        <v>895</v>
      </c>
      <c r="B322" s="2">
        <v>3331240388</v>
      </c>
      <c r="C322" s="2">
        <v>1030</v>
      </c>
      <c r="D322" s="2" t="s">
        <v>896</v>
      </c>
      <c r="E322" s="2" t="s">
        <v>897</v>
      </c>
      <c r="F322" s="2" t="s">
        <v>45</v>
      </c>
      <c r="G322" s="2" t="s">
        <v>625</v>
      </c>
      <c r="H322" s="2" t="s">
        <v>15</v>
      </c>
      <c r="I322" s="2" t="s">
        <v>16</v>
      </c>
      <c r="J322" s="19" t="s">
        <v>880</v>
      </c>
      <c r="K322" s="20"/>
      <c r="L322" s="20"/>
    </row>
    <row r="323" spans="1:14">
      <c r="A323" s="2" t="s">
        <v>898</v>
      </c>
      <c r="B323" s="2">
        <v>3008636416</v>
      </c>
      <c r="C323" s="2">
        <v>830</v>
      </c>
      <c r="D323" s="2" t="s">
        <v>899</v>
      </c>
      <c r="E323" s="2" t="s">
        <v>23</v>
      </c>
      <c r="F323" s="2" t="s">
        <v>133</v>
      </c>
      <c r="G323" s="2" t="s">
        <v>900</v>
      </c>
      <c r="H323" s="2" t="s">
        <v>15</v>
      </c>
      <c r="I323" s="2" t="s">
        <v>16</v>
      </c>
      <c r="J323" s="19" t="s">
        <v>880</v>
      </c>
      <c r="K323" s="20"/>
      <c r="L323" s="20"/>
    </row>
    <row r="324" spans="1:14">
      <c r="A324" s="2" t="s">
        <v>901</v>
      </c>
      <c r="B324" s="2">
        <v>3218405230</v>
      </c>
      <c r="C324" s="2">
        <v>950</v>
      </c>
      <c r="D324" s="2" t="s">
        <v>902</v>
      </c>
      <c r="E324" s="2" t="s">
        <v>23</v>
      </c>
      <c r="F324" s="2" t="s">
        <v>45</v>
      </c>
      <c r="G324" s="2" t="s">
        <v>557</v>
      </c>
      <c r="H324" s="2" t="s">
        <v>15</v>
      </c>
      <c r="I324" s="2" t="s">
        <v>16</v>
      </c>
      <c r="J324" s="19" t="s">
        <v>880</v>
      </c>
      <c r="K324" s="20"/>
      <c r="L324" s="20"/>
    </row>
    <row r="325" spans="1:14">
      <c r="A325" s="2" t="s">
        <v>903</v>
      </c>
      <c r="B325" s="2">
        <v>3214054321</v>
      </c>
      <c r="C325" s="2">
        <v>950</v>
      </c>
      <c r="D325" s="2" t="s">
        <v>904</v>
      </c>
      <c r="E325" s="2" t="s">
        <v>23</v>
      </c>
      <c r="F325" s="2" t="s">
        <v>45</v>
      </c>
      <c r="G325" s="2" t="s">
        <v>905</v>
      </c>
      <c r="H325" s="2" t="s">
        <v>15</v>
      </c>
      <c r="I325" s="2" t="s">
        <v>16</v>
      </c>
      <c r="J325" s="19" t="s">
        <v>880</v>
      </c>
      <c r="K325" s="20"/>
      <c r="L325" t="str">
        <f t="shared" ref="L325" si="0">IF(E325="karachi","150","250")</f>
        <v>250</v>
      </c>
      <c r="M325" t="e">
        <f>C325-K325-L325-#REF!</f>
        <v>#REF!</v>
      </c>
      <c r="N325" t="e">
        <f t="shared" ref="N325:N356" si="1">IF(I325="deliver",M325,"Waiting For Deliver")</f>
        <v>#REF!</v>
      </c>
    </row>
    <row r="326" spans="1:14">
      <c r="A326" s="2" t="s">
        <v>906</v>
      </c>
      <c r="B326" s="2">
        <v>3364444314</v>
      </c>
      <c r="C326" s="2">
        <v>950</v>
      </c>
      <c r="D326" s="2" t="s">
        <v>907</v>
      </c>
      <c r="E326" s="2" t="s">
        <v>35</v>
      </c>
      <c r="F326" s="2" t="s">
        <v>45</v>
      </c>
      <c r="G326" s="2" t="s">
        <v>557</v>
      </c>
      <c r="H326" s="2" t="s">
        <v>15</v>
      </c>
      <c r="I326" s="2" t="s">
        <v>16</v>
      </c>
      <c r="J326" s="19" t="s">
        <v>880</v>
      </c>
      <c r="K326" s="20"/>
      <c r="L326" t="str">
        <f t="shared" ref="L326:L363" si="2">IF(E326="karachi","150","250")</f>
        <v>250</v>
      </c>
      <c r="M326" t="e">
        <f>C326-K326-L326-#REF!</f>
        <v>#REF!</v>
      </c>
      <c r="N326" t="e">
        <f t="shared" si="1"/>
        <v>#REF!</v>
      </c>
    </row>
    <row r="327" spans="1:14">
      <c r="A327" s="2" t="s">
        <v>910</v>
      </c>
      <c r="B327" s="2">
        <v>3118259985</v>
      </c>
      <c r="C327" s="2">
        <v>600</v>
      </c>
      <c r="D327" s="2" t="s">
        <v>909</v>
      </c>
      <c r="E327" s="2" t="s">
        <v>50</v>
      </c>
      <c r="F327" s="2" t="s">
        <v>45</v>
      </c>
      <c r="G327" s="2" t="s">
        <v>908</v>
      </c>
      <c r="H327" s="2" t="s">
        <v>41</v>
      </c>
      <c r="I327" s="2" t="s">
        <v>16</v>
      </c>
      <c r="J327" s="19" t="s">
        <v>880</v>
      </c>
      <c r="K327" s="20"/>
      <c r="L327" t="str">
        <f t="shared" si="2"/>
        <v>150</v>
      </c>
      <c r="M327" t="e">
        <f>C327-K327-L327-#REF!</f>
        <v>#REF!</v>
      </c>
      <c r="N327" t="e">
        <f t="shared" si="1"/>
        <v>#REF!</v>
      </c>
    </row>
    <row r="328" spans="1:14" ht="15.75" thickBot="1">
      <c r="A328" s="2" t="s">
        <v>911</v>
      </c>
      <c r="B328" s="2">
        <v>3333185102</v>
      </c>
      <c r="C328" s="2">
        <v>1200</v>
      </c>
      <c r="D328" s="2" t="s">
        <v>912</v>
      </c>
      <c r="E328" s="2" t="s">
        <v>50</v>
      </c>
      <c r="F328" s="2" t="s">
        <v>45</v>
      </c>
      <c r="G328" s="2" t="s">
        <v>913</v>
      </c>
      <c r="H328" s="2" t="s">
        <v>15</v>
      </c>
      <c r="I328" s="2" t="s">
        <v>16</v>
      </c>
      <c r="J328" s="19" t="s">
        <v>880</v>
      </c>
      <c r="K328" s="20"/>
      <c r="L328" t="str">
        <f t="shared" si="2"/>
        <v>150</v>
      </c>
      <c r="M328" t="e">
        <f>C328-K328-L328-#REF!</f>
        <v>#REF!</v>
      </c>
      <c r="N328" t="e">
        <f t="shared" si="1"/>
        <v>#REF!</v>
      </c>
    </row>
    <row r="329" spans="1:14">
      <c r="A329" s="8" t="s">
        <v>914</v>
      </c>
      <c r="B329" s="2">
        <v>3132460151</v>
      </c>
      <c r="C329" s="2">
        <v>1080</v>
      </c>
      <c r="D329" s="2" t="s">
        <v>915</v>
      </c>
      <c r="E329" s="2" t="s">
        <v>50</v>
      </c>
      <c r="F329" s="2" t="s">
        <v>45</v>
      </c>
      <c r="G329" s="2" t="s">
        <v>348</v>
      </c>
      <c r="H329" s="2" t="s">
        <v>15</v>
      </c>
      <c r="I329" s="2" t="s">
        <v>16</v>
      </c>
      <c r="J329" s="19" t="s">
        <v>880</v>
      </c>
      <c r="K329" s="20"/>
      <c r="L329" t="str">
        <f t="shared" si="2"/>
        <v>150</v>
      </c>
      <c r="M329" t="e">
        <f>C329-K329-L329-#REF!</f>
        <v>#REF!</v>
      </c>
      <c r="N329" t="e">
        <f t="shared" si="1"/>
        <v>#REF!</v>
      </c>
    </row>
    <row r="330" spans="1:14">
      <c r="A330" s="2" t="s">
        <v>916</v>
      </c>
      <c r="B330" s="2">
        <v>3312329488</v>
      </c>
      <c r="C330" s="2">
        <v>750</v>
      </c>
      <c r="D330" s="2" t="s">
        <v>917</v>
      </c>
      <c r="E330" s="2" t="s">
        <v>50</v>
      </c>
      <c r="F330" s="2" t="s">
        <v>45</v>
      </c>
      <c r="G330" s="2" t="s">
        <v>671</v>
      </c>
      <c r="H330" s="2" t="s">
        <v>41</v>
      </c>
      <c r="I330" s="2" t="s">
        <v>16</v>
      </c>
      <c r="J330" s="19" t="s">
        <v>880</v>
      </c>
      <c r="K330" s="20"/>
      <c r="L330" t="str">
        <f t="shared" si="2"/>
        <v>150</v>
      </c>
      <c r="M330" t="e">
        <f>C330-K330-L330-#REF!</f>
        <v>#REF!</v>
      </c>
      <c r="N330" t="e">
        <f t="shared" si="1"/>
        <v>#REF!</v>
      </c>
    </row>
    <row r="331" spans="1:14">
      <c r="A331" s="2" t="s">
        <v>919</v>
      </c>
      <c r="B331" s="2">
        <v>3138167084</v>
      </c>
      <c r="C331" s="2">
        <v>1500</v>
      </c>
      <c r="D331" s="2" t="s">
        <v>920</v>
      </c>
      <c r="E331" s="2" t="s">
        <v>50</v>
      </c>
      <c r="F331" s="2" t="s">
        <v>45</v>
      </c>
      <c r="G331" s="2" t="s">
        <v>918</v>
      </c>
      <c r="H331" s="2" t="s">
        <v>41</v>
      </c>
      <c r="I331" s="2" t="s">
        <v>16</v>
      </c>
      <c r="J331" s="19" t="s">
        <v>880</v>
      </c>
      <c r="K331" s="20"/>
      <c r="L331" t="str">
        <f t="shared" si="2"/>
        <v>150</v>
      </c>
      <c r="M331" t="e">
        <f>C331-K331-L331-#REF!</f>
        <v>#REF!</v>
      </c>
      <c r="N331" t="e">
        <f t="shared" si="1"/>
        <v>#REF!</v>
      </c>
    </row>
    <row r="332" spans="1:14">
      <c r="A332" s="30" t="s">
        <v>921</v>
      </c>
      <c r="B332" s="30">
        <v>3429319988</v>
      </c>
      <c r="C332" s="30">
        <v>2300</v>
      </c>
      <c r="D332" s="30" t="s">
        <v>922</v>
      </c>
      <c r="E332" s="30" t="s">
        <v>35</v>
      </c>
      <c r="F332" s="30" t="s">
        <v>24</v>
      </c>
      <c r="G332" s="30" t="s">
        <v>416</v>
      </c>
      <c r="H332" s="30" t="s">
        <v>15</v>
      </c>
      <c r="I332" s="30" t="s">
        <v>122</v>
      </c>
      <c r="J332" s="37" t="s">
        <v>923</v>
      </c>
      <c r="K332" s="53"/>
      <c r="L332" t="str">
        <f t="shared" si="2"/>
        <v>250</v>
      </c>
      <c r="M332" t="e">
        <f>C332-K332-L332-#REF!</f>
        <v>#REF!</v>
      </c>
      <c r="N332" t="str">
        <f t="shared" si="1"/>
        <v>Waiting For Deliver</v>
      </c>
    </row>
    <row r="333" spans="1:14">
      <c r="A333" s="2" t="s">
        <v>926</v>
      </c>
      <c r="B333" s="2">
        <v>3322414834</v>
      </c>
      <c r="C333" s="2">
        <v>4230</v>
      </c>
      <c r="D333" s="2" t="s">
        <v>925</v>
      </c>
      <c r="E333" s="2" t="s">
        <v>50</v>
      </c>
      <c r="F333" s="2" t="s">
        <v>45</v>
      </c>
      <c r="G333" s="2" t="s">
        <v>924</v>
      </c>
      <c r="H333" s="2" t="s">
        <v>41</v>
      </c>
      <c r="I333" s="2" t="s">
        <v>16</v>
      </c>
      <c r="J333" s="19" t="s">
        <v>923</v>
      </c>
      <c r="K333" s="20"/>
      <c r="L333" t="str">
        <f t="shared" si="2"/>
        <v>150</v>
      </c>
      <c r="M333" t="e">
        <f>C333-K333-L333-#REF!</f>
        <v>#REF!</v>
      </c>
      <c r="N333" t="e">
        <f t="shared" si="1"/>
        <v>#REF!</v>
      </c>
    </row>
    <row r="334" spans="1:14">
      <c r="A334" s="2" t="s">
        <v>929</v>
      </c>
      <c r="B334" s="2">
        <v>3212301799</v>
      </c>
      <c r="C334" s="2">
        <v>1150</v>
      </c>
      <c r="D334" s="2" t="s">
        <v>928</v>
      </c>
      <c r="E334" s="2" t="s">
        <v>50</v>
      </c>
      <c r="F334" s="2" t="s">
        <v>45</v>
      </c>
      <c r="G334" s="2" t="s">
        <v>736</v>
      </c>
      <c r="H334" s="2" t="s">
        <v>15</v>
      </c>
      <c r="I334" s="2" t="s">
        <v>16</v>
      </c>
      <c r="J334" s="19" t="s">
        <v>927</v>
      </c>
      <c r="K334" s="20"/>
      <c r="L334" t="str">
        <f t="shared" si="2"/>
        <v>150</v>
      </c>
      <c r="M334" t="e">
        <f>C334-K334-L334-#REF!</f>
        <v>#REF!</v>
      </c>
      <c r="N334" t="e">
        <f t="shared" si="1"/>
        <v>#REF!</v>
      </c>
    </row>
    <row r="335" spans="1:14">
      <c r="A335" s="2" t="s">
        <v>930</v>
      </c>
      <c r="B335" s="2">
        <v>3224061447</v>
      </c>
      <c r="C335" s="2">
        <v>1250</v>
      </c>
      <c r="D335" s="2" t="s">
        <v>931</v>
      </c>
      <c r="E335" s="2" t="s">
        <v>23</v>
      </c>
      <c r="F335" s="2" t="s">
        <v>45</v>
      </c>
      <c r="G335" s="2" t="s">
        <v>253</v>
      </c>
      <c r="H335" s="2" t="s">
        <v>41</v>
      </c>
      <c r="I335" s="2" t="s">
        <v>16</v>
      </c>
      <c r="J335" s="19" t="s">
        <v>927</v>
      </c>
      <c r="K335" s="20"/>
      <c r="L335" t="str">
        <f t="shared" si="2"/>
        <v>250</v>
      </c>
      <c r="M335" t="e">
        <f>C335-K335-L335-#REF!</f>
        <v>#REF!</v>
      </c>
      <c r="N335" t="e">
        <f t="shared" si="1"/>
        <v>#REF!</v>
      </c>
    </row>
    <row r="336" spans="1:14">
      <c r="A336" s="30" t="s">
        <v>932</v>
      </c>
      <c r="B336" s="30">
        <v>3480233432</v>
      </c>
      <c r="C336" s="30">
        <v>1000</v>
      </c>
      <c r="D336" s="30" t="s">
        <v>934</v>
      </c>
      <c r="E336" s="30" t="s">
        <v>933</v>
      </c>
      <c r="F336" s="30" t="s">
        <v>45</v>
      </c>
      <c r="G336" s="30" t="s">
        <v>557</v>
      </c>
      <c r="H336" s="30" t="s">
        <v>15</v>
      </c>
      <c r="I336" s="30" t="s">
        <v>122</v>
      </c>
      <c r="J336" s="37" t="s">
        <v>927</v>
      </c>
      <c r="K336" s="53"/>
      <c r="L336" t="str">
        <f t="shared" si="2"/>
        <v>250</v>
      </c>
      <c r="M336" t="e">
        <f>C336-K336-L336-#REF!</f>
        <v>#REF!</v>
      </c>
      <c r="N336" t="str">
        <f t="shared" si="1"/>
        <v>Waiting For Deliver</v>
      </c>
    </row>
    <row r="337" spans="1:14">
      <c r="A337" s="2" t="s">
        <v>935</v>
      </c>
      <c r="B337" s="2">
        <v>3008500279</v>
      </c>
      <c r="C337" s="2">
        <v>900</v>
      </c>
      <c r="D337" s="2" t="s">
        <v>936</v>
      </c>
      <c r="E337" s="2" t="s">
        <v>19</v>
      </c>
      <c r="F337" s="2" t="s">
        <v>45</v>
      </c>
      <c r="G337" s="2" t="s">
        <v>557</v>
      </c>
      <c r="H337" s="2" t="s">
        <v>41</v>
      </c>
      <c r="I337" s="2" t="s">
        <v>16</v>
      </c>
      <c r="J337" s="19" t="s">
        <v>927</v>
      </c>
      <c r="K337" s="20"/>
      <c r="L337" t="str">
        <f t="shared" si="2"/>
        <v>250</v>
      </c>
      <c r="M337" t="e">
        <f>C337-K337-L337-#REF!</f>
        <v>#REF!</v>
      </c>
      <c r="N337" t="e">
        <f t="shared" si="1"/>
        <v>#REF!</v>
      </c>
    </row>
    <row r="338" spans="1:14">
      <c r="A338" s="2" t="s">
        <v>937</v>
      </c>
      <c r="B338" s="2">
        <v>3035611666</v>
      </c>
      <c r="C338" s="2">
        <v>950</v>
      </c>
      <c r="D338" s="2" t="s">
        <v>938</v>
      </c>
      <c r="E338" s="2" t="s">
        <v>19</v>
      </c>
      <c r="F338" s="2" t="s">
        <v>45</v>
      </c>
      <c r="G338" s="2" t="s">
        <v>939</v>
      </c>
      <c r="H338" s="2" t="s">
        <v>15</v>
      </c>
      <c r="I338" s="2" t="s">
        <v>16</v>
      </c>
      <c r="J338" s="19" t="s">
        <v>927</v>
      </c>
      <c r="K338" s="20"/>
      <c r="L338" t="str">
        <f t="shared" si="2"/>
        <v>250</v>
      </c>
      <c r="M338" t="e">
        <f>C338-K338-L338-#REF!</f>
        <v>#REF!</v>
      </c>
      <c r="N338" t="e">
        <f t="shared" si="1"/>
        <v>#REF!</v>
      </c>
    </row>
    <row r="339" spans="1:14">
      <c r="A339" s="2" t="s">
        <v>940</v>
      </c>
      <c r="B339" s="2">
        <v>3451227441</v>
      </c>
      <c r="C339" s="2">
        <v>950</v>
      </c>
      <c r="D339" s="2" t="s">
        <v>941</v>
      </c>
      <c r="E339" s="2" t="s">
        <v>50</v>
      </c>
      <c r="F339" s="2" t="s">
        <v>45</v>
      </c>
      <c r="G339" s="2" t="s">
        <v>939</v>
      </c>
      <c r="H339" s="2" t="s">
        <v>15</v>
      </c>
      <c r="I339" s="2" t="s">
        <v>16</v>
      </c>
      <c r="J339" s="19" t="s">
        <v>927</v>
      </c>
      <c r="K339" s="20"/>
      <c r="L339" t="str">
        <f t="shared" si="2"/>
        <v>150</v>
      </c>
      <c r="M339" t="e">
        <f>C339-K339-L339-#REF!</f>
        <v>#REF!</v>
      </c>
      <c r="N339" t="e">
        <f t="shared" si="1"/>
        <v>#REF!</v>
      </c>
    </row>
    <row r="340" spans="1:14" ht="15.75" thickBot="1">
      <c r="A340" s="2" t="s">
        <v>942</v>
      </c>
      <c r="B340" s="2">
        <v>3012938786</v>
      </c>
      <c r="C340" s="2">
        <v>1240</v>
      </c>
      <c r="D340" s="2" t="s">
        <v>943</v>
      </c>
      <c r="E340" s="2" t="s">
        <v>944</v>
      </c>
      <c r="F340" s="2" t="s">
        <v>24</v>
      </c>
      <c r="G340" s="2" t="s">
        <v>446</v>
      </c>
      <c r="H340" s="2" t="s">
        <v>15</v>
      </c>
      <c r="I340" s="2" t="s">
        <v>16</v>
      </c>
      <c r="J340" s="19" t="s">
        <v>927</v>
      </c>
      <c r="K340" s="20"/>
      <c r="L340" t="str">
        <f t="shared" si="2"/>
        <v>250</v>
      </c>
      <c r="M340" t="e">
        <f>C340-K340-L340-#REF!</f>
        <v>#REF!</v>
      </c>
      <c r="N340" t="e">
        <f t="shared" si="1"/>
        <v>#REF!</v>
      </c>
    </row>
    <row r="341" spans="1:14" ht="15.75" thickBot="1">
      <c r="A341" s="8" t="s">
        <v>945</v>
      </c>
      <c r="B341" s="2">
        <v>3471223575</v>
      </c>
      <c r="C341" s="2">
        <v>1100</v>
      </c>
      <c r="D341" s="2" t="s">
        <v>946</v>
      </c>
      <c r="E341" s="2" t="s">
        <v>50</v>
      </c>
      <c r="F341" s="2" t="s">
        <v>45</v>
      </c>
      <c r="G341" s="2" t="s">
        <v>348</v>
      </c>
      <c r="H341" s="2" t="s">
        <v>15</v>
      </c>
      <c r="I341" s="2" t="s">
        <v>16</v>
      </c>
      <c r="J341" s="19" t="s">
        <v>927</v>
      </c>
      <c r="K341" s="20"/>
      <c r="L341" t="str">
        <f t="shared" si="2"/>
        <v>150</v>
      </c>
      <c r="M341" t="e">
        <f>C341-K341-L341-#REF!</f>
        <v>#REF!</v>
      </c>
      <c r="N341" t="e">
        <f t="shared" si="1"/>
        <v>#REF!</v>
      </c>
    </row>
    <row r="342" spans="1:14">
      <c r="A342" s="8" t="s">
        <v>947</v>
      </c>
      <c r="B342" s="2">
        <v>3332211267</v>
      </c>
      <c r="C342" s="2">
        <v>1150</v>
      </c>
      <c r="D342" s="2" t="s">
        <v>948</v>
      </c>
      <c r="E342" s="2" t="s">
        <v>50</v>
      </c>
      <c r="F342" s="2" t="s">
        <v>45</v>
      </c>
      <c r="G342" s="2" t="s">
        <v>736</v>
      </c>
      <c r="H342" s="2" t="s">
        <v>15</v>
      </c>
      <c r="I342" s="2" t="s">
        <v>16</v>
      </c>
      <c r="J342" s="19" t="s">
        <v>927</v>
      </c>
      <c r="K342" s="20"/>
      <c r="L342" t="str">
        <f t="shared" si="2"/>
        <v>150</v>
      </c>
      <c r="M342" t="e">
        <f>C342-K342-L342-#REF!</f>
        <v>#REF!</v>
      </c>
      <c r="N342" t="e">
        <f t="shared" si="1"/>
        <v>#REF!</v>
      </c>
    </row>
    <row r="343" spans="1:14">
      <c r="A343" s="11" t="s">
        <v>949</v>
      </c>
      <c r="B343" s="11">
        <v>3009796963</v>
      </c>
      <c r="C343" s="2">
        <v>880</v>
      </c>
      <c r="D343" s="11" t="s">
        <v>950</v>
      </c>
      <c r="E343" s="2" t="s">
        <v>951</v>
      </c>
      <c r="F343" s="2" t="s">
        <v>24</v>
      </c>
      <c r="G343" s="2" t="s">
        <v>110</v>
      </c>
      <c r="H343" s="2" t="s">
        <v>15</v>
      </c>
      <c r="I343" s="2" t="s">
        <v>16</v>
      </c>
      <c r="J343" s="19" t="s">
        <v>952</v>
      </c>
      <c r="L343" t="str">
        <f t="shared" si="2"/>
        <v>250</v>
      </c>
      <c r="M343" t="e">
        <f>C343-K343-L343-#REF!</f>
        <v>#REF!</v>
      </c>
      <c r="N343" t="e">
        <f t="shared" si="1"/>
        <v>#REF!</v>
      </c>
    </row>
    <row r="344" spans="1:14">
      <c r="A344" s="11" t="s">
        <v>953</v>
      </c>
      <c r="B344" s="11">
        <v>3041413414</v>
      </c>
      <c r="C344" s="2">
        <v>1000</v>
      </c>
      <c r="D344" s="11" t="s">
        <v>954</v>
      </c>
      <c r="E344" s="2" t="s">
        <v>23</v>
      </c>
      <c r="F344" s="2" t="s">
        <v>133</v>
      </c>
      <c r="G344" s="2" t="s">
        <v>900</v>
      </c>
      <c r="H344" s="2" t="s">
        <v>15</v>
      </c>
      <c r="I344" s="2" t="s">
        <v>16</v>
      </c>
      <c r="J344" s="19" t="s">
        <v>952</v>
      </c>
      <c r="L344" t="str">
        <f t="shared" si="2"/>
        <v>250</v>
      </c>
      <c r="M344" t="e">
        <f>C344-K344-L344-#REF!</f>
        <v>#REF!</v>
      </c>
      <c r="N344" t="e">
        <f t="shared" si="1"/>
        <v>#REF!</v>
      </c>
    </row>
    <row r="345" spans="1:14">
      <c r="A345" s="11" t="s">
        <v>955</v>
      </c>
      <c r="B345" s="11">
        <v>3014483533</v>
      </c>
      <c r="C345" s="2">
        <v>1200</v>
      </c>
      <c r="D345" s="11" t="s">
        <v>956</v>
      </c>
      <c r="E345" s="2" t="s">
        <v>865</v>
      </c>
      <c r="F345" s="2" t="s">
        <v>24</v>
      </c>
      <c r="G345" s="2" t="s">
        <v>303</v>
      </c>
      <c r="H345" s="2" t="s">
        <v>15</v>
      </c>
      <c r="I345" s="2" t="s">
        <v>16</v>
      </c>
      <c r="J345" s="19" t="s">
        <v>952</v>
      </c>
      <c r="L345" t="str">
        <f t="shared" si="2"/>
        <v>250</v>
      </c>
      <c r="M345" t="e">
        <f>C345-K345-L345-#REF!</f>
        <v>#REF!</v>
      </c>
      <c r="N345" t="e">
        <f t="shared" si="1"/>
        <v>#REF!</v>
      </c>
    </row>
    <row r="346" spans="1:14">
      <c r="A346" s="11" t="s">
        <v>957</v>
      </c>
      <c r="B346" s="11">
        <v>3135947845</v>
      </c>
      <c r="C346" s="2">
        <v>1120</v>
      </c>
      <c r="D346" s="11" t="s">
        <v>958</v>
      </c>
      <c r="E346" s="2" t="s">
        <v>35</v>
      </c>
      <c r="F346" s="2" t="s">
        <v>24</v>
      </c>
      <c r="G346" s="2" t="s">
        <v>802</v>
      </c>
      <c r="H346" s="2" t="s">
        <v>15</v>
      </c>
      <c r="I346" s="2" t="s">
        <v>16</v>
      </c>
      <c r="J346" s="19" t="s">
        <v>952</v>
      </c>
      <c r="L346" t="str">
        <f t="shared" si="2"/>
        <v>250</v>
      </c>
      <c r="M346" t="e">
        <f>C346-K346-L346-#REF!</f>
        <v>#REF!</v>
      </c>
      <c r="N346" t="e">
        <f t="shared" si="1"/>
        <v>#REF!</v>
      </c>
    </row>
    <row r="347" spans="1:14">
      <c r="A347" s="11" t="s">
        <v>959</v>
      </c>
      <c r="B347" s="11">
        <v>3002006311</v>
      </c>
      <c r="C347" s="2">
        <v>1140</v>
      </c>
      <c r="D347" s="11" t="s">
        <v>960</v>
      </c>
      <c r="E347" s="2" t="s">
        <v>125</v>
      </c>
      <c r="F347" s="2" t="s">
        <v>133</v>
      </c>
      <c r="G347" s="2" t="s">
        <v>900</v>
      </c>
      <c r="H347" s="2" t="s">
        <v>15</v>
      </c>
      <c r="I347" s="2" t="s">
        <v>16</v>
      </c>
      <c r="J347" s="19" t="s">
        <v>952</v>
      </c>
      <c r="L347" t="str">
        <f t="shared" si="2"/>
        <v>250</v>
      </c>
      <c r="M347" t="e">
        <f>C347-K347-L347-#REF!</f>
        <v>#REF!</v>
      </c>
      <c r="N347" t="e">
        <f t="shared" si="1"/>
        <v>#REF!</v>
      </c>
    </row>
    <row r="348" spans="1:14">
      <c r="A348" s="11" t="s">
        <v>961</v>
      </c>
      <c r="B348" s="11">
        <v>3430560331</v>
      </c>
      <c r="C348" s="2">
        <v>1200</v>
      </c>
      <c r="D348" s="11" t="s">
        <v>962</v>
      </c>
      <c r="E348" s="2" t="s">
        <v>19</v>
      </c>
      <c r="F348" s="2" t="s">
        <v>24</v>
      </c>
      <c r="G348" s="2" t="s">
        <v>303</v>
      </c>
      <c r="H348" s="2" t="s">
        <v>15</v>
      </c>
      <c r="I348" s="2" t="s">
        <v>16</v>
      </c>
      <c r="J348" s="19" t="s">
        <v>952</v>
      </c>
      <c r="L348" t="str">
        <f t="shared" si="2"/>
        <v>250</v>
      </c>
      <c r="M348" t="e">
        <f>C348-K348-L348-#REF!</f>
        <v>#REF!</v>
      </c>
      <c r="N348" t="e">
        <f t="shared" si="1"/>
        <v>#REF!</v>
      </c>
    </row>
    <row r="349" spans="1:14">
      <c r="A349" s="11" t="s">
        <v>963</v>
      </c>
      <c r="B349" s="11">
        <v>3002136197</v>
      </c>
      <c r="C349" s="2">
        <v>950</v>
      </c>
      <c r="D349" s="11" t="s">
        <v>964</v>
      </c>
      <c r="E349" s="2" t="s">
        <v>23</v>
      </c>
      <c r="F349" s="2" t="s">
        <v>45</v>
      </c>
      <c r="G349" s="2" t="s">
        <v>557</v>
      </c>
      <c r="H349" s="2" t="s">
        <v>15</v>
      </c>
      <c r="I349" s="2" t="s">
        <v>16</v>
      </c>
      <c r="J349" s="19" t="s">
        <v>952</v>
      </c>
      <c r="L349" t="str">
        <f t="shared" si="2"/>
        <v>250</v>
      </c>
      <c r="M349" t="e">
        <f>C349-K349-L349-#REF!</f>
        <v>#REF!</v>
      </c>
      <c r="N349" t="e">
        <f t="shared" si="1"/>
        <v>#REF!</v>
      </c>
    </row>
    <row r="350" spans="1:14">
      <c r="A350" s="11" t="s">
        <v>965</v>
      </c>
      <c r="B350" s="11">
        <v>3014747681</v>
      </c>
      <c r="C350" s="11">
        <v>1200</v>
      </c>
      <c r="D350" s="11" t="s">
        <v>966</v>
      </c>
      <c r="E350" s="11" t="s">
        <v>23</v>
      </c>
      <c r="F350" s="2" t="s">
        <v>24</v>
      </c>
      <c r="G350" s="2" t="s">
        <v>303</v>
      </c>
      <c r="H350" s="2" t="s">
        <v>15</v>
      </c>
      <c r="I350" s="2" t="s">
        <v>16</v>
      </c>
      <c r="J350" s="19" t="s">
        <v>952</v>
      </c>
      <c r="L350" t="str">
        <f t="shared" si="2"/>
        <v>250</v>
      </c>
      <c r="M350" t="e">
        <f>C350-K350-L350-#REF!</f>
        <v>#REF!</v>
      </c>
      <c r="N350" t="e">
        <f t="shared" si="1"/>
        <v>#REF!</v>
      </c>
    </row>
    <row r="351" spans="1:14">
      <c r="A351" s="11" t="s">
        <v>967</v>
      </c>
      <c r="B351" s="11">
        <v>3004257308</v>
      </c>
      <c r="C351" s="11">
        <v>1200</v>
      </c>
      <c r="D351" s="11" t="s">
        <v>968</v>
      </c>
      <c r="E351" s="11" t="s">
        <v>23</v>
      </c>
      <c r="F351" s="2" t="s">
        <v>24</v>
      </c>
      <c r="G351" s="2" t="s">
        <v>303</v>
      </c>
      <c r="H351" s="2" t="s">
        <v>15</v>
      </c>
      <c r="I351" s="2" t="s">
        <v>16</v>
      </c>
      <c r="J351" s="19" t="s">
        <v>952</v>
      </c>
      <c r="L351" t="str">
        <f t="shared" si="2"/>
        <v>250</v>
      </c>
      <c r="M351" t="e">
        <f>C351-K351-L351-#REF!</f>
        <v>#REF!</v>
      </c>
      <c r="N351" t="e">
        <f t="shared" si="1"/>
        <v>#REF!</v>
      </c>
    </row>
    <row r="352" spans="1:14">
      <c r="A352" s="11" t="s">
        <v>971</v>
      </c>
      <c r="B352" s="11">
        <v>3312007563</v>
      </c>
      <c r="C352" s="2">
        <v>1350</v>
      </c>
      <c r="D352" s="11" t="s">
        <v>970</v>
      </c>
      <c r="E352" s="2" t="s">
        <v>50</v>
      </c>
      <c r="F352" s="2" t="s">
        <v>24</v>
      </c>
      <c r="G352" s="2" t="s">
        <v>969</v>
      </c>
      <c r="H352" s="2" t="s">
        <v>15</v>
      </c>
      <c r="I352" s="2" t="s">
        <v>16</v>
      </c>
      <c r="J352" s="19" t="s">
        <v>952</v>
      </c>
      <c r="L352" t="str">
        <f t="shared" si="2"/>
        <v>150</v>
      </c>
      <c r="M352" t="e">
        <f>C352-K352-L352-#REF!</f>
        <v>#REF!</v>
      </c>
      <c r="N352" t="e">
        <f t="shared" si="1"/>
        <v>#REF!</v>
      </c>
    </row>
    <row r="353" spans="1:14">
      <c r="A353" s="11" t="s">
        <v>972</v>
      </c>
      <c r="B353" s="33">
        <v>3002863448</v>
      </c>
      <c r="C353" s="2">
        <v>1080</v>
      </c>
      <c r="D353" s="33" t="s">
        <v>973</v>
      </c>
      <c r="E353" s="2" t="s">
        <v>50</v>
      </c>
      <c r="F353" s="2" t="s">
        <v>45</v>
      </c>
      <c r="G353" s="2" t="s">
        <v>348</v>
      </c>
      <c r="H353" s="2" t="s">
        <v>15</v>
      </c>
      <c r="I353" s="2" t="s">
        <v>16</v>
      </c>
      <c r="J353" s="19" t="s">
        <v>952</v>
      </c>
      <c r="L353" t="str">
        <f t="shared" si="2"/>
        <v>150</v>
      </c>
      <c r="M353" t="e">
        <f>C353-K353-L353-#REF!</f>
        <v>#REF!</v>
      </c>
      <c r="N353" t="e">
        <f t="shared" si="1"/>
        <v>#REF!</v>
      </c>
    </row>
    <row r="354" spans="1:14">
      <c r="A354" s="11" t="s">
        <v>974</v>
      </c>
      <c r="B354" s="11">
        <v>3212663316</v>
      </c>
      <c r="C354" s="11">
        <v>870</v>
      </c>
      <c r="D354" s="11" t="s">
        <v>975</v>
      </c>
      <c r="E354" s="2" t="s">
        <v>713</v>
      </c>
      <c r="F354" s="2" t="s">
        <v>714</v>
      </c>
      <c r="G354" s="2" t="s">
        <v>416</v>
      </c>
      <c r="H354" s="2" t="s">
        <v>15</v>
      </c>
      <c r="I354" s="2" t="s">
        <v>16</v>
      </c>
      <c r="J354" s="19" t="s">
        <v>952</v>
      </c>
      <c r="L354" t="str">
        <f t="shared" si="2"/>
        <v>150</v>
      </c>
      <c r="M354" t="e">
        <f>C354-K354-L354-#REF!</f>
        <v>#REF!</v>
      </c>
      <c r="N354" t="e">
        <f t="shared" si="1"/>
        <v>#REF!</v>
      </c>
    </row>
    <row r="355" spans="1:14">
      <c r="A355" s="11" t="s">
        <v>977</v>
      </c>
      <c r="B355" s="11">
        <v>3056406100</v>
      </c>
      <c r="C355" s="11">
        <v>1200</v>
      </c>
      <c r="D355" s="11" t="s">
        <v>978</v>
      </c>
      <c r="E355" s="2" t="s">
        <v>23</v>
      </c>
      <c r="F355" s="2" t="s">
        <v>714</v>
      </c>
      <c r="G355" s="2" t="s">
        <v>303</v>
      </c>
      <c r="H355" s="2" t="s">
        <v>15</v>
      </c>
      <c r="I355" s="2" t="s">
        <v>16</v>
      </c>
      <c r="J355" s="19" t="s">
        <v>979</v>
      </c>
      <c r="L355" t="str">
        <f t="shared" si="2"/>
        <v>250</v>
      </c>
      <c r="M355" t="e">
        <f>C355-K355-L355-#REF!</f>
        <v>#REF!</v>
      </c>
      <c r="N355" t="e">
        <f t="shared" si="1"/>
        <v>#REF!</v>
      </c>
    </row>
    <row r="356" spans="1:14">
      <c r="A356" s="11" t="s">
        <v>980</v>
      </c>
      <c r="B356" s="11">
        <v>3076670516</v>
      </c>
      <c r="C356" s="11">
        <v>680</v>
      </c>
      <c r="D356" s="11" t="s">
        <v>981</v>
      </c>
      <c r="E356" s="2" t="s">
        <v>125</v>
      </c>
      <c r="F356" s="2" t="s">
        <v>714</v>
      </c>
      <c r="G356" s="2" t="s">
        <v>982</v>
      </c>
      <c r="H356" s="2" t="s">
        <v>716</v>
      </c>
      <c r="I356" s="2" t="s">
        <v>16</v>
      </c>
      <c r="J356" s="19" t="s">
        <v>979</v>
      </c>
      <c r="L356" t="str">
        <f t="shared" si="2"/>
        <v>250</v>
      </c>
      <c r="M356" t="e">
        <f>C356-K356-L356-#REF!</f>
        <v>#REF!</v>
      </c>
      <c r="N356" t="e">
        <f t="shared" si="1"/>
        <v>#REF!</v>
      </c>
    </row>
    <row r="357" spans="1:14">
      <c r="A357" s="40" t="s">
        <v>983</v>
      </c>
      <c r="B357" s="40">
        <v>3400151070</v>
      </c>
      <c r="C357" s="40">
        <v>1000</v>
      </c>
      <c r="D357" s="40" t="s">
        <v>984</v>
      </c>
      <c r="E357" s="30" t="s">
        <v>12</v>
      </c>
      <c r="F357" s="30" t="s">
        <v>24</v>
      </c>
      <c r="G357" s="30" t="s">
        <v>985</v>
      </c>
      <c r="H357" s="30" t="s">
        <v>716</v>
      </c>
      <c r="I357" s="30" t="s">
        <v>122</v>
      </c>
      <c r="J357" s="37" t="s">
        <v>979</v>
      </c>
      <c r="K357" s="54"/>
      <c r="L357" t="str">
        <f t="shared" si="2"/>
        <v>250</v>
      </c>
      <c r="M357" t="e">
        <f>C357-K357-L357-#REF!</f>
        <v>#REF!</v>
      </c>
      <c r="N357" t="str">
        <f t="shared" ref="N357:N388" si="3">IF(I357="deliver",M357,"Waiting For Deliver")</f>
        <v>Waiting For Deliver</v>
      </c>
    </row>
    <row r="358" spans="1:14">
      <c r="A358" s="11" t="s">
        <v>986</v>
      </c>
      <c r="B358" s="11">
        <v>3149974400</v>
      </c>
      <c r="C358" s="11">
        <v>1200</v>
      </c>
      <c r="D358" s="11" t="s">
        <v>987</v>
      </c>
      <c r="E358" s="2" t="s">
        <v>988</v>
      </c>
      <c r="F358" s="2" t="s">
        <v>24</v>
      </c>
      <c r="G358" s="2" t="s">
        <v>789</v>
      </c>
      <c r="H358" s="2" t="s">
        <v>716</v>
      </c>
      <c r="I358" s="2" t="s">
        <v>16</v>
      </c>
      <c r="J358" s="19" t="s">
        <v>979</v>
      </c>
      <c r="L358" t="str">
        <f t="shared" si="2"/>
        <v>250</v>
      </c>
      <c r="M358" t="e">
        <f>C358-K358-L358-#REF!</f>
        <v>#REF!</v>
      </c>
      <c r="N358" t="e">
        <f t="shared" si="3"/>
        <v>#REF!</v>
      </c>
    </row>
    <row r="359" spans="1:14">
      <c r="A359" s="11" t="s">
        <v>989</v>
      </c>
      <c r="B359" s="11">
        <v>3329784782</v>
      </c>
      <c r="C359" s="11">
        <v>1000</v>
      </c>
      <c r="D359" s="11" t="s">
        <v>990</v>
      </c>
      <c r="E359" s="2" t="s">
        <v>153</v>
      </c>
      <c r="F359" s="2" t="s">
        <v>45</v>
      </c>
      <c r="G359" s="2" t="s">
        <v>939</v>
      </c>
      <c r="H359" s="2" t="s">
        <v>716</v>
      </c>
      <c r="I359" s="2" t="s">
        <v>16</v>
      </c>
      <c r="J359" s="19" t="s">
        <v>979</v>
      </c>
      <c r="L359" t="str">
        <f t="shared" si="2"/>
        <v>250</v>
      </c>
      <c r="M359" t="e">
        <f>C359-K359-L359-#REF!</f>
        <v>#REF!</v>
      </c>
      <c r="N359" t="e">
        <f t="shared" si="3"/>
        <v>#REF!</v>
      </c>
    </row>
    <row r="360" spans="1:14">
      <c r="A360" s="11" t="s">
        <v>991</v>
      </c>
      <c r="B360" s="11">
        <v>3159090791</v>
      </c>
      <c r="C360" s="11">
        <v>1300</v>
      </c>
      <c r="D360" s="11" t="s">
        <v>992</v>
      </c>
      <c r="E360" s="2" t="s">
        <v>35</v>
      </c>
      <c r="F360" s="2" t="s">
        <v>24</v>
      </c>
      <c r="G360" s="2" t="s">
        <v>622</v>
      </c>
      <c r="H360" s="2" t="s">
        <v>716</v>
      </c>
      <c r="I360" s="2" t="s">
        <v>16</v>
      </c>
      <c r="J360" s="19" t="s">
        <v>979</v>
      </c>
      <c r="L360" t="str">
        <f t="shared" si="2"/>
        <v>250</v>
      </c>
      <c r="M360" t="e">
        <f>C360-K360-L360-#REF!</f>
        <v>#REF!</v>
      </c>
      <c r="N360" t="e">
        <f t="shared" si="3"/>
        <v>#REF!</v>
      </c>
    </row>
    <row r="361" spans="1:14">
      <c r="A361" s="11" t="s">
        <v>993</v>
      </c>
      <c r="B361" s="11">
        <v>3439255007</v>
      </c>
      <c r="C361" s="11">
        <v>1130</v>
      </c>
      <c r="D361" s="11" t="s">
        <v>994</v>
      </c>
      <c r="E361" s="2" t="s">
        <v>995</v>
      </c>
      <c r="F361" s="2" t="s">
        <v>24</v>
      </c>
      <c r="G361" s="2" t="s">
        <v>789</v>
      </c>
      <c r="H361" s="2" t="s">
        <v>716</v>
      </c>
      <c r="I361" s="2" t="s">
        <v>16</v>
      </c>
      <c r="J361" s="19" t="s">
        <v>979</v>
      </c>
      <c r="L361" t="str">
        <f t="shared" si="2"/>
        <v>250</v>
      </c>
      <c r="M361" t="e">
        <f>C361-K361-L361-#REF!</f>
        <v>#REF!</v>
      </c>
      <c r="N361" t="e">
        <f t="shared" si="3"/>
        <v>#REF!</v>
      </c>
    </row>
    <row r="362" spans="1:14">
      <c r="A362" s="40" t="s">
        <v>996</v>
      </c>
      <c r="B362" s="40">
        <v>3342900998</v>
      </c>
      <c r="C362" s="40">
        <v>1250</v>
      </c>
      <c r="D362" s="40" t="s">
        <v>997</v>
      </c>
      <c r="E362" s="30" t="s">
        <v>148</v>
      </c>
      <c r="F362" s="30" t="s">
        <v>24</v>
      </c>
      <c r="G362" s="30" t="s">
        <v>303</v>
      </c>
      <c r="H362" s="30" t="s">
        <v>15</v>
      </c>
      <c r="I362" s="30" t="s">
        <v>122</v>
      </c>
      <c r="J362" s="37" t="s">
        <v>979</v>
      </c>
      <c r="K362" s="54"/>
      <c r="L362" t="str">
        <f t="shared" si="2"/>
        <v>250</v>
      </c>
      <c r="M362" t="e">
        <f>C362-K362-L362-#REF!</f>
        <v>#REF!</v>
      </c>
      <c r="N362" t="str">
        <f t="shared" si="3"/>
        <v>Waiting For Deliver</v>
      </c>
    </row>
    <row r="363" spans="1:14">
      <c r="A363" s="11" t="s">
        <v>998</v>
      </c>
      <c r="B363" s="11">
        <v>3105156669</v>
      </c>
      <c r="C363" s="11">
        <v>1200</v>
      </c>
      <c r="D363" s="11" t="s">
        <v>999</v>
      </c>
      <c r="E363" s="2" t="s">
        <v>23</v>
      </c>
      <c r="F363" s="2" t="s">
        <v>24</v>
      </c>
      <c r="G363" s="2" t="s">
        <v>303</v>
      </c>
      <c r="H363" s="2" t="s">
        <v>15</v>
      </c>
      <c r="I363" s="2" t="s">
        <v>16</v>
      </c>
      <c r="J363" s="19" t="s">
        <v>979</v>
      </c>
      <c r="L363" t="str">
        <f t="shared" si="2"/>
        <v>250</v>
      </c>
      <c r="M363" t="e">
        <f>C363-K363-L363-#REF!</f>
        <v>#REF!</v>
      </c>
      <c r="N363" t="e">
        <f t="shared" si="3"/>
        <v>#REF!</v>
      </c>
    </row>
    <row r="364" spans="1:14">
      <c r="A364" s="40" t="s">
        <v>1002</v>
      </c>
      <c r="B364" s="40">
        <v>3347233398</v>
      </c>
      <c r="C364" s="40">
        <v>1550</v>
      </c>
      <c r="D364" s="40" t="s">
        <v>1001</v>
      </c>
      <c r="E364" s="30" t="s">
        <v>35</v>
      </c>
      <c r="F364" s="30" t="s">
        <v>45</v>
      </c>
      <c r="G364" s="30" t="s">
        <v>1000</v>
      </c>
      <c r="H364" s="30" t="s">
        <v>41</v>
      </c>
      <c r="I364" s="30" t="s">
        <v>122</v>
      </c>
      <c r="J364" s="37" t="s">
        <v>979</v>
      </c>
      <c r="K364" s="54"/>
      <c r="L364" t="str">
        <f t="shared" ref="L364" si="4">IF(E364="karachi","150","250")</f>
        <v>250</v>
      </c>
      <c r="M364" t="e">
        <f>C364-K364-L364-#REF!</f>
        <v>#REF!</v>
      </c>
      <c r="N364" t="str">
        <f t="shared" si="3"/>
        <v>Waiting For Deliver</v>
      </c>
    </row>
    <row r="365" spans="1:14">
      <c r="A365" s="11" t="s">
        <v>1003</v>
      </c>
      <c r="B365" s="11">
        <v>3102481987</v>
      </c>
      <c r="C365" s="11">
        <v>1120</v>
      </c>
      <c r="D365" s="11" t="s">
        <v>1004</v>
      </c>
      <c r="E365" s="2" t="s">
        <v>12</v>
      </c>
      <c r="F365" s="2" t="s">
        <v>24</v>
      </c>
      <c r="G365" s="2" t="s">
        <v>100</v>
      </c>
      <c r="H365" s="2" t="s">
        <v>15</v>
      </c>
      <c r="I365" s="2" t="s">
        <v>16</v>
      </c>
      <c r="J365" s="19" t="s">
        <v>979</v>
      </c>
      <c r="L365" t="str">
        <f t="shared" ref="L365" si="5">IF(E365="karachi","150","250")</f>
        <v>250</v>
      </c>
      <c r="M365" t="e">
        <f>C365-K365-L365-#REF!</f>
        <v>#REF!</v>
      </c>
      <c r="N365" t="e">
        <f t="shared" si="3"/>
        <v>#REF!</v>
      </c>
    </row>
    <row r="366" spans="1:14">
      <c r="A366" s="11" t="s">
        <v>1005</v>
      </c>
      <c r="B366" s="11">
        <v>3102720426</v>
      </c>
      <c r="C366" s="11">
        <v>800</v>
      </c>
      <c r="D366" s="11" t="s">
        <v>1006</v>
      </c>
      <c r="E366" s="2" t="s">
        <v>755</v>
      </c>
      <c r="F366" s="2" t="s">
        <v>24</v>
      </c>
      <c r="G366" s="2" t="s">
        <v>1007</v>
      </c>
      <c r="H366" s="2" t="s">
        <v>15</v>
      </c>
      <c r="I366" s="2" t="s">
        <v>16</v>
      </c>
      <c r="J366" s="19" t="s">
        <v>979</v>
      </c>
      <c r="L366" t="str">
        <f t="shared" ref="L366" si="6">IF(E366="karachi","150","250")</f>
        <v>250</v>
      </c>
      <c r="M366" t="e">
        <f>C366-K366-L366-#REF!</f>
        <v>#REF!</v>
      </c>
      <c r="N366" t="e">
        <f t="shared" si="3"/>
        <v>#REF!</v>
      </c>
    </row>
    <row r="367" spans="1:14">
      <c r="A367" s="11" t="s">
        <v>1008</v>
      </c>
      <c r="B367" s="11">
        <v>3327529216</v>
      </c>
      <c r="C367" s="11">
        <v>2800</v>
      </c>
      <c r="D367" s="11" t="s">
        <v>1009</v>
      </c>
      <c r="E367" s="2" t="s">
        <v>377</v>
      </c>
      <c r="F367" s="2" t="s">
        <v>133</v>
      </c>
      <c r="G367" s="2" t="s">
        <v>1010</v>
      </c>
      <c r="H367" s="2" t="s">
        <v>15</v>
      </c>
      <c r="I367" s="2" t="s">
        <v>16</v>
      </c>
      <c r="J367" s="19" t="s">
        <v>979</v>
      </c>
      <c r="L367" t="str">
        <f t="shared" ref="L367" si="7">IF(E367="karachi","150","250")</f>
        <v>250</v>
      </c>
      <c r="M367" t="e">
        <f>C367-K367-L367-#REF!</f>
        <v>#REF!</v>
      </c>
      <c r="N367" t="e">
        <f t="shared" si="3"/>
        <v>#REF!</v>
      </c>
    </row>
    <row r="368" spans="1:14">
      <c r="A368" s="2" t="s">
        <v>630</v>
      </c>
      <c r="B368" s="2">
        <v>3145452288</v>
      </c>
      <c r="C368" s="2">
        <v>1700</v>
      </c>
      <c r="D368" s="2" t="s">
        <v>631</v>
      </c>
      <c r="E368" s="5" t="s">
        <v>148</v>
      </c>
      <c r="F368" s="2" t="s">
        <v>515</v>
      </c>
      <c r="G368" s="5" t="s">
        <v>1011</v>
      </c>
      <c r="H368" s="5" t="s">
        <v>41</v>
      </c>
      <c r="I368" s="5" t="s">
        <v>16</v>
      </c>
      <c r="J368" s="13">
        <v>42370</v>
      </c>
      <c r="K368">
        <v>690</v>
      </c>
      <c r="L368" t="str">
        <f t="shared" ref="L368" si="8">IF(E368="karachi","150","250")</f>
        <v>250</v>
      </c>
      <c r="M368" t="e">
        <f>C368-K368-L368-#REF!</f>
        <v>#REF!</v>
      </c>
      <c r="N368" t="e">
        <f t="shared" si="3"/>
        <v>#REF!</v>
      </c>
    </row>
    <row r="369" spans="1:14">
      <c r="A369" s="11" t="s">
        <v>1012</v>
      </c>
      <c r="B369" s="11">
        <v>3489348238</v>
      </c>
      <c r="C369" s="11">
        <v>750</v>
      </c>
      <c r="D369" s="11" t="s">
        <v>1013</v>
      </c>
      <c r="E369" s="2" t="s">
        <v>153</v>
      </c>
      <c r="F369" s="2" t="s">
        <v>45</v>
      </c>
      <c r="G369" s="2" t="s">
        <v>1014</v>
      </c>
      <c r="H369" s="2" t="s">
        <v>41</v>
      </c>
      <c r="I369" s="2" t="s">
        <v>16</v>
      </c>
      <c r="J369" s="13">
        <v>42370</v>
      </c>
      <c r="K369">
        <v>400</v>
      </c>
      <c r="L369" t="str">
        <f t="shared" ref="L369" si="9">IF(E369="karachi","150","250")</f>
        <v>250</v>
      </c>
      <c r="M369" t="e">
        <f>C369-K369-L369-#REF!</f>
        <v>#REF!</v>
      </c>
      <c r="N369" t="e">
        <f t="shared" si="3"/>
        <v>#REF!</v>
      </c>
    </row>
    <row r="370" spans="1:14">
      <c r="A370" s="11" t="s">
        <v>1015</v>
      </c>
      <c r="B370" s="11">
        <v>3459178555</v>
      </c>
      <c r="C370" s="11">
        <v>950</v>
      </c>
      <c r="D370" s="11" t="s">
        <v>1016</v>
      </c>
      <c r="E370" s="2" t="s">
        <v>35</v>
      </c>
      <c r="F370" s="2" t="s">
        <v>45</v>
      </c>
      <c r="G370" s="2" t="s">
        <v>557</v>
      </c>
      <c r="H370" s="2" t="s">
        <v>15</v>
      </c>
      <c r="I370" s="2" t="s">
        <v>16</v>
      </c>
      <c r="J370" s="13">
        <v>42370</v>
      </c>
      <c r="K370">
        <v>450</v>
      </c>
      <c r="L370" t="str">
        <f t="shared" ref="L370:L396" si="10">IF(E370="karachi","150","250")</f>
        <v>250</v>
      </c>
      <c r="M370" t="e">
        <f>C370-K370-L370-#REF!</f>
        <v>#REF!</v>
      </c>
      <c r="N370" t="e">
        <f t="shared" si="3"/>
        <v>#REF!</v>
      </c>
    </row>
    <row r="371" spans="1:14">
      <c r="A371" s="11" t="s">
        <v>1017</v>
      </c>
      <c r="B371" s="11">
        <v>3111910017</v>
      </c>
      <c r="C371" s="11">
        <v>950</v>
      </c>
      <c r="D371" s="11" t="s">
        <v>1018</v>
      </c>
      <c r="E371" s="2" t="s">
        <v>23</v>
      </c>
      <c r="F371" s="2" t="s">
        <v>45</v>
      </c>
      <c r="G371" s="2" t="s">
        <v>557</v>
      </c>
      <c r="H371" s="2" t="s">
        <v>15</v>
      </c>
      <c r="I371" s="2" t="s">
        <v>16</v>
      </c>
      <c r="J371" s="13">
        <v>42370</v>
      </c>
      <c r="K371">
        <v>450</v>
      </c>
      <c r="L371" t="str">
        <f t="shared" si="10"/>
        <v>250</v>
      </c>
      <c r="M371" t="e">
        <f>C371-K371-L371-#REF!</f>
        <v>#REF!</v>
      </c>
      <c r="N371" t="e">
        <f t="shared" si="3"/>
        <v>#REF!</v>
      </c>
    </row>
    <row r="372" spans="1:14">
      <c r="A372" s="11" t="s">
        <v>1019</v>
      </c>
      <c r="B372" s="11">
        <v>3242347886</v>
      </c>
      <c r="C372" s="11">
        <v>1500</v>
      </c>
      <c r="D372" s="11" t="s">
        <v>1020</v>
      </c>
      <c r="E372" s="2" t="s">
        <v>50</v>
      </c>
      <c r="F372" s="2" t="s">
        <v>24</v>
      </c>
      <c r="G372" s="2" t="s">
        <v>145</v>
      </c>
      <c r="H372" s="2" t="s">
        <v>15</v>
      </c>
      <c r="I372" s="2" t="s">
        <v>16</v>
      </c>
      <c r="J372" s="13">
        <v>42370</v>
      </c>
      <c r="K372">
        <v>925</v>
      </c>
      <c r="L372" t="str">
        <f t="shared" si="10"/>
        <v>150</v>
      </c>
      <c r="M372" t="e">
        <f>C372-K372-L372-#REF!</f>
        <v>#REF!</v>
      </c>
      <c r="N372" t="e">
        <f t="shared" si="3"/>
        <v>#REF!</v>
      </c>
    </row>
    <row r="373" spans="1:14">
      <c r="A373" s="11" t="s">
        <v>1021</v>
      </c>
      <c r="B373" s="11">
        <v>2134016969</v>
      </c>
      <c r="C373" s="11">
        <v>930</v>
      </c>
      <c r="D373" s="11" t="s">
        <v>1022</v>
      </c>
      <c r="E373" s="2" t="s">
        <v>50</v>
      </c>
      <c r="F373" s="2" t="s">
        <v>24</v>
      </c>
      <c r="G373" s="2" t="s">
        <v>557</v>
      </c>
      <c r="H373" s="2" t="s">
        <v>15</v>
      </c>
      <c r="I373" s="2" t="s">
        <v>16</v>
      </c>
      <c r="J373" s="13">
        <v>42370</v>
      </c>
      <c r="K373">
        <v>450</v>
      </c>
      <c r="L373" t="str">
        <f t="shared" si="10"/>
        <v>150</v>
      </c>
      <c r="M373" t="e">
        <f>C373-K373-L373-#REF!</f>
        <v>#REF!</v>
      </c>
      <c r="N373" t="e">
        <f t="shared" si="3"/>
        <v>#REF!</v>
      </c>
    </row>
    <row r="374" spans="1:14">
      <c r="A374" s="35" t="s">
        <v>1023</v>
      </c>
      <c r="B374">
        <v>3018964628</v>
      </c>
      <c r="C374" s="11">
        <v>1100</v>
      </c>
      <c r="D374" t="s">
        <v>1024</v>
      </c>
      <c r="E374" s="2" t="s">
        <v>50</v>
      </c>
      <c r="F374" s="2" t="s">
        <v>24</v>
      </c>
      <c r="G374" s="2" t="s">
        <v>789</v>
      </c>
      <c r="H374" s="2" t="s">
        <v>15</v>
      </c>
      <c r="I374" s="2" t="s">
        <v>16</v>
      </c>
      <c r="J374" s="13">
        <v>42370</v>
      </c>
      <c r="K374">
        <v>725</v>
      </c>
      <c r="L374" t="str">
        <f t="shared" si="10"/>
        <v>150</v>
      </c>
      <c r="M374" t="e">
        <f>C374-K374-L374-#REF!</f>
        <v>#REF!</v>
      </c>
      <c r="N374" t="e">
        <f t="shared" si="3"/>
        <v>#REF!</v>
      </c>
    </row>
    <row r="375" spans="1:14">
      <c r="A375" t="s">
        <v>1025</v>
      </c>
      <c r="B375">
        <v>3332727705</v>
      </c>
      <c r="C375" s="11">
        <v>720</v>
      </c>
      <c r="D375" s="35" t="s">
        <v>1026</v>
      </c>
      <c r="E375" s="2" t="s">
        <v>50</v>
      </c>
      <c r="F375" s="2" t="s">
        <v>24</v>
      </c>
      <c r="G375" s="2" t="s">
        <v>715</v>
      </c>
      <c r="H375" s="2" t="s">
        <v>15</v>
      </c>
      <c r="I375" s="2" t="s">
        <v>16</v>
      </c>
      <c r="J375" s="13">
        <v>42370</v>
      </c>
      <c r="K375">
        <v>275</v>
      </c>
      <c r="L375" t="str">
        <f t="shared" si="10"/>
        <v>150</v>
      </c>
      <c r="M375" t="e">
        <f>C375-K375-L375-#REF!</f>
        <v>#REF!</v>
      </c>
      <c r="N375" t="e">
        <f t="shared" si="3"/>
        <v>#REF!</v>
      </c>
    </row>
    <row r="376" spans="1:14">
      <c r="A376" t="s">
        <v>1028</v>
      </c>
      <c r="B376">
        <v>3121133661</v>
      </c>
      <c r="C376" s="11">
        <v>1550</v>
      </c>
      <c r="D376" t="s">
        <v>1029</v>
      </c>
      <c r="E376" s="2" t="s">
        <v>50</v>
      </c>
      <c r="F376" s="2" t="s">
        <v>45</v>
      </c>
      <c r="G376" s="2" t="s">
        <v>1027</v>
      </c>
      <c r="H376" s="2" t="s">
        <v>41</v>
      </c>
      <c r="I376" s="2" t="s">
        <v>16</v>
      </c>
      <c r="J376" s="38">
        <v>42401</v>
      </c>
      <c r="K376">
        <v>625</v>
      </c>
      <c r="L376" t="str">
        <f t="shared" si="10"/>
        <v>150</v>
      </c>
      <c r="M376" t="e">
        <f>C376-K376-L376-#REF!</f>
        <v>#REF!</v>
      </c>
      <c r="N376" t="e">
        <f t="shared" si="3"/>
        <v>#REF!</v>
      </c>
    </row>
    <row r="377" spans="1:14">
      <c r="A377" s="11" t="s">
        <v>1030</v>
      </c>
      <c r="B377" s="11">
        <v>3347200900</v>
      </c>
      <c r="C377" s="11">
        <v>2800</v>
      </c>
      <c r="D377" s="11" t="s">
        <v>1031</v>
      </c>
      <c r="E377" s="2" t="s">
        <v>1032</v>
      </c>
      <c r="F377" s="2" t="s">
        <v>515</v>
      </c>
      <c r="G377" s="2" t="s">
        <v>1033</v>
      </c>
      <c r="H377" s="2" t="s">
        <v>41</v>
      </c>
      <c r="I377" s="2" t="s">
        <v>16</v>
      </c>
      <c r="J377" s="39">
        <v>42401</v>
      </c>
      <c r="K377">
        <v>1590</v>
      </c>
      <c r="L377" t="str">
        <f t="shared" si="10"/>
        <v>250</v>
      </c>
      <c r="M377" t="e">
        <f>C377-K377-L377-#REF!</f>
        <v>#REF!</v>
      </c>
      <c r="N377" t="e">
        <f t="shared" si="3"/>
        <v>#REF!</v>
      </c>
    </row>
    <row r="378" spans="1:14">
      <c r="A378" s="11" t="s">
        <v>1034</v>
      </c>
      <c r="B378" s="11">
        <v>3412322189</v>
      </c>
      <c r="C378" s="11">
        <v>1550</v>
      </c>
      <c r="D378" s="11" t="s">
        <v>1035</v>
      </c>
      <c r="E378" s="2" t="s">
        <v>1036</v>
      </c>
      <c r="F378" s="2" t="s">
        <v>24</v>
      </c>
      <c r="G378" s="2" t="s">
        <v>1037</v>
      </c>
      <c r="H378" s="2" t="s">
        <v>41</v>
      </c>
      <c r="I378" s="2" t="s">
        <v>16</v>
      </c>
      <c r="J378" s="39">
        <v>42401</v>
      </c>
      <c r="K378">
        <v>300</v>
      </c>
      <c r="L378" t="str">
        <f t="shared" si="10"/>
        <v>250</v>
      </c>
      <c r="M378" t="e">
        <f>C378-K378-L378-#REF!</f>
        <v>#REF!</v>
      </c>
      <c r="N378" t="e">
        <f t="shared" si="3"/>
        <v>#REF!</v>
      </c>
    </row>
    <row r="379" spans="1:14">
      <c r="A379" s="11" t="s">
        <v>1038</v>
      </c>
      <c r="B379" s="11">
        <v>3331431384</v>
      </c>
      <c r="C379" s="11">
        <v>1300</v>
      </c>
      <c r="D379" s="11" t="s">
        <v>1039</v>
      </c>
      <c r="E379" s="2" t="s">
        <v>23</v>
      </c>
      <c r="F379" s="2" t="s">
        <v>24</v>
      </c>
      <c r="G379" s="2" t="s">
        <v>420</v>
      </c>
      <c r="H379" s="2" t="s">
        <v>41</v>
      </c>
      <c r="I379" s="2" t="s">
        <v>16</v>
      </c>
      <c r="J379" s="39">
        <v>42401</v>
      </c>
      <c r="K379">
        <v>520</v>
      </c>
      <c r="L379" t="str">
        <f t="shared" si="10"/>
        <v>250</v>
      </c>
      <c r="M379" t="e">
        <f>C379-K379-L379-#REF!</f>
        <v>#REF!</v>
      </c>
      <c r="N379" t="e">
        <f t="shared" si="3"/>
        <v>#REF!</v>
      </c>
    </row>
    <row r="380" spans="1:14">
      <c r="A380" s="2" t="s">
        <v>855</v>
      </c>
      <c r="B380" s="2">
        <v>3149234627</v>
      </c>
      <c r="C380" s="2">
        <v>1120</v>
      </c>
      <c r="D380" s="2" t="s">
        <v>856</v>
      </c>
      <c r="E380" s="2" t="s">
        <v>35</v>
      </c>
      <c r="F380" s="2" t="s">
        <v>45</v>
      </c>
      <c r="G380" s="2" t="s">
        <v>100</v>
      </c>
      <c r="H380" s="2" t="s">
        <v>15</v>
      </c>
      <c r="I380" s="2" t="s">
        <v>16</v>
      </c>
      <c r="J380" s="12">
        <v>42461</v>
      </c>
      <c r="K380">
        <v>575</v>
      </c>
      <c r="L380" t="str">
        <f t="shared" si="10"/>
        <v>250</v>
      </c>
      <c r="M380" t="e">
        <f>C380-K380-L380-#REF!</f>
        <v>#REF!</v>
      </c>
      <c r="N380" t="e">
        <f t="shared" si="3"/>
        <v>#REF!</v>
      </c>
    </row>
    <row r="381" spans="1:14">
      <c r="A381" s="11" t="s">
        <v>1040</v>
      </c>
      <c r="B381" s="11">
        <v>3360016955</v>
      </c>
      <c r="C381" s="11">
        <v>1070</v>
      </c>
      <c r="D381" s="11" t="s">
        <v>1041</v>
      </c>
      <c r="E381" s="2" t="s">
        <v>19</v>
      </c>
      <c r="F381" s="2" t="s">
        <v>515</v>
      </c>
      <c r="G381" s="2" t="s">
        <v>594</v>
      </c>
      <c r="H381" s="2" t="s">
        <v>15</v>
      </c>
      <c r="I381" s="2" t="s">
        <v>16</v>
      </c>
      <c r="J381" s="12">
        <v>42461</v>
      </c>
      <c r="K381">
        <v>500</v>
      </c>
      <c r="L381" t="str">
        <f t="shared" si="10"/>
        <v>250</v>
      </c>
      <c r="M381" t="e">
        <f>C381-K381-L381-#REF!</f>
        <v>#REF!</v>
      </c>
      <c r="N381" t="e">
        <f t="shared" si="3"/>
        <v>#REF!</v>
      </c>
    </row>
    <row r="382" spans="1:14">
      <c r="A382" s="11" t="s">
        <v>1042</v>
      </c>
      <c r="B382" s="11">
        <v>3204730757</v>
      </c>
      <c r="C382" s="11">
        <v>1400</v>
      </c>
      <c r="D382" s="11" t="s">
        <v>1043</v>
      </c>
      <c r="E382" s="2" t="s">
        <v>23</v>
      </c>
      <c r="F382" s="2" t="s">
        <v>45</v>
      </c>
      <c r="G382" s="2" t="s">
        <v>536</v>
      </c>
      <c r="H382" s="2" t="s">
        <v>15</v>
      </c>
      <c r="I382" s="2" t="s">
        <v>16</v>
      </c>
      <c r="J382" s="12">
        <v>42461</v>
      </c>
      <c r="K382">
        <f>160*5</f>
        <v>800</v>
      </c>
      <c r="L382" t="str">
        <f t="shared" si="10"/>
        <v>250</v>
      </c>
      <c r="M382" t="e">
        <f>C382-K382-L382-#REF!</f>
        <v>#REF!</v>
      </c>
      <c r="N382" t="e">
        <f t="shared" si="3"/>
        <v>#REF!</v>
      </c>
    </row>
    <row r="383" spans="1:14">
      <c r="A383" s="11" t="s">
        <v>1044</v>
      </c>
      <c r="B383" s="11">
        <v>3125588008</v>
      </c>
      <c r="C383" s="11">
        <v>1250</v>
      </c>
      <c r="D383" s="11" t="s">
        <v>1045</v>
      </c>
      <c r="E383" s="2" t="s">
        <v>638</v>
      </c>
      <c r="F383" s="2" t="s">
        <v>45</v>
      </c>
      <c r="G383" s="2" t="s">
        <v>1046</v>
      </c>
      <c r="H383" s="2" t="s">
        <v>15</v>
      </c>
      <c r="I383" s="2" t="s">
        <v>16</v>
      </c>
      <c r="J383" s="12">
        <v>42461</v>
      </c>
      <c r="K383">
        <f>350+350</f>
        <v>700</v>
      </c>
      <c r="L383" t="str">
        <f t="shared" si="10"/>
        <v>250</v>
      </c>
      <c r="M383" t="e">
        <f>C383-K383-L383-#REF!</f>
        <v>#REF!</v>
      </c>
      <c r="N383" t="e">
        <f t="shared" si="3"/>
        <v>#REF!</v>
      </c>
    </row>
    <row r="384" spans="1:14">
      <c r="A384" s="11" t="s">
        <v>1047</v>
      </c>
      <c r="B384" s="11">
        <v>3126709049</v>
      </c>
      <c r="C384" s="11">
        <v>1430</v>
      </c>
      <c r="D384" s="11" t="s">
        <v>1048</v>
      </c>
      <c r="E384" s="2" t="s">
        <v>272</v>
      </c>
      <c r="F384" s="2" t="s">
        <v>24</v>
      </c>
      <c r="G384" s="2" t="s">
        <v>622</v>
      </c>
      <c r="H384" s="2" t="s">
        <v>15</v>
      </c>
      <c r="I384" s="2" t="s">
        <v>16</v>
      </c>
      <c r="J384" s="39">
        <v>42522</v>
      </c>
      <c r="K384">
        <v>575</v>
      </c>
      <c r="L384" t="str">
        <f t="shared" si="10"/>
        <v>250</v>
      </c>
      <c r="M384" t="e">
        <f>C384-K384-L384-#REF!</f>
        <v>#REF!</v>
      </c>
      <c r="N384" t="e">
        <f t="shared" si="3"/>
        <v>#REF!</v>
      </c>
    </row>
    <row r="385" spans="1:14">
      <c r="A385" s="11" t="s">
        <v>1049</v>
      </c>
      <c r="B385" s="11">
        <v>3334406896</v>
      </c>
      <c r="C385" s="11">
        <v>1140</v>
      </c>
      <c r="D385" s="11" t="s">
        <v>1050</v>
      </c>
      <c r="E385" s="11" t="s">
        <v>1051</v>
      </c>
      <c r="F385" s="2" t="s">
        <v>45</v>
      </c>
      <c r="G385" s="2" t="s">
        <v>348</v>
      </c>
      <c r="H385" s="2" t="s">
        <v>15</v>
      </c>
      <c r="I385" s="2" t="s">
        <v>16</v>
      </c>
      <c r="J385" s="39">
        <v>42522</v>
      </c>
      <c r="K385">
        <f>480+160</f>
        <v>640</v>
      </c>
      <c r="L385" t="str">
        <f t="shared" si="10"/>
        <v>250</v>
      </c>
      <c r="M385" t="e">
        <f>C385-K385-L385-#REF!</f>
        <v>#REF!</v>
      </c>
      <c r="N385" t="e">
        <f t="shared" si="3"/>
        <v>#REF!</v>
      </c>
    </row>
    <row r="386" spans="1:14">
      <c r="A386" s="11" t="s">
        <v>1052</v>
      </c>
      <c r="B386" s="11">
        <v>3039196147</v>
      </c>
      <c r="C386" s="11">
        <v>900</v>
      </c>
      <c r="D386" s="11" t="s">
        <v>1053</v>
      </c>
      <c r="E386" s="11" t="s">
        <v>19</v>
      </c>
      <c r="F386" s="11" t="s">
        <v>45</v>
      </c>
      <c r="G386" s="11" t="s">
        <v>625</v>
      </c>
      <c r="H386" s="2" t="s">
        <v>15</v>
      </c>
      <c r="I386" s="2" t="s">
        <v>16</v>
      </c>
      <c r="J386" s="39">
        <v>42522</v>
      </c>
      <c r="K386">
        <v>400</v>
      </c>
      <c r="L386" t="str">
        <f t="shared" si="10"/>
        <v>250</v>
      </c>
      <c r="M386" t="e">
        <f>C386-K386-L386-#REF!</f>
        <v>#REF!</v>
      </c>
      <c r="N386" t="e">
        <f t="shared" si="3"/>
        <v>#REF!</v>
      </c>
    </row>
    <row r="387" spans="1:14">
      <c r="A387" s="11" t="s">
        <v>1054</v>
      </c>
      <c r="B387" s="11">
        <v>3128073357</v>
      </c>
      <c r="C387" s="11">
        <v>1250</v>
      </c>
      <c r="D387" s="11" t="s">
        <v>1055</v>
      </c>
      <c r="E387" s="11" t="s">
        <v>852</v>
      </c>
      <c r="F387" s="11" t="s">
        <v>24</v>
      </c>
      <c r="G387" s="11" t="s">
        <v>100</v>
      </c>
      <c r="H387" s="2" t="s">
        <v>15</v>
      </c>
      <c r="I387" s="2" t="s">
        <v>16</v>
      </c>
      <c r="J387" s="39">
        <v>42522</v>
      </c>
      <c r="K387">
        <v>575</v>
      </c>
      <c r="L387" t="str">
        <f t="shared" si="10"/>
        <v>250</v>
      </c>
      <c r="M387" t="e">
        <f>C387-K387-L387-#REF!</f>
        <v>#REF!</v>
      </c>
      <c r="N387" t="e">
        <f t="shared" si="3"/>
        <v>#REF!</v>
      </c>
    </row>
    <row r="388" spans="1:14">
      <c r="A388" s="11" t="s">
        <v>1056</v>
      </c>
      <c r="B388" s="11">
        <v>2136706570</v>
      </c>
      <c r="C388" s="11">
        <v>1150</v>
      </c>
      <c r="D388" s="11" t="s">
        <v>1057</v>
      </c>
      <c r="E388" s="11" t="s">
        <v>50</v>
      </c>
      <c r="F388" s="2" t="s">
        <v>133</v>
      </c>
      <c r="G388" s="2" t="s">
        <v>900</v>
      </c>
      <c r="H388" s="2" t="s">
        <v>15</v>
      </c>
      <c r="I388" s="2" t="s">
        <v>16</v>
      </c>
      <c r="J388" s="39">
        <v>42583</v>
      </c>
      <c r="K388">
        <v>250</v>
      </c>
      <c r="L388" t="str">
        <f t="shared" si="10"/>
        <v>150</v>
      </c>
      <c r="M388" t="e">
        <f>C388-K388-L388-#REF!</f>
        <v>#REF!</v>
      </c>
      <c r="N388" t="e">
        <f t="shared" si="3"/>
        <v>#REF!</v>
      </c>
    </row>
    <row r="389" spans="1:14">
      <c r="A389" s="11" t="s">
        <v>1058</v>
      </c>
      <c r="B389" s="11">
        <v>3314140989</v>
      </c>
      <c r="C389" s="11">
        <v>1500</v>
      </c>
      <c r="D389" s="11" t="s">
        <v>1059</v>
      </c>
      <c r="E389" s="11" t="s">
        <v>23</v>
      </c>
      <c r="F389" s="2" t="s">
        <v>45</v>
      </c>
      <c r="G389" s="2" t="s">
        <v>1060</v>
      </c>
      <c r="H389" s="2" t="s">
        <v>15</v>
      </c>
      <c r="I389" s="2" t="s">
        <v>16</v>
      </c>
      <c r="J389" s="39">
        <v>42583</v>
      </c>
      <c r="K389">
        <f>(160*5)+(40*4)+100</f>
        <v>1060</v>
      </c>
      <c r="L389" t="str">
        <f t="shared" si="10"/>
        <v>250</v>
      </c>
      <c r="M389" t="e">
        <f>C389-K389-L389-#REF!</f>
        <v>#REF!</v>
      </c>
      <c r="N389" t="e">
        <f t="shared" ref="N389:N406" si="11">IF(I389="deliver",M389,"Waiting For Deliver")</f>
        <v>#REF!</v>
      </c>
    </row>
    <row r="390" spans="1:14">
      <c r="A390" s="11" t="s">
        <v>1061</v>
      </c>
      <c r="B390" s="11">
        <v>3319385316</v>
      </c>
      <c r="C390" s="11">
        <v>2900</v>
      </c>
      <c r="D390" s="11" t="s">
        <v>1063</v>
      </c>
      <c r="E390" s="11" t="s">
        <v>35</v>
      </c>
      <c r="F390" s="11" t="s">
        <v>24</v>
      </c>
      <c r="G390" s="11" t="s">
        <v>1062</v>
      </c>
      <c r="H390" s="2" t="s">
        <v>41</v>
      </c>
      <c r="I390" s="2" t="s">
        <v>16</v>
      </c>
      <c r="J390" s="39">
        <v>42583</v>
      </c>
      <c r="K390">
        <f>475*2</f>
        <v>950</v>
      </c>
      <c r="L390" t="str">
        <f t="shared" si="10"/>
        <v>250</v>
      </c>
      <c r="M390" t="e">
        <f>C390-K390-L390-#REF!</f>
        <v>#REF!</v>
      </c>
      <c r="N390" t="e">
        <f t="shared" si="11"/>
        <v>#REF!</v>
      </c>
    </row>
    <row r="391" spans="1:14">
      <c r="A391" s="40" t="s">
        <v>1064</v>
      </c>
      <c r="B391" s="40">
        <v>3159066000</v>
      </c>
      <c r="C391" s="40">
        <v>2000</v>
      </c>
      <c r="D391" s="40" t="s">
        <v>1065</v>
      </c>
      <c r="E391" s="40" t="s">
        <v>933</v>
      </c>
      <c r="F391" s="40" t="s">
        <v>45</v>
      </c>
      <c r="G391" s="40" t="s">
        <v>869</v>
      </c>
      <c r="H391" s="30" t="s">
        <v>15</v>
      </c>
      <c r="I391" s="30" t="s">
        <v>122</v>
      </c>
      <c r="J391" s="42">
        <v>42644</v>
      </c>
      <c r="K391" s="54">
        <f>450*2</f>
        <v>900</v>
      </c>
      <c r="L391" s="54" t="str">
        <f t="shared" si="10"/>
        <v>250</v>
      </c>
      <c r="M391" t="e">
        <f>C391-K391-L391-#REF!</f>
        <v>#REF!</v>
      </c>
      <c r="N391" t="str">
        <f t="shared" si="11"/>
        <v>Waiting For Deliver</v>
      </c>
    </row>
    <row r="392" spans="1:14">
      <c r="A392" s="11" t="s">
        <v>1066</v>
      </c>
      <c r="B392" s="11">
        <v>3033801600</v>
      </c>
      <c r="C392" s="11">
        <v>900</v>
      </c>
      <c r="D392" s="11" t="s">
        <v>1067</v>
      </c>
      <c r="E392" s="11" t="s">
        <v>302</v>
      </c>
      <c r="F392" s="11" t="s">
        <v>45</v>
      </c>
      <c r="G392" s="11" t="s">
        <v>939</v>
      </c>
      <c r="H392" s="2" t="s">
        <v>41</v>
      </c>
      <c r="I392" s="2" t="s">
        <v>16</v>
      </c>
      <c r="J392" s="39">
        <v>42644</v>
      </c>
      <c r="K392">
        <v>450</v>
      </c>
      <c r="L392" t="str">
        <f t="shared" si="10"/>
        <v>250</v>
      </c>
      <c r="M392" t="e">
        <f>C392-K392-L392-#REF!</f>
        <v>#REF!</v>
      </c>
      <c r="N392" t="e">
        <f t="shared" si="11"/>
        <v>#REF!</v>
      </c>
    </row>
    <row r="393" spans="1:14">
      <c r="A393" s="2" t="s">
        <v>935</v>
      </c>
      <c r="B393" s="2">
        <v>3008500279</v>
      </c>
      <c r="C393" s="2">
        <v>950</v>
      </c>
      <c r="D393" s="2" t="s">
        <v>936</v>
      </c>
      <c r="E393" s="2" t="s">
        <v>19</v>
      </c>
      <c r="F393" s="2" t="s">
        <v>45</v>
      </c>
      <c r="G393" s="2" t="s">
        <v>557</v>
      </c>
      <c r="H393" s="2" t="s">
        <v>41</v>
      </c>
      <c r="I393" s="2" t="s">
        <v>16</v>
      </c>
      <c r="J393" s="39">
        <v>42644</v>
      </c>
      <c r="K393">
        <v>450</v>
      </c>
      <c r="L393" t="str">
        <f t="shared" si="10"/>
        <v>250</v>
      </c>
      <c r="M393" t="e">
        <f>C393-K393-L393-#REF!</f>
        <v>#REF!</v>
      </c>
      <c r="N393" t="e">
        <f t="shared" si="11"/>
        <v>#REF!</v>
      </c>
    </row>
    <row r="394" spans="1:14">
      <c r="A394" s="11" t="s">
        <v>1069</v>
      </c>
      <c r="B394" s="11">
        <v>3456026972</v>
      </c>
      <c r="C394" s="11">
        <v>1160</v>
      </c>
      <c r="D394" s="11" t="s">
        <v>1070</v>
      </c>
      <c r="E394" s="11" t="s">
        <v>50</v>
      </c>
      <c r="F394" s="11" t="s">
        <v>24</v>
      </c>
      <c r="G394" s="11" t="s">
        <v>343</v>
      </c>
      <c r="H394" s="2" t="s">
        <v>15</v>
      </c>
      <c r="I394" s="2" t="s">
        <v>16</v>
      </c>
      <c r="J394" s="11" t="s">
        <v>1068</v>
      </c>
      <c r="K394">
        <v>475</v>
      </c>
      <c r="L394" t="str">
        <f t="shared" si="10"/>
        <v>150</v>
      </c>
      <c r="M394" t="e">
        <f>C394-K394-L394-#REF!</f>
        <v>#REF!</v>
      </c>
      <c r="N394" t="e">
        <f t="shared" si="11"/>
        <v>#REF!</v>
      </c>
    </row>
    <row r="395" spans="1:14">
      <c r="A395" s="11" t="s">
        <v>1071</v>
      </c>
      <c r="B395" s="11">
        <v>3352019908</v>
      </c>
      <c r="C395" s="11">
        <v>1300</v>
      </c>
      <c r="D395" s="11" t="s">
        <v>1072</v>
      </c>
      <c r="E395" s="11" t="s">
        <v>50</v>
      </c>
      <c r="F395" s="11" t="s">
        <v>24</v>
      </c>
      <c r="G395" s="11" t="s">
        <v>260</v>
      </c>
      <c r="H395" s="2" t="s">
        <v>15</v>
      </c>
      <c r="I395" s="2" t="s">
        <v>16</v>
      </c>
      <c r="J395" s="11" t="s">
        <v>1068</v>
      </c>
      <c r="K395">
        <v>725</v>
      </c>
      <c r="L395" t="str">
        <f t="shared" si="10"/>
        <v>150</v>
      </c>
      <c r="M395" t="e">
        <f>C395-K395-L395-#REF!</f>
        <v>#REF!</v>
      </c>
      <c r="N395" t="e">
        <f t="shared" si="11"/>
        <v>#REF!</v>
      </c>
    </row>
    <row r="396" spans="1:14">
      <c r="A396" s="11" t="s">
        <v>1073</v>
      </c>
      <c r="B396" t="s">
        <v>1074</v>
      </c>
      <c r="C396" s="11">
        <v>1950</v>
      </c>
      <c r="D396" s="11" t="s">
        <v>463</v>
      </c>
      <c r="E396" s="11" t="s">
        <v>50</v>
      </c>
      <c r="F396" s="11" t="s">
        <v>45</v>
      </c>
      <c r="G396" s="11" t="s">
        <v>1075</v>
      </c>
      <c r="H396" s="2" t="s">
        <v>413</v>
      </c>
      <c r="I396" s="2" t="s">
        <v>16</v>
      </c>
      <c r="J396" s="11" t="s">
        <v>1076</v>
      </c>
      <c r="K396">
        <v>1050</v>
      </c>
      <c r="L396" t="str">
        <f t="shared" si="10"/>
        <v>150</v>
      </c>
      <c r="M396" t="e">
        <f>C396-K396-L396-#REF!</f>
        <v>#REF!</v>
      </c>
      <c r="N396" t="e">
        <f t="shared" si="11"/>
        <v>#REF!</v>
      </c>
    </row>
    <row r="397" spans="1:14">
      <c r="A397" s="11" t="s">
        <v>1082</v>
      </c>
      <c r="B397" s="11">
        <v>3345452412</v>
      </c>
      <c r="C397" s="11">
        <v>700</v>
      </c>
      <c r="D397" s="11" t="s">
        <v>1083</v>
      </c>
      <c r="E397" s="11" t="s">
        <v>19</v>
      </c>
      <c r="F397" s="11" t="s">
        <v>24</v>
      </c>
      <c r="G397" s="11" t="s">
        <v>742</v>
      </c>
      <c r="H397" s="2" t="s">
        <v>15</v>
      </c>
      <c r="I397" s="2" t="s">
        <v>16</v>
      </c>
      <c r="J397" s="11" t="s">
        <v>1081</v>
      </c>
      <c r="K397" s="18">
        <v>305</v>
      </c>
      <c r="L397" s="18" t="str">
        <f t="shared" ref="L397:L461" si="12">IF(E397="karachi","150","250")</f>
        <v>250</v>
      </c>
      <c r="M397" s="18" t="e">
        <f>C397-K397-L397-#REF!</f>
        <v>#REF!</v>
      </c>
      <c r="N397" t="e">
        <f t="shared" si="11"/>
        <v>#REF!</v>
      </c>
    </row>
    <row r="398" spans="1:14">
      <c r="A398" s="11" t="s">
        <v>1084</v>
      </c>
      <c r="B398" s="11">
        <v>3467888855</v>
      </c>
      <c r="C398" s="11">
        <v>1150</v>
      </c>
      <c r="D398" s="11" t="s">
        <v>1085</v>
      </c>
      <c r="E398" s="11" t="s">
        <v>1086</v>
      </c>
      <c r="F398" s="11" t="s">
        <v>24</v>
      </c>
      <c r="G398" s="11" t="s">
        <v>1087</v>
      </c>
      <c r="H398" s="11" t="s">
        <v>15</v>
      </c>
      <c r="I398" s="2" t="s">
        <v>16</v>
      </c>
      <c r="J398" s="11" t="s">
        <v>1076</v>
      </c>
      <c r="K398">
        <v>475</v>
      </c>
      <c r="L398" t="str">
        <f t="shared" si="12"/>
        <v>250</v>
      </c>
      <c r="M398" t="e">
        <f>C398-K398-L398-#REF!</f>
        <v>#REF!</v>
      </c>
      <c r="N398" t="e">
        <f t="shared" si="11"/>
        <v>#REF!</v>
      </c>
    </row>
    <row r="399" spans="1:14">
      <c r="A399" s="2" t="s">
        <v>798</v>
      </c>
      <c r="B399" s="2">
        <v>3008144988</v>
      </c>
      <c r="C399" s="2">
        <v>950</v>
      </c>
      <c r="D399" s="2" t="s">
        <v>799</v>
      </c>
      <c r="E399" s="2" t="s">
        <v>23</v>
      </c>
      <c r="F399" s="2" t="s">
        <v>45</v>
      </c>
      <c r="G399" s="2" t="s">
        <v>557</v>
      </c>
      <c r="H399" s="11" t="s">
        <v>15</v>
      </c>
      <c r="I399" s="2" t="s">
        <v>16</v>
      </c>
      <c r="J399" s="11" t="s">
        <v>1076</v>
      </c>
      <c r="K399">
        <v>450</v>
      </c>
      <c r="L399" t="str">
        <f t="shared" si="12"/>
        <v>250</v>
      </c>
      <c r="M399" t="e">
        <f>C399-K399-L399-#REF!</f>
        <v>#REF!</v>
      </c>
      <c r="N399" t="e">
        <f t="shared" si="11"/>
        <v>#REF!</v>
      </c>
    </row>
    <row r="400" spans="1:14">
      <c r="A400" s="11" t="s">
        <v>1088</v>
      </c>
      <c r="B400" s="11">
        <v>3026833084</v>
      </c>
      <c r="C400" s="11">
        <v>1500</v>
      </c>
      <c r="D400" s="11" t="s">
        <v>1089</v>
      </c>
      <c r="E400" s="11" t="s">
        <v>23</v>
      </c>
      <c r="F400" s="11" t="s">
        <v>515</v>
      </c>
      <c r="G400" s="11" t="s">
        <v>1090</v>
      </c>
      <c r="H400" s="11" t="s">
        <v>41</v>
      </c>
      <c r="I400" s="2" t="s">
        <v>16</v>
      </c>
      <c r="J400" s="11" t="s">
        <v>1076</v>
      </c>
      <c r="K400">
        <v>700</v>
      </c>
      <c r="L400" t="str">
        <f t="shared" si="12"/>
        <v>250</v>
      </c>
      <c r="M400" t="e">
        <f>C400-K400-L400-#REF!</f>
        <v>#REF!</v>
      </c>
      <c r="N400" t="e">
        <f t="shared" si="11"/>
        <v>#REF!</v>
      </c>
    </row>
    <row r="401" spans="1:14">
      <c r="A401" s="11" t="s">
        <v>1091</v>
      </c>
      <c r="B401" s="11">
        <v>3364786857</v>
      </c>
      <c r="C401" s="11">
        <v>1280</v>
      </c>
      <c r="D401" s="11" t="s">
        <v>1092</v>
      </c>
      <c r="E401" s="11" t="s">
        <v>12</v>
      </c>
      <c r="F401" s="11" t="s">
        <v>45</v>
      </c>
      <c r="G401" s="11" t="s">
        <v>1046</v>
      </c>
      <c r="H401" s="11" t="s">
        <v>15</v>
      </c>
      <c r="I401" s="2" t="s">
        <v>16</v>
      </c>
      <c r="J401" s="11" t="s">
        <v>1076</v>
      </c>
      <c r="K401">
        <f>350+350</f>
        <v>700</v>
      </c>
      <c r="L401" t="str">
        <f t="shared" si="12"/>
        <v>250</v>
      </c>
      <c r="M401" t="e">
        <f>C401-K401-L401-#REF!</f>
        <v>#REF!</v>
      </c>
      <c r="N401" t="e">
        <f t="shared" si="11"/>
        <v>#REF!</v>
      </c>
    </row>
    <row r="402" spans="1:14">
      <c r="A402" s="11" t="s">
        <v>1094</v>
      </c>
      <c r="B402" s="11">
        <v>3111047409</v>
      </c>
      <c r="C402" s="11">
        <v>1300</v>
      </c>
      <c r="D402" s="11" t="s">
        <v>1093</v>
      </c>
      <c r="E402" s="11" t="s">
        <v>50</v>
      </c>
      <c r="F402" s="11" t="s">
        <v>24</v>
      </c>
      <c r="G402" s="11" t="s">
        <v>1095</v>
      </c>
      <c r="H402" s="11" t="s">
        <v>41</v>
      </c>
      <c r="I402" s="2" t="s">
        <v>16</v>
      </c>
      <c r="J402" s="11" t="s">
        <v>1096</v>
      </c>
      <c r="K402">
        <v>500</v>
      </c>
      <c r="L402" t="str">
        <f t="shared" si="12"/>
        <v>150</v>
      </c>
      <c r="M402" t="e">
        <f>C402-K402-L402-#REF!</f>
        <v>#REF!</v>
      </c>
      <c r="N402" t="e">
        <f t="shared" si="11"/>
        <v>#REF!</v>
      </c>
    </row>
    <row r="403" spans="1:14">
      <c r="A403" s="11" t="s">
        <v>1097</v>
      </c>
      <c r="B403" s="11">
        <v>3002951048</v>
      </c>
      <c r="C403" s="11">
        <v>900</v>
      </c>
      <c r="D403" s="11" t="s">
        <v>1098</v>
      </c>
      <c r="E403" s="11" t="s">
        <v>50</v>
      </c>
      <c r="F403" s="11" t="s">
        <v>45</v>
      </c>
      <c r="G403" s="11" t="s">
        <v>1099</v>
      </c>
      <c r="H403" s="11" t="s">
        <v>41</v>
      </c>
      <c r="I403" s="2" t="s">
        <v>16</v>
      </c>
      <c r="J403" s="11" t="s">
        <v>1096</v>
      </c>
      <c r="K403">
        <v>500</v>
      </c>
      <c r="L403" t="str">
        <f t="shared" si="12"/>
        <v>150</v>
      </c>
      <c r="M403" t="e">
        <f>C403-K403-L403-#REF!</f>
        <v>#REF!</v>
      </c>
      <c r="N403" t="e">
        <f t="shared" si="11"/>
        <v>#REF!</v>
      </c>
    </row>
    <row r="404" spans="1:14">
      <c r="A404" s="11" t="s">
        <v>1101</v>
      </c>
      <c r="B404" s="11">
        <v>3244662889</v>
      </c>
      <c r="C404" s="11">
        <v>1340</v>
      </c>
      <c r="D404" s="11" t="s">
        <v>1102</v>
      </c>
      <c r="E404" s="11" t="s">
        <v>23</v>
      </c>
      <c r="F404" s="11" t="s">
        <v>714</v>
      </c>
      <c r="G404" s="11" t="s">
        <v>789</v>
      </c>
      <c r="H404" s="11" t="s">
        <v>15</v>
      </c>
      <c r="I404" s="2" t="s">
        <v>16</v>
      </c>
      <c r="J404" s="11" t="s">
        <v>1100</v>
      </c>
      <c r="K404">
        <v>725</v>
      </c>
      <c r="L404" t="str">
        <f t="shared" si="12"/>
        <v>250</v>
      </c>
      <c r="M404" t="e">
        <f>C404-K404-L404-#REF!</f>
        <v>#REF!</v>
      </c>
      <c r="N404" t="e">
        <f t="shared" si="11"/>
        <v>#REF!</v>
      </c>
    </row>
    <row r="405" spans="1:14">
      <c r="A405" s="2" t="s">
        <v>935</v>
      </c>
      <c r="B405" s="2">
        <v>3008500279</v>
      </c>
      <c r="C405" s="2">
        <v>850</v>
      </c>
      <c r="D405" s="2" t="s">
        <v>936</v>
      </c>
      <c r="E405" s="2" t="s">
        <v>19</v>
      </c>
      <c r="F405" s="2" t="s">
        <v>45</v>
      </c>
      <c r="G405" s="2" t="s">
        <v>1103</v>
      </c>
      <c r="H405" s="2" t="s">
        <v>41</v>
      </c>
      <c r="I405" s="2" t="s">
        <v>16</v>
      </c>
      <c r="J405" s="11" t="s">
        <v>1100</v>
      </c>
      <c r="K405">
        <f>680+150</f>
        <v>830</v>
      </c>
      <c r="L405" t="str">
        <f t="shared" si="12"/>
        <v>250</v>
      </c>
      <c r="M405" t="e">
        <f>C405-K405-L405-#REF!</f>
        <v>#REF!</v>
      </c>
      <c r="N405" t="e">
        <f t="shared" si="11"/>
        <v>#REF!</v>
      </c>
    </row>
    <row r="406" spans="1:14">
      <c r="A406" s="11" t="s">
        <v>1104</v>
      </c>
      <c r="B406" s="11">
        <v>3217418226</v>
      </c>
      <c r="C406" s="11">
        <v>1330</v>
      </c>
      <c r="D406" s="11" t="s">
        <v>1105</v>
      </c>
      <c r="E406" s="11" t="s">
        <v>30</v>
      </c>
      <c r="F406" s="11" t="s">
        <v>45</v>
      </c>
      <c r="G406" s="11" t="s">
        <v>736</v>
      </c>
      <c r="H406" s="11" t="s">
        <v>15</v>
      </c>
      <c r="I406" s="2" t="s">
        <v>16</v>
      </c>
      <c r="J406" s="11" t="s">
        <v>1100</v>
      </c>
      <c r="K406">
        <f>150*4</f>
        <v>600</v>
      </c>
      <c r="L406" t="str">
        <f t="shared" si="12"/>
        <v>250</v>
      </c>
      <c r="M406" t="e">
        <f>C406-K406-L406-#REF!</f>
        <v>#REF!</v>
      </c>
      <c r="N406" t="e">
        <f t="shared" si="11"/>
        <v>#REF!</v>
      </c>
    </row>
    <row r="407" spans="1:14">
      <c r="A407" s="40" t="s">
        <v>1106</v>
      </c>
      <c r="B407" s="40">
        <v>3363804011</v>
      </c>
      <c r="C407" s="40">
        <v>1400</v>
      </c>
      <c r="D407" s="40" t="s">
        <v>1107</v>
      </c>
      <c r="E407" s="40" t="s">
        <v>19</v>
      </c>
      <c r="F407" s="40" t="s">
        <v>24</v>
      </c>
      <c r="G407" s="40" t="s">
        <v>802</v>
      </c>
      <c r="H407" s="40" t="s">
        <v>15</v>
      </c>
      <c r="I407" s="30" t="s">
        <v>122</v>
      </c>
      <c r="J407" s="40" t="s">
        <v>1100</v>
      </c>
      <c r="K407" s="54">
        <v>575</v>
      </c>
      <c r="L407" s="54" t="str">
        <f t="shared" si="12"/>
        <v>250</v>
      </c>
      <c r="M407">
        <v>-168</v>
      </c>
      <c r="N407" t="s">
        <v>122</v>
      </c>
    </row>
    <row r="408" spans="1:14">
      <c r="A408" s="11" t="s">
        <v>1108</v>
      </c>
      <c r="B408" s="11">
        <v>3478828753</v>
      </c>
      <c r="C408" s="11">
        <v>1300</v>
      </c>
      <c r="D408" s="11" t="s">
        <v>1110</v>
      </c>
      <c r="E408" s="11" t="s">
        <v>50</v>
      </c>
      <c r="F408" s="11" t="s">
        <v>45</v>
      </c>
      <c r="G408" s="11" t="s">
        <v>878</v>
      </c>
      <c r="H408" s="11" t="s">
        <v>41</v>
      </c>
      <c r="I408" s="2" t="s">
        <v>16</v>
      </c>
      <c r="J408" s="11" t="s">
        <v>1109</v>
      </c>
      <c r="K408">
        <f>340+350+40</f>
        <v>730</v>
      </c>
      <c r="L408" t="str">
        <f t="shared" si="12"/>
        <v>150</v>
      </c>
      <c r="M408" t="e">
        <f>C408-K408-L408-#REF!</f>
        <v>#REF!</v>
      </c>
      <c r="N408" t="e">
        <f t="shared" ref="N408:N415" si="13">IF(I408="deliver",M408,"Waiting For Deliver")</f>
        <v>#REF!</v>
      </c>
    </row>
    <row r="409" spans="1:14">
      <c r="A409" s="40" t="s">
        <v>1113</v>
      </c>
      <c r="B409" s="40">
        <v>3487932662</v>
      </c>
      <c r="C409" s="40">
        <v>1300</v>
      </c>
      <c r="D409" s="40" t="s">
        <v>1114</v>
      </c>
      <c r="E409" s="40" t="s">
        <v>1115</v>
      </c>
      <c r="F409" s="40" t="s">
        <v>24</v>
      </c>
      <c r="G409" s="40" t="s">
        <v>420</v>
      </c>
      <c r="H409" s="40" t="s">
        <v>41</v>
      </c>
      <c r="I409" s="30" t="s">
        <v>122</v>
      </c>
      <c r="J409" s="40" t="s">
        <v>1112</v>
      </c>
      <c r="K409" s="54">
        <v>520</v>
      </c>
      <c r="L409" s="54" t="str">
        <f t="shared" si="12"/>
        <v>250</v>
      </c>
      <c r="M409" t="e">
        <f>C409-K409-L409-#REF!</f>
        <v>#REF!</v>
      </c>
      <c r="N409" t="str">
        <f t="shared" si="13"/>
        <v>Waiting For Deliver</v>
      </c>
    </row>
    <row r="410" spans="1:14">
      <c r="A410" s="11" t="s">
        <v>1116</v>
      </c>
      <c r="B410" s="11">
        <v>3236918898</v>
      </c>
      <c r="C410" s="11">
        <v>1290</v>
      </c>
      <c r="D410" s="11" t="s">
        <v>1117</v>
      </c>
      <c r="E410" s="11" t="s">
        <v>377</v>
      </c>
      <c r="F410" s="11" t="s">
        <v>24</v>
      </c>
      <c r="G410" s="11" t="s">
        <v>1118</v>
      </c>
      <c r="H410" s="11" t="s">
        <v>716</v>
      </c>
      <c r="I410" s="2" t="s">
        <v>16</v>
      </c>
      <c r="J410" s="11" t="s">
        <v>1112</v>
      </c>
      <c r="K410">
        <v>575</v>
      </c>
      <c r="L410" t="str">
        <f t="shared" si="12"/>
        <v>250</v>
      </c>
      <c r="M410" t="e">
        <f>C410-K410-L410-#REF!</f>
        <v>#REF!</v>
      </c>
      <c r="N410" t="e">
        <f t="shared" si="13"/>
        <v>#REF!</v>
      </c>
    </row>
    <row r="411" spans="1:14">
      <c r="A411" s="11" t="s">
        <v>1119</v>
      </c>
      <c r="B411" s="11">
        <v>3218669182</v>
      </c>
      <c r="C411" s="11">
        <v>1050</v>
      </c>
      <c r="D411" s="11" t="s">
        <v>1120</v>
      </c>
      <c r="E411" s="11" t="s">
        <v>57</v>
      </c>
      <c r="F411" s="11" t="s">
        <v>24</v>
      </c>
      <c r="G411" s="11" t="s">
        <v>416</v>
      </c>
      <c r="H411" s="11" t="s">
        <v>716</v>
      </c>
      <c r="I411" s="2" t="s">
        <v>16</v>
      </c>
      <c r="J411" s="11" t="s">
        <v>1112</v>
      </c>
      <c r="K411">
        <v>275</v>
      </c>
      <c r="L411" t="str">
        <f t="shared" si="12"/>
        <v>250</v>
      </c>
      <c r="M411" t="e">
        <f>C411-K411-L411-#REF!</f>
        <v>#REF!</v>
      </c>
      <c r="N411" t="e">
        <f t="shared" si="13"/>
        <v>#REF!</v>
      </c>
    </row>
    <row r="412" spans="1:14">
      <c r="A412" s="11" t="s">
        <v>1121</v>
      </c>
      <c r="B412" s="11">
        <v>3004225206</v>
      </c>
      <c r="C412" s="11">
        <v>1220</v>
      </c>
      <c r="D412" s="11" t="s">
        <v>1122</v>
      </c>
      <c r="E412" s="11" t="s">
        <v>535</v>
      </c>
      <c r="F412" s="11" t="s">
        <v>515</v>
      </c>
      <c r="G412" s="11" t="s">
        <v>94</v>
      </c>
      <c r="H412" s="11" t="s">
        <v>15</v>
      </c>
      <c r="I412" s="2" t="s">
        <v>16</v>
      </c>
      <c r="J412" s="11" t="s">
        <v>1112</v>
      </c>
      <c r="K412">
        <v>700</v>
      </c>
      <c r="L412" t="str">
        <f t="shared" si="12"/>
        <v>250</v>
      </c>
      <c r="M412" t="e">
        <f>C412-K412-L412-#REF!</f>
        <v>#REF!</v>
      </c>
      <c r="N412" t="e">
        <f t="shared" si="13"/>
        <v>#REF!</v>
      </c>
    </row>
    <row r="413" spans="1:14">
      <c r="A413" s="11" t="s">
        <v>1123</v>
      </c>
      <c r="B413" s="11">
        <v>3224954434</v>
      </c>
      <c r="C413" s="11">
        <v>1600</v>
      </c>
      <c r="D413" s="11" t="s">
        <v>1124</v>
      </c>
      <c r="E413" s="11" t="s">
        <v>35</v>
      </c>
      <c r="F413" s="11" t="s">
        <v>45</v>
      </c>
      <c r="G413" s="11" t="s">
        <v>315</v>
      </c>
      <c r="H413" s="11" t="s">
        <v>41</v>
      </c>
      <c r="I413" s="2" t="s">
        <v>16</v>
      </c>
      <c r="J413" s="11" t="s">
        <v>1112</v>
      </c>
      <c r="K413">
        <f>720+250</f>
        <v>970</v>
      </c>
      <c r="L413" t="str">
        <f t="shared" si="12"/>
        <v>250</v>
      </c>
      <c r="M413" t="e">
        <f>C413-K413-L413-#REF!</f>
        <v>#REF!</v>
      </c>
      <c r="N413" t="e">
        <f t="shared" si="13"/>
        <v>#REF!</v>
      </c>
    </row>
    <row r="414" spans="1:14">
      <c r="A414" s="11" t="s">
        <v>211</v>
      </c>
      <c r="B414" s="11">
        <v>3133101076</v>
      </c>
      <c r="C414" s="11">
        <v>1500</v>
      </c>
      <c r="D414" s="11" t="s">
        <v>1125</v>
      </c>
      <c r="E414" s="11" t="s">
        <v>50</v>
      </c>
      <c r="F414" s="11" t="s">
        <v>45</v>
      </c>
      <c r="G414" s="11" t="s">
        <v>348</v>
      </c>
      <c r="H414" s="11" t="s">
        <v>41</v>
      </c>
      <c r="I414" s="2" t="s">
        <v>16</v>
      </c>
      <c r="J414" s="11" t="s">
        <v>1112</v>
      </c>
      <c r="K414">
        <f>440+300+50+20</f>
        <v>810</v>
      </c>
      <c r="L414" t="str">
        <f t="shared" si="12"/>
        <v>150</v>
      </c>
      <c r="M414" t="e">
        <f>C414-K414-L414-#REF!</f>
        <v>#REF!</v>
      </c>
      <c r="N414" t="e">
        <f t="shared" si="13"/>
        <v>#REF!</v>
      </c>
    </row>
    <row r="415" spans="1:14">
      <c r="A415" s="11" t="s">
        <v>1126</v>
      </c>
      <c r="B415" s="11">
        <v>3130037964</v>
      </c>
      <c r="C415" s="11">
        <v>1750</v>
      </c>
      <c r="D415" s="11" t="s">
        <v>1127</v>
      </c>
      <c r="E415" s="11" t="s">
        <v>1128</v>
      </c>
      <c r="F415" s="11" t="s">
        <v>24</v>
      </c>
      <c r="G415" s="11" t="s">
        <v>231</v>
      </c>
      <c r="H415" s="11" t="s">
        <v>15</v>
      </c>
      <c r="I415" s="2" t="s">
        <v>16</v>
      </c>
      <c r="J415" s="11" t="s">
        <v>1129</v>
      </c>
      <c r="K415">
        <f>900+50</f>
        <v>950</v>
      </c>
      <c r="L415" t="str">
        <f t="shared" si="12"/>
        <v>250</v>
      </c>
      <c r="M415" t="e">
        <f>C415-K415-L415-#REF!</f>
        <v>#REF!</v>
      </c>
      <c r="N415" t="e">
        <f t="shared" si="13"/>
        <v>#REF!</v>
      </c>
    </row>
    <row r="416" spans="1:14">
      <c r="A416" s="40" t="s">
        <v>1130</v>
      </c>
      <c r="B416" s="40">
        <v>3336099929</v>
      </c>
      <c r="C416" s="40">
        <v>1410</v>
      </c>
      <c r="D416" s="40" t="s">
        <v>1131</v>
      </c>
      <c r="E416" s="40" t="s">
        <v>1132</v>
      </c>
      <c r="F416" s="40" t="s">
        <v>24</v>
      </c>
      <c r="G416" s="40" t="s">
        <v>789</v>
      </c>
      <c r="H416" s="40" t="s">
        <v>15</v>
      </c>
      <c r="I416" s="30" t="s">
        <v>122</v>
      </c>
      <c r="J416" s="40" t="s">
        <v>1129</v>
      </c>
      <c r="K416" s="54"/>
      <c r="L416" s="54" t="str">
        <f t="shared" si="12"/>
        <v>250</v>
      </c>
      <c r="M416">
        <v>-169.2</v>
      </c>
      <c r="N416" t="s">
        <v>122</v>
      </c>
    </row>
    <row r="417" spans="1:14">
      <c r="A417" s="40" t="s">
        <v>1133</v>
      </c>
      <c r="B417" s="40">
        <v>3002174650</v>
      </c>
      <c r="C417" s="40">
        <v>1550</v>
      </c>
      <c r="D417" s="40" t="s">
        <v>1134</v>
      </c>
      <c r="E417" s="40" t="s">
        <v>23</v>
      </c>
      <c r="F417" s="40" t="s">
        <v>24</v>
      </c>
      <c r="G417" s="40" t="s">
        <v>1135</v>
      </c>
      <c r="H417" s="40" t="s">
        <v>15</v>
      </c>
      <c r="I417" s="30" t="s">
        <v>122</v>
      </c>
      <c r="J417" s="40" t="s">
        <v>1129</v>
      </c>
      <c r="K417" s="54">
        <v>475</v>
      </c>
      <c r="L417" s="54" t="str">
        <f t="shared" si="12"/>
        <v>250</v>
      </c>
      <c r="M417" t="e">
        <f>C417-K417-L417-#REF!</f>
        <v>#REF!</v>
      </c>
      <c r="N417" t="str">
        <f t="shared" ref="N417:N439" si="14">IF(I417="deliver",M417,"Waiting For Deliver")</f>
        <v>Waiting For Deliver</v>
      </c>
    </row>
    <row r="418" spans="1:14">
      <c r="A418" s="11" t="s">
        <v>1136</v>
      </c>
      <c r="B418" s="11">
        <v>3069076480</v>
      </c>
      <c r="C418" s="11">
        <v>1000</v>
      </c>
      <c r="D418" s="11" t="s">
        <v>1137</v>
      </c>
      <c r="E418" s="11" t="s">
        <v>50</v>
      </c>
      <c r="F418" s="11" t="s">
        <v>133</v>
      </c>
      <c r="G418" s="11" t="s">
        <v>1138</v>
      </c>
      <c r="H418" s="11" t="s">
        <v>41</v>
      </c>
      <c r="I418" s="2" t="s">
        <v>16</v>
      </c>
      <c r="J418" s="11" t="s">
        <v>1129</v>
      </c>
      <c r="K418">
        <v>230</v>
      </c>
      <c r="L418" t="str">
        <f t="shared" si="12"/>
        <v>150</v>
      </c>
      <c r="M418" t="e">
        <f>C418-K418-L418-#REF!</f>
        <v>#REF!</v>
      </c>
      <c r="N418" t="e">
        <f t="shared" si="14"/>
        <v>#REF!</v>
      </c>
    </row>
    <row r="419" spans="1:14">
      <c r="A419" s="11" t="s">
        <v>1139</v>
      </c>
      <c r="B419" s="11">
        <v>3212632899</v>
      </c>
      <c r="C419" s="11">
        <v>1910</v>
      </c>
      <c r="D419" s="11" t="s">
        <v>1140</v>
      </c>
      <c r="E419" s="11" t="s">
        <v>50</v>
      </c>
      <c r="F419" s="11" t="s">
        <v>515</v>
      </c>
      <c r="G419" s="11" t="s">
        <v>1141</v>
      </c>
      <c r="H419" s="11" t="s">
        <v>15</v>
      </c>
      <c r="I419" s="2" t="s">
        <v>16</v>
      </c>
      <c r="J419" s="11" t="s">
        <v>1129</v>
      </c>
      <c r="K419">
        <f>650*2</f>
        <v>1300</v>
      </c>
      <c r="L419" t="str">
        <f t="shared" si="12"/>
        <v>150</v>
      </c>
      <c r="M419" t="e">
        <f>C419-K419-L419-#REF!</f>
        <v>#REF!</v>
      </c>
      <c r="N419" t="e">
        <f t="shared" si="14"/>
        <v>#REF!</v>
      </c>
    </row>
    <row r="420" spans="1:14">
      <c r="A420" s="11" t="s">
        <v>1142</v>
      </c>
      <c r="B420" s="11">
        <v>3336060959</v>
      </c>
      <c r="C420" s="11">
        <v>1400</v>
      </c>
      <c r="D420" s="11" t="s">
        <v>1143</v>
      </c>
      <c r="E420" s="11" t="s">
        <v>50</v>
      </c>
      <c r="F420" s="11" t="s">
        <v>45</v>
      </c>
      <c r="G420" s="11" t="s">
        <v>253</v>
      </c>
      <c r="H420" s="11" t="s">
        <v>41</v>
      </c>
      <c r="I420" s="2" t="s">
        <v>16</v>
      </c>
      <c r="J420" s="11" t="s">
        <v>1129</v>
      </c>
      <c r="K420">
        <v>750</v>
      </c>
      <c r="L420" t="str">
        <f t="shared" si="12"/>
        <v>150</v>
      </c>
      <c r="M420" t="e">
        <f>C420-K420-L420-#REF!</f>
        <v>#REF!</v>
      </c>
      <c r="N420" t="e">
        <f t="shared" si="14"/>
        <v>#REF!</v>
      </c>
    </row>
    <row r="421" spans="1:14">
      <c r="A421" s="11" t="s">
        <v>1073</v>
      </c>
      <c r="B421" t="s">
        <v>1074</v>
      </c>
      <c r="C421" s="11">
        <v>700</v>
      </c>
      <c r="D421" s="11" t="s">
        <v>463</v>
      </c>
      <c r="E421" s="11" t="s">
        <v>50</v>
      </c>
      <c r="F421" s="11" t="s">
        <v>1146</v>
      </c>
      <c r="G421" s="11" t="s">
        <v>1145</v>
      </c>
      <c r="H421" s="11" t="s">
        <v>413</v>
      </c>
      <c r="I421" s="2" t="s">
        <v>16</v>
      </c>
      <c r="J421" s="11" t="s">
        <v>1144</v>
      </c>
      <c r="K421">
        <v>300</v>
      </c>
      <c r="L421" t="str">
        <f t="shared" si="12"/>
        <v>150</v>
      </c>
      <c r="M421">
        <f>C421-K421</f>
        <v>400</v>
      </c>
      <c r="N421">
        <f t="shared" si="14"/>
        <v>400</v>
      </c>
    </row>
    <row r="422" spans="1:14">
      <c r="A422" s="11" t="s">
        <v>1149</v>
      </c>
      <c r="B422" s="11">
        <v>3433249198</v>
      </c>
      <c r="C422" s="11">
        <v>900</v>
      </c>
      <c r="D422" s="11" t="s">
        <v>1148</v>
      </c>
      <c r="E422" s="11" t="s">
        <v>201</v>
      </c>
      <c r="F422" s="11" t="s">
        <v>133</v>
      </c>
      <c r="G422" s="11" t="s">
        <v>900</v>
      </c>
      <c r="H422" s="11" t="s">
        <v>41</v>
      </c>
      <c r="I422" s="2" t="s">
        <v>16</v>
      </c>
      <c r="J422" s="11" t="s">
        <v>1147</v>
      </c>
      <c r="K422">
        <v>230</v>
      </c>
      <c r="L422" t="str">
        <f t="shared" si="12"/>
        <v>250</v>
      </c>
      <c r="M422" t="e">
        <f>C422-K422-L422-#REF!</f>
        <v>#REF!</v>
      </c>
      <c r="N422" t="e">
        <f t="shared" si="14"/>
        <v>#REF!</v>
      </c>
    </row>
    <row r="423" spans="1:14">
      <c r="A423" s="40" t="s">
        <v>1150</v>
      </c>
      <c r="B423" s="40">
        <v>3121709220</v>
      </c>
      <c r="C423" s="40">
        <v>2000</v>
      </c>
      <c r="D423" s="40" t="s">
        <v>1151</v>
      </c>
      <c r="E423" s="40" t="s">
        <v>1132</v>
      </c>
      <c r="F423" s="40" t="s">
        <v>515</v>
      </c>
      <c r="G423" s="40" t="s">
        <v>1152</v>
      </c>
      <c r="H423" s="40" t="s">
        <v>41</v>
      </c>
      <c r="I423" s="30" t="s">
        <v>122</v>
      </c>
      <c r="J423" s="40" t="s">
        <v>1153</v>
      </c>
      <c r="K423" s="54">
        <f>200*4</f>
        <v>800</v>
      </c>
      <c r="L423" s="54" t="str">
        <f t="shared" si="12"/>
        <v>250</v>
      </c>
      <c r="M423" t="e">
        <f>C423-K423-L423-#REF!</f>
        <v>#REF!</v>
      </c>
      <c r="N423" t="str">
        <f t="shared" si="14"/>
        <v>Waiting For Deliver</v>
      </c>
    </row>
    <row r="424" spans="1:14">
      <c r="A424" s="11" t="s">
        <v>1154</v>
      </c>
      <c r="B424" s="11">
        <v>3159583505</v>
      </c>
      <c r="C424" s="11">
        <v>1800</v>
      </c>
      <c r="D424" s="11" t="s">
        <v>1155</v>
      </c>
      <c r="E424" s="11" t="s">
        <v>35</v>
      </c>
      <c r="F424" s="11" t="s">
        <v>45</v>
      </c>
      <c r="G424" s="11" t="s">
        <v>1156</v>
      </c>
      <c r="H424" s="11" t="s">
        <v>41</v>
      </c>
      <c r="I424" s="2" t="s">
        <v>16</v>
      </c>
      <c r="J424" s="11" t="s">
        <v>1153</v>
      </c>
      <c r="K424">
        <f>370+170+370</f>
        <v>910</v>
      </c>
      <c r="L424" t="str">
        <f t="shared" si="12"/>
        <v>250</v>
      </c>
      <c r="M424" t="e">
        <f>C424-K424-L424-#REF!</f>
        <v>#REF!</v>
      </c>
      <c r="N424" t="e">
        <f t="shared" si="14"/>
        <v>#REF!</v>
      </c>
    </row>
    <row r="425" spans="1:14">
      <c r="A425" s="11" t="s">
        <v>1157</v>
      </c>
      <c r="B425" s="11">
        <v>3437367729</v>
      </c>
      <c r="C425" s="11">
        <v>1350</v>
      </c>
      <c r="D425" s="11" t="s">
        <v>1158</v>
      </c>
      <c r="E425" s="11" t="s">
        <v>57</v>
      </c>
      <c r="F425" s="11" t="s">
        <v>45</v>
      </c>
      <c r="G425" s="11" t="s">
        <v>1159</v>
      </c>
      <c r="H425" s="11" t="s">
        <v>41</v>
      </c>
      <c r="I425" s="2" t="s">
        <v>16</v>
      </c>
      <c r="J425" s="11" t="s">
        <v>1153</v>
      </c>
      <c r="K425">
        <f>150*4</f>
        <v>600</v>
      </c>
      <c r="L425" t="str">
        <f t="shared" si="12"/>
        <v>250</v>
      </c>
      <c r="M425" t="e">
        <f>C425-K425-L425-#REF!</f>
        <v>#REF!</v>
      </c>
      <c r="N425" t="e">
        <f t="shared" si="14"/>
        <v>#REF!</v>
      </c>
    </row>
    <row r="426" spans="1:14">
      <c r="A426" s="11" t="s">
        <v>1160</v>
      </c>
      <c r="B426" s="11">
        <v>3014737576</v>
      </c>
      <c r="C426" s="11">
        <v>3800</v>
      </c>
      <c r="D426" s="11" t="s">
        <v>1161</v>
      </c>
      <c r="E426" s="11" t="s">
        <v>67</v>
      </c>
      <c r="F426" s="11" t="s">
        <v>515</v>
      </c>
      <c r="G426" s="11" t="s">
        <v>1162</v>
      </c>
      <c r="H426" s="11" t="s">
        <v>41</v>
      </c>
      <c r="I426" s="2" t="s">
        <v>16</v>
      </c>
      <c r="J426" s="11" t="s">
        <v>1153</v>
      </c>
      <c r="K426">
        <f>200*10</f>
        <v>2000</v>
      </c>
      <c r="L426">
        <v>400</v>
      </c>
      <c r="M426" t="e">
        <f>C426-K426-L426-#REF!</f>
        <v>#REF!</v>
      </c>
      <c r="N426" t="e">
        <f t="shared" si="14"/>
        <v>#REF!</v>
      </c>
    </row>
    <row r="427" spans="1:14">
      <c r="A427" s="11" t="s">
        <v>1167</v>
      </c>
      <c r="B427" s="11">
        <v>3132841514</v>
      </c>
      <c r="C427" s="11">
        <v>1230</v>
      </c>
      <c r="D427" s="11" t="s">
        <v>1168</v>
      </c>
      <c r="E427" s="11" t="s">
        <v>50</v>
      </c>
      <c r="F427" s="11" t="s">
        <v>24</v>
      </c>
      <c r="G427" s="11" t="s">
        <v>100</v>
      </c>
      <c r="H427" s="11" t="s">
        <v>41</v>
      </c>
      <c r="I427" s="2" t="s">
        <v>16</v>
      </c>
      <c r="J427" s="11" t="s">
        <v>1166</v>
      </c>
      <c r="K427">
        <v>575</v>
      </c>
      <c r="L427" t="str">
        <f t="shared" si="12"/>
        <v>150</v>
      </c>
      <c r="M427" t="e">
        <f>C427-K427-L427-#REF!</f>
        <v>#REF!</v>
      </c>
      <c r="N427" t="e">
        <f t="shared" si="14"/>
        <v>#REF!</v>
      </c>
    </row>
    <row r="428" spans="1:14">
      <c r="A428" s="11" t="s">
        <v>1163</v>
      </c>
      <c r="B428" s="11">
        <v>3322607818</v>
      </c>
      <c r="C428" s="11">
        <v>1430</v>
      </c>
      <c r="D428" s="11" t="s">
        <v>1164</v>
      </c>
      <c r="E428" s="11" t="s">
        <v>50</v>
      </c>
      <c r="F428" s="11" t="s">
        <v>24</v>
      </c>
      <c r="G428" s="11" t="s">
        <v>1165</v>
      </c>
      <c r="H428" s="11" t="s">
        <v>41</v>
      </c>
      <c r="I428" s="2" t="s">
        <v>16</v>
      </c>
      <c r="J428" s="11" t="s">
        <v>1166</v>
      </c>
      <c r="K428">
        <v>925</v>
      </c>
      <c r="L428" t="str">
        <f t="shared" si="12"/>
        <v>150</v>
      </c>
      <c r="M428" t="e">
        <f>C428-K428-L428-#REF!</f>
        <v>#REF!</v>
      </c>
      <c r="N428" t="e">
        <f t="shared" si="14"/>
        <v>#REF!</v>
      </c>
    </row>
    <row r="429" spans="1:14">
      <c r="A429" t="s">
        <v>1171</v>
      </c>
      <c r="B429">
        <v>3083730366</v>
      </c>
      <c r="C429" s="11">
        <v>700</v>
      </c>
      <c r="D429" t="s">
        <v>1170</v>
      </c>
      <c r="E429" s="11" t="s">
        <v>23</v>
      </c>
      <c r="F429" s="11" t="s">
        <v>24</v>
      </c>
      <c r="G429" s="11" t="s">
        <v>1169</v>
      </c>
      <c r="H429" s="11" t="s">
        <v>41</v>
      </c>
      <c r="I429" s="2" t="s">
        <v>16</v>
      </c>
      <c r="J429" s="11" t="s">
        <v>1166</v>
      </c>
      <c r="K429">
        <v>150</v>
      </c>
      <c r="L429" t="str">
        <f t="shared" si="12"/>
        <v>250</v>
      </c>
      <c r="M429" t="e">
        <f>C429-K429-L429-#REF!</f>
        <v>#REF!</v>
      </c>
      <c r="N429" t="e">
        <f t="shared" si="14"/>
        <v>#REF!</v>
      </c>
    </row>
    <row r="430" spans="1:14">
      <c r="A430" s="11" t="s">
        <v>1176</v>
      </c>
      <c r="B430" s="11">
        <v>3422952101</v>
      </c>
      <c r="C430" s="11">
        <v>1050</v>
      </c>
      <c r="D430" s="11" t="s">
        <v>1175</v>
      </c>
      <c r="E430" s="11" t="s">
        <v>1036</v>
      </c>
      <c r="F430" s="11" t="s">
        <v>24</v>
      </c>
      <c r="G430" s="11" t="s">
        <v>1173</v>
      </c>
      <c r="H430" s="11" t="s">
        <v>41</v>
      </c>
      <c r="I430" s="2" t="s">
        <v>16</v>
      </c>
      <c r="J430" s="11" t="s">
        <v>1172</v>
      </c>
      <c r="K430">
        <v>475</v>
      </c>
      <c r="L430" t="str">
        <f t="shared" si="12"/>
        <v>250</v>
      </c>
      <c r="M430" t="e">
        <f>C430-K430-L430-#REF!</f>
        <v>#REF!</v>
      </c>
      <c r="N430" t="e">
        <f t="shared" si="14"/>
        <v>#REF!</v>
      </c>
    </row>
    <row r="431" spans="1:14">
      <c r="A431" s="11" t="s">
        <v>1177</v>
      </c>
      <c r="B431" s="11">
        <v>3017229588</v>
      </c>
      <c r="C431" s="11">
        <v>1080</v>
      </c>
      <c r="D431" s="11" t="s">
        <v>1178</v>
      </c>
      <c r="E431" s="11" t="s">
        <v>1179</v>
      </c>
      <c r="F431" s="11" t="s">
        <v>24</v>
      </c>
      <c r="G431" s="11" t="s">
        <v>1174</v>
      </c>
      <c r="H431" s="11" t="s">
        <v>15</v>
      </c>
      <c r="I431" s="2" t="s">
        <v>16</v>
      </c>
      <c r="J431" s="11" t="s">
        <v>1172</v>
      </c>
      <c r="K431">
        <v>450</v>
      </c>
      <c r="L431" t="str">
        <f t="shared" si="12"/>
        <v>250</v>
      </c>
      <c r="M431" t="e">
        <f>C431-K430-L431-#REF!</f>
        <v>#REF!</v>
      </c>
      <c r="N431" t="e">
        <f t="shared" si="14"/>
        <v>#REF!</v>
      </c>
    </row>
    <row r="432" spans="1:14">
      <c r="A432" t="s">
        <v>1183</v>
      </c>
      <c r="B432">
        <v>3333194615</v>
      </c>
      <c r="C432" s="11">
        <v>550</v>
      </c>
      <c r="D432" t="s">
        <v>1182</v>
      </c>
      <c r="E432" s="11" t="s">
        <v>50</v>
      </c>
      <c r="F432" s="11" t="s">
        <v>24</v>
      </c>
      <c r="G432" s="11" t="s">
        <v>1181</v>
      </c>
      <c r="H432" s="11" t="s">
        <v>41</v>
      </c>
      <c r="I432" s="2" t="s">
        <v>16</v>
      </c>
      <c r="J432" s="11" t="s">
        <v>1180</v>
      </c>
      <c r="K432">
        <v>175</v>
      </c>
      <c r="L432" t="str">
        <f t="shared" si="12"/>
        <v>150</v>
      </c>
      <c r="M432" t="e">
        <f>C432-K432-L432-#REF!</f>
        <v>#REF!</v>
      </c>
      <c r="N432" t="e">
        <f t="shared" si="14"/>
        <v>#REF!</v>
      </c>
    </row>
    <row r="433" spans="1:14">
      <c r="A433" s="11" t="s">
        <v>1191</v>
      </c>
      <c r="B433" s="11">
        <v>3215228312</v>
      </c>
      <c r="C433" s="11">
        <v>1200</v>
      </c>
      <c r="D433" s="11" t="s">
        <v>1190</v>
      </c>
      <c r="E433" s="11" t="s">
        <v>19</v>
      </c>
      <c r="F433" s="11" t="s">
        <v>45</v>
      </c>
      <c r="G433" s="11" t="s">
        <v>1189</v>
      </c>
      <c r="H433" s="11" t="s">
        <v>15</v>
      </c>
      <c r="I433" s="11" t="s">
        <v>16</v>
      </c>
      <c r="J433" s="11" t="s">
        <v>1180</v>
      </c>
      <c r="K433">
        <f>350+50</f>
        <v>400</v>
      </c>
      <c r="L433" t="str">
        <f t="shared" si="12"/>
        <v>250</v>
      </c>
      <c r="M433" t="e">
        <f>C433-K433-L433-#REF!</f>
        <v>#REF!</v>
      </c>
      <c r="N433" t="e">
        <f t="shared" si="14"/>
        <v>#REF!</v>
      </c>
    </row>
    <row r="434" spans="1:14">
      <c r="A434" s="11" t="s">
        <v>1192</v>
      </c>
      <c r="B434" s="11">
        <v>3448444882</v>
      </c>
      <c r="C434" s="11">
        <v>1370</v>
      </c>
      <c r="D434" s="11" t="s">
        <v>1193</v>
      </c>
      <c r="E434" s="11" t="s">
        <v>30</v>
      </c>
      <c r="F434" s="11" t="s">
        <v>45</v>
      </c>
      <c r="G434" s="11" t="s">
        <v>1194</v>
      </c>
      <c r="H434" s="11" t="s">
        <v>15</v>
      </c>
      <c r="I434" s="11" t="s">
        <v>16</v>
      </c>
      <c r="J434" s="11" t="s">
        <v>1180</v>
      </c>
      <c r="K434">
        <f>240+100</f>
        <v>340</v>
      </c>
      <c r="L434" t="str">
        <f t="shared" si="12"/>
        <v>250</v>
      </c>
      <c r="M434" t="e">
        <f>C434-K434-L434-#REF!</f>
        <v>#REF!</v>
      </c>
      <c r="N434" t="e">
        <f t="shared" si="14"/>
        <v>#REF!</v>
      </c>
    </row>
    <row r="435" spans="1:14">
      <c r="A435" s="11" t="s">
        <v>1195</v>
      </c>
      <c r="B435" s="11">
        <v>3336915037</v>
      </c>
      <c r="C435" s="11">
        <v>1560</v>
      </c>
      <c r="D435" s="11" t="s">
        <v>1196</v>
      </c>
      <c r="E435" s="11" t="s">
        <v>1197</v>
      </c>
      <c r="F435" s="11" t="s">
        <v>24</v>
      </c>
      <c r="G435" s="11" t="s">
        <v>1198</v>
      </c>
      <c r="H435" s="11" t="s">
        <v>15</v>
      </c>
      <c r="I435" s="11" t="s">
        <v>16</v>
      </c>
      <c r="J435" s="11" t="s">
        <v>1180</v>
      </c>
      <c r="K435">
        <v>925</v>
      </c>
      <c r="L435" t="str">
        <f t="shared" si="12"/>
        <v>250</v>
      </c>
      <c r="M435" t="e">
        <f>C435-K435-L435-#REF!</f>
        <v>#REF!</v>
      </c>
      <c r="N435" t="e">
        <f t="shared" si="14"/>
        <v>#REF!</v>
      </c>
    </row>
    <row r="436" spans="1:14">
      <c r="A436" t="s">
        <v>1186</v>
      </c>
      <c r="B436">
        <v>3242496688</v>
      </c>
      <c r="C436">
        <v>880</v>
      </c>
      <c r="D436" t="s">
        <v>1185</v>
      </c>
      <c r="E436" t="s">
        <v>50</v>
      </c>
      <c r="F436" t="s">
        <v>24</v>
      </c>
      <c r="G436" t="s">
        <v>1007</v>
      </c>
      <c r="H436" t="s">
        <v>15</v>
      </c>
      <c r="I436" t="s">
        <v>16</v>
      </c>
      <c r="J436" s="11" t="s">
        <v>1184</v>
      </c>
      <c r="K436">
        <f>200+25</f>
        <v>225</v>
      </c>
      <c r="L436">
        <v>100</v>
      </c>
      <c r="M436" t="e">
        <f>C436-K436-L436-#REF!</f>
        <v>#REF!</v>
      </c>
      <c r="N436" t="e">
        <f t="shared" si="14"/>
        <v>#REF!</v>
      </c>
    </row>
    <row r="437" spans="1:14">
      <c r="A437" s="11" t="s">
        <v>1188</v>
      </c>
      <c r="B437" s="11">
        <v>3337241045</v>
      </c>
      <c r="C437" s="11">
        <v>1570</v>
      </c>
      <c r="D437" s="11" t="s">
        <v>1187</v>
      </c>
      <c r="E437" s="11" t="s">
        <v>85</v>
      </c>
      <c r="F437" s="11" t="s">
        <v>24</v>
      </c>
      <c r="G437" s="11" t="s">
        <v>1135</v>
      </c>
      <c r="H437" s="11" t="s">
        <v>15</v>
      </c>
      <c r="I437" s="11" t="s">
        <v>16</v>
      </c>
      <c r="J437" s="11" t="s">
        <v>1184</v>
      </c>
      <c r="K437">
        <f>450+25</f>
        <v>475</v>
      </c>
      <c r="L437" t="str">
        <f t="shared" si="12"/>
        <v>250</v>
      </c>
      <c r="M437" t="e">
        <f>C437-K437-L437-#REF!</f>
        <v>#REF!</v>
      </c>
      <c r="N437" t="e">
        <f t="shared" si="14"/>
        <v>#REF!</v>
      </c>
    </row>
    <row r="438" spans="1:14">
      <c r="A438" s="11" t="s">
        <v>1199</v>
      </c>
      <c r="B438" s="11">
        <v>3476319135</v>
      </c>
      <c r="C438" s="11">
        <v>3200</v>
      </c>
      <c r="D438" s="11" t="s">
        <v>1200</v>
      </c>
      <c r="E438" s="11" t="s">
        <v>50</v>
      </c>
      <c r="F438" s="11" t="s">
        <v>24</v>
      </c>
      <c r="G438" s="11" t="s">
        <v>1201</v>
      </c>
      <c r="H438" s="11" t="s">
        <v>413</v>
      </c>
      <c r="I438" s="11" t="s">
        <v>16</v>
      </c>
      <c r="J438" s="11" t="s">
        <v>1202</v>
      </c>
      <c r="K438">
        <f>950+250+750</f>
        <v>1950</v>
      </c>
      <c r="L438" t="str">
        <f t="shared" si="12"/>
        <v>150</v>
      </c>
      <c r="M438" t="e">
        <f>C438-K438-L438-#REF!</f>
        <v>#REF!</v>
      </c>
      <c r="N438" t="e">
        <f t="shared" si="14"/>
        <v>#REF!</v>
      </c>
    </row>
    <row r="439" spans="1:14">
      <c r="A439" s="11" t="s">
        <v>1204</v>
      </c>
      <c r="B439" s="11">
        <v>3101010121</v>
      </c>
      <c r="C439" s="11">
        <v>4000</v>
      </c>
      <c r="D439" s="11" t="s">
        <v>1203</v>
      </c>
      <c r="E439" s="11" t="s">
        <v>50</v>
      </c>
      <c r="F439" s="11" t="s">
        <v>515</v>
      </c>
      <c r="G439" s="11" t="s">
        <v>1205</v>
      </c>
      <c r="H439" s="11" t="s">
        <v>41</v>
      </c>
      <c r="I439" s="11" t="s">
        <v>16</v>
      </c>
      <c r="J439" s="11" t="s">
        <v>1202</v>
      </c>
      <c r="K439">
        <v>1500</v>
      </c>
      <c r="L439" t="str">
        <f t="shared" si="12"/>
        <v>150</v>
      </c>
      <c r="M439" t="e">
        <f>C439-K439-L439-#REF!</f>
        <v>#REF!</v>
      </c>
      <c r="N439" t="e">
        <f t="shared" si="14"/>
        <v>#REF!</v>
      </c>
    </row>
    <row r="441" spans="1:14">
      <c r="A441" s="11" t="s">
        <v>1217</v>
      </c>
      <c r="B441" s="11">
        <v>3047715525</v>
      </c>
      <c r="C441" s="11">
        <v>810</v>
      </c>
      <c r="D441" s="11" t="s">
        <v>1218</v>
      </c>
      <c r="E441" s="11" t="s">
        <v>23</v>
      </c>
      <c r="F441" s="11" t="s">
        <v>24</v>
      </c>
      <c r="G441" s="11" t="s">
        <v>1007</v>
      </c>
      <c r="H441" s="11" t="s">
        <v>15</v>
      </c>
      <c r="I441" s="11" t="s">
        <v>16</v>
      </c>
      <c r="J441" s="39">
        <v>42371</v>
      </c>
      <c r="K441">
        <v>225</v>
      </c>
      <c r="L441" t="str">
        <f t="shared" si="12"/>
        <v>250</v>
      </c>
      <c r="M441" t="e">
        <f>C441-K441-L441-#REF!</f>
        <v>#REF!</v>
      </c>
      <c r="N441" t="e">
        <f>IF(I442="deliver",M441,"Waiting For Deliver")</f>
        <v>#REF!</v>
      </c>
    </row>
    <row r="442" spans="1:14">
      <c r="A442" s="11" t="s">
        <v>1219</v>
      </c>
      <c r="B442" s="11">
        <v>3014135981</v>
      </c>
      <c r="C442" s="11">
        <v>1300</v>
      </c>
      <c r="D442" s="11" t="s">
        <v>1220</v>
      </c>
      <c r="E442" s="11" t="s">
        <v>23</v>
      </c>
      <c r="F442" s="11" t="s">
        <v>24</v>
      </c>
      <c r="G442" s="11" t="s">
        <v>308</v>
      </c>
      <c r="H442" s="11" t="s">
        <v>41</v>
      </c>
      <c r="I442" s="11" t="s">
        <v>16</v>
      </c>
      <c r="J442" s="39">
        <v>42371</v>
      </c>
      <c r="K442">
        <v>425</v>
      </c>
      <c r="L442" t="str">
        <f t="shared" si="12"/>
        <v>250</v>
      </c>
      <c r="M442" t="e">
        <f>C442-K442-L442-#REF!</f>
        <v>#REF!</v>
      </c>
      <c r="N442" t="e">
        <f t="shared" ref="N442:N473" si="15">IF(I442="deliver",M442,"Waiting For Deliver")</f>
        <v>#REF!</v>
      </c>
    </row>
    <row r="443" spans="1:14">
      <c r="A443" s="11" t="s">
        <v>1221</v>
      </c>
      <c r="B443" s="11">
        <v>3429438680</v>
      </c>
      <c r="C443" s="11">
        <v>2800</v>
      </c>
      <c r="D443" s="11" t="s">
        <v>1222</v>
      </c>
      <c r="E443" s="11" t="s">
        <v>539</v>
      </c>
      <c r="F443" s="11" t="s">
        <v>515</v>
      </c>
      <c r="G443" s="11" t="s">
        <v>1223</v>
      </c>
      <c r="H443" s="11" t="s">
        <v>41</v>
      </c>
      <c r="I443" s="11" t="s">
        <v>16</v>
      </c>
      <c r="J443" s="39">
        <v>42371</v>
      </c>
      <c r="K443">
        <f>200*6</f>
        <v>1200</v>
      </c>
      <c r="L443" t="str">
        <f t="shared" si="12"/>
        <v>250</v>
      </c>
      <c r="M443" t="e">
        <f>C443-K443-L443-#REF!</f>
        <v>#REF!</v>
      </c>
      <c r="N443" t="e">
        <f t="shared" si="15"/>
        <v>#REF!</v>
      </c>
    </row>
    <row r="444" spans="1:14">
      <c r="A444" s="11" t="s">
        <v>1224</v>
      </c>
      <c r="B444" s="11">
        <v>3046466665</v>
      </c>
      <c r="C444" s="11">
        <v>650</v>
      </c>
      <c r="D444" s="11" t="s">
        <v>1225</v>
      </c>
      <c r="E444" s="11" t="s">
        <v>129</v>
      </c>
      <c r="F444" s="11" t="s">
        <v>45</v>
      </c>
      <c r="G444" s="11" t="s">
        <v>1226</v>
      </c>
      <c r="H444" s="11" t="s">
        <v>15</v>
      </c>
      <c r="I444" s="11" t="s">
        <v>16</v>
      </c>
      <c r="J444" s="39">
        <v>42371</v>
      </c>
      <c r="K444">
        <f>120+50</f>
        <v>170</v>
      </c>
      <c r="L444" t="str">
        <f t="shared" si="12"/>
        <v>250</v>
      </c>
      <c r="M444" t="e">
        <f>C444-K444-L444-#REF!</f>
        <v>#REF!</v>
      </c>
      <c r="N444" t="e">
        <f t="shared" si="15"/>
        <v>#REF!</v>
      </c>
    </row>
    <row r="445" spans="1:14">
      <c r="A445" t="s">
        <v>1208</v>
      </c>
      <c r="B445">
        <v>3162306919</v>
      </c>
      <c r="C445">
        <v>2450</v>
      </c>
      <c r="D445" t="s">
        <v>1209</v>
      </c>
      <c r="E445" t="s">
        <v>713</v>
      </c>
      <c r="F445" t="s">
        <v>714</v>
      </c>
      <c r="G445" t="s">
        <v>1206</v>
      </c>
      <c r="H445" t="s">
        <v>716</v>
      </c>
      <c r="I445" t="s">
        <v>16</v>
      </c>
      <c r="J445" s="39">
        <v>42371</v>
      </c>
      <c r="K445">
        <f>475+575</f>
        <v>1050</v>
      </c>
      <c r="L445" t="str">
        <f t="shared" si="12"/>
        <v>150</v>
      </c>
      <c r="M445" t="e">
        <f>C445-K445-L445-#REF!</f>
        <v>#REF!</v>
      </c>
      <c r="N445" t="e">
        <f t="shared" si="15"/>
        <v>#REF!</v>
      </c>
    </row>
    <row r="446" spans="1:14">
      <c r="A446" t="s">
        <v>1210</v>
      </c>
      <c r="B446" s="41">
        <v>2136324642</v>
      </c>
      <c r="C446">
        <v>1310</v>
      </c>
      <c r="D446" t="s">
        <v>1211</v>
      </c>
      <c r="E446" t="s">
        <v>50</v>
      </c>
      <c r="F446" t="s">
        <v>45</v>
      </c>
      <c r="G446" s="11" t="s">
        <v>1194</v>
      </c>
      <c r="H446" t="s">
        <v>716</v>
      </c>
      <c r="I446" t="s">
        <v>16</v>
      </c>
      <c r="J446" s="38">
        <v>42402</v>
      </c>
      <c r="K446">
        <f>240+100</f>
        <v>340</v>
      </c>
      <c r="L446" t="str">
        <f t="shared" si="12"/>
        <v>150</v>
      </c>
      <c r="M446" t="e">
        <f>C446-K446-L446-#REF!</f>
        <v>#REF!</v>
      </c>
      <c r="N446" t="e">
        <f t="shared" si="15"/>
        <v>#REF!</v>
      </c>
    </row>
    <row r="447" spans="1:14">
      <c r="A447" t="s">
        <v>45</v>
      </c>
      <c r="B447">
        <v>3242927198</v>
      </c>
      <c r="C447">
        <v>400</v>
      </c>
      <c r="D447" t="s">
        <v>1212</v>
      </c>
      <c r="E447" t="s">
        <v>50</v>
      </c>
      <c r="F447" t="s">
        <v>45</v>
      </c>
      <c r="G447" t="s">
        <v>1207</v>
      </c>
      <c r="H447" t="s">
        <v>413</v>
      </c>
      <c r="I447" t="s">
        <v>16</v>
      </c>
      <c r="J447" s="38">
        <v>42402</v>
      </c>
      <c r="K447">
        <v>200</v>
      </c>
      <c r="L447" t="str">
        <f t="shared" si="12"/>
        <v>150</v>
      </c>
      <c r="M447" t="e">
        <f>C447-K447-L447-#REF!</f>
        <v>#REF!</v>
      </c>
      <c r="N447" t="e">
        <f t="shared" si="15"/>
        <v>#REF!</v>
      </c>
    </row>
    <row r="448" spans="1:14">
      <c r="A448" s="44" t="s">
        <v>1150</v>
      </c>
      <c r="B448" s="44">
        <v>3121709220</v>
      </c>
      <c r="C448" s="44">
        <v>2000</v>
      </c>
      <c r="D448" s="44" t="s">
        <v>1151</v>
      </c>
      <c r="E448" s="44" t="s">
        <v>1132</v>
      </c>
      <c r="F448" s="44" t="s">
        <v>515</v>
      </c>
      <c r="G448" s="44" t="s">
        <v>1152</v>
      </c>
      <c r="H448" s="44" t="s">
        <v>41</v>
      </c>
      <c r="I448" s="2" t="s">
        <v>16</v>
      </c>
      <c r="J448" s="45">
        <v>42402</v>
      </c>
      <c r="K448" s="43">
        <f>200*4</f>
        <v>800</v>
      </c>
      <c r="L448" t="str">
        <f t="shared" si="12"/>
        <v>250</v>
      </c>
      <c r="M448" t="e">
        <f>C448-K448-L448-#REF!</f>
        <v>#REF!</v>
      </c>
      <c r="N448" t="e">
        <f t="shared" si="15"/>
        <v>#REF!</v>
      </c>
    </row>
    <row r="449" spans="1:14">
      <c r="A449" s="11" t="s">
        <v>1213</v>
      </c>
      <c r="B449" s="11">
        <v>3325520512</v>
      </c>
      <c r="C449" s="11">
        <v>1550</v>
      </c>
      <c r="D449" s="11" t="s">
        <v>1214</v>
      </c>
      <c r="E449" s="11" t="s">
        <v>12</v>
      </c>
      <c r="F449" s="11" t="s">
        <v>24</v>
      </c>
      <c r="G449" s="11" t="s">
        <v>308</v>
      </c>
      <c r="H449" s="11" t="s">
        <v>15</v>
      </c>
      <c r="I449" s="2" t="s">
        <v>16</v>
      </c>
      <c r="J449" s="45">
        <v>42402</v>
      </c>
      <c r="K449">
        <v>425</v>
      </c>
      <c r="L449" t="str">
        <f t="shared" si="12"/>
        <v>250</v>
      </c>
      <c r="M449" t="e">
        <f>C449-K449-L449-#REF!</f>
        <v>#REF!</v>
      </c>
      <c r="N449" t="e">
        <f t="shared" si="15"/>
        <v>#REF!</v>
      </c>
    </row>
    <row r="450" spans="1:14">
      <c r="A450" s="11" t="s">
        <v>1215</v>
      </c>
      <c r="B450" s="11">
        <v>3345879392</v>
      </c>
      <c r="C450" s="11">
        <v>1460</v>
      </c>
      <c r="D450" s="11" t="s">
        <v>1216</v>
      </c>
      <c r="E450" s="11" t="s">
        <v>12</v>
      </c>
      <c r="F450" s="11" t="s">
        <v>24</v>
      </c>
      <c r="G450" s="11" t="s">
        <v>1165</v>
      </c>
      <c r="H450" s="11" t="s">
        <v>15</v>
      </c>
      <c r="I450" s="2" t="s">
        <v>16</v>
      </c>
      <c r="J450" s="45">
        <v>42402</v>
      </c>
      <c r="K450">
        <v>925</v>
      </c>
      <c r="L450" t="str">
        <f t="shared" si="12"/>
        <v>250</v>
      </c>
      <c r="M450" t="e">
        <f>C450-K450-L450-#REF!</f>
        <v>#REF!</v>
      </c>
      <c r="N450" t="e">
        <f t="shared" si="15"/>
        <v>#REF!</v>
      </c>
    </row>
    <row r="451" spans="1:14">
      <c r="A451" s="11" t="s">
        <v>304</v>
      </c>
      <c r="B451" s="11">
        <v>3206839924</v>
      </c>
      <c r="C451" s="11">
        <v>1150</v>
      </c>
      <c r="D451" s="11" t="s">
        <v>1227</v>
      </c>
      <c r="E451" s="11" t="s">
        <v>30</v>
      </c>
      <c r="F451" s="11" t="s">
        <v>24</v>
      </c>
      <c r="G451" s="11" t="s">
        <v>1228</v>
      </c>
      <c r="H451" s="11" t="s">
        <v>15</v>
      </c>
      <c r="I451" s="2" t="s">
        <v>16</v>
      </c>
      <c r="J451" s="39">
        <v>42431</v>
      </c>
      <c r="K451">
        <f>500</f>
        <v>500</v>
      </c>
      <c r="L451" t="str">
        <f t="shared" si="12"/>
        <v>250</v>
      </c>
      <c r="M451" t="e">
        <f>C451-K451-L451-#REF!</f>
        <v>#REF!</v>
      </c>
      <c r="N451" t="e">
        <f t="shared" si="15"/>
        <v>#REF!</v>
      </c>
    </row>
    <row r="452" spans="1:14">
      <c r="A452" s="11" t="s">
        <v>1229</v>
      </c>
      <c r="B452" s="11">
        <v>3087715897</v>
      </c>
      <c r="C452" s="11">
        <v>1050</v>
      </c>
      <c r="D452" s="11" t="s">
        <v>1230</v>
      </c>
      <c r="E452" s="11" t="s">
        <v>174</v>
      </c>
      <c r="F452" s="11" t="s">
        <v>24</v>
      </c>
      <c r="G452" s="11" t="s">
        <v>416</v>
      </c>
      <c r="H452" s="11" t="s">
        <v>15</v>
      </c>
      <c r="I452" s="2" t="s">
        <v>16</v>
      </c>
      <c r="J452" s="39">
        <v>42431</v>
      </c>
      <c r="K452">
        <f>275</f>
        <v>275</v>
      </c>
      <c r="L452" t="str">
        <f t="shared" si="12"/>
        <v>250</v>
      </c>
      <c r="M452" t="e">
        <f>C452-K452-L452-#REF!</f>
        <v>#REF!</v>
      </c>
      <c r="N452" t="e">
        <f t="shared" si="15"/>
        <v>#REF!</v>
      </c>
    </row>
    <row r="453" spans="1:14">
      <c r="A453" s="11" t="s">
        <v>247</v>
      </c>
      <c r="B453" s="11">
        <v>3224009944</v>
      </c>
      <c r="C453" s="11">
        <v>1200</v>
      </c>
      <c r="D453" s="11" t="s">
        <v>1231</v>
      </c>
      <c r="E453" s="11" t="s">
        <v>23</v>
      </c>
      <c r="F453" s="11" t="s">
        <v>133</v>
      </c>
      <c r="G453" s="11" t="s">
        <v>1138</v>
      </c>
      <c r="H453" s="11" t="s">
        <v>15</v>
      </c>
      <c r="I453" s="2" t="s">
        <v>16</v>
      </c>
      <c r="J453" s="39">
        <v>42431</v>
      </c>
      <c r="K453">
        <v>250</v>
      </c>
      <c r="L453" t="str">
        <f t="shared" si="12"/>
        <v>250</v>
      </c>
      <c r="M453" t="e">
        <f>C453-K453-L453-#REF!</f>
        <v>#REF!</v>
      </c>
      <c r="N453" t="e">
        <f t="shared" si="15"/>
        <v>#REF!</v>
      </c>
    </row>
    <row r="454" spans="1:14">
      <c r="A454" s="11" t="s">
        <v>1232</v>
      </c>
      <c r="B454" s="11">
        <v>3331347355</v>
      </c>
      <c r="C454" s="11">
        <v>2000</v>
      </c>
      <c r="D454" s="11" t="s">
        <v>1234</v>
      </c>
      <c r="E454" s="11" t="s">
        <v>50</v>
      </c>
      <c r="F454" s="11" t="s">
        <v>45</v>
      </c>
      <c r="G454" s="11" t="s">
        <v>1233</v>
      </c>
      <c r="H454" s="11" t="s">
        <v>41</v>
      </c>
      <c r="I454" s="2" t="s">
        <v>16</v>
      </c>
      <c r="J454" s="38">
        <v>42523</v>
      </c>
      <c r="K454">
        <f>500+200</f>
        <v>700</v>
      </c>
      <c r="L454" t="str">
        <f t="shared" si="12"/>
        <v>150</v>
      </c>
      <c r="M454" t="e">
        <f>C454-K454-L454-#REF!</f>
        <v>#REF!</v>
      </c>
      <c r="N454" t="e">
        <f t="shared" si="15"/>
        <v>#REF!</v>
      </c>
    </row>
    <row r="455" spans="1:14">
      <c r="A455" s="11" t="s">
        <v>1236</v>
      </c>
      <c r="B455" s="11">
        <v>3208489399</v>
      </c>
      <c r="C455" s="11">
        <v>960</v>
      </c>
      <c r="D455" s="11" t="s">
        <v>1237</v>
      </c>
      <c r="E455" s="11" t="s">
        <v>23</v>
      </c>
      <c r="F455" s="11" t="s">
        <v>24</v>
      </c>
      <c r="G455" s="11" t="s">
        <v>1238</v>
      </c>
      <c r="H455" s="11" t="s">
        <v>15</v>
      </c>
      <c r="I455" s="2" t="s">
        <v>16</v>
      </c>
      <c r="J455" s="39">
        <v>42523</v>
      </c>
      <c r="K455">
        <v>450</v>
      </c>
      <c r="L455" t="str">
        <f>IF(E458="karachi","150","250")</f>
        <v>250</v>
      </c>
      <c r="M455" t="e">
        <f>C455-K455-L455-#REF!</f>
        <v>#REF!</v>
      </c>
      <c r="N455" t="e">
        <f t="shared" si="15"/>
        <v>#REF!</v>
      </c>
    </row>
    <row r="456" spans="1:14">
      <c r="A456" s="11" t="s">
        <v>1239</v>
      </c>
      <c r="B456" s="11">
        <v>3023787424</v>
      </c>
      <c r="C456" s="11">
        <v>930</v>
      </c>
      <c r="D456" s="11" t="s">
        <v>1240</v>
      </c>
      <c r="E456" s="11" t="s">
        <v>377</v>
      </c>
      <c r="F456" s="11" t="s">
        <v>24</v>
      </c>
      <c r="G456" s="11" t="s">
        <v>343</v>
      </c>
      <c r="H456" s="11" t="s">
        <v>15</v>
      </c>
      <c r="I456" s="2" t="s">
        <v>16</v>
      </c>
      <c r="J456" s="39">
        <v>42523</v>
      </c>
      <c r="K456">
        <v>450</v>
      </c>
      <c r="L456" t="str">
        <f t="shared" si="12"/>
        <v>250</v>
      </c>
      <c r="M456" t="e">
        <f>C456-K456-L456-#REF!</f>
        <v>#REF!</v>
      </c>
      <c r="N456" t="e">
        <f t="shared" si="15"/>
        <v>#REF!</v>
      </c>
    </row>
    <row r="457" spans="1:14">
      <c r="A457" s="11" t="s">
        <v>1242</v>
      </c>
      <c r="B457" s="11">
        <v>3335408840</v>
      </c>
      <c r="C457" s="11">
        <v>1490</v>
      </c>
      <c r="D457" s="11" t="s">
        <v>1241</v>
      </c>
      <c r="E457" s="11" t="s">
        <v>1132</v>
      </c>
      <c r="F457" s="11" t="s">
        <v>24</v>
      </c>
      <c r="G457" s="11" t="s">
        <v>1165</v>
      </c>
      <c r="H457" s="11" t="s">
        <v>15</v>
      </c>
      <c r="I457" s="2" t="s">
        <v>16</v>
      </c>
      <c r="J457" s="39">
        <v>42523</v>
      </c>
      <c r="K457">
        <v>900</v>
      </c>
      <c r="L457" t="str">
        <f t="shared" si="12"/>
        <v>250</v>
      </c>
      <c r="M457" t="e">
        <f>C457-K457-L457-#REF!</f>
        <v>#REF!</v>
      </c>
      <c r="N457" t="e">
        <f t="shared" si="15"/>
        <v>#REF!</v>
      </c>
    </row>
    <row r="458" spans="1:14">
      <c r="A458" s="11" t="s">
        <v>1213</v>
      </c>
      <c r="B458" s="11">
        <v>3325520512</v>
      </c>
      <c r="C458" s="11">
        <v>1850</v>
      </c>
      <c r="D458" s="11" t="s">
        <v>1214</v>
      </c>
      <c r="E458" s="11" t="s">
        <v>12</v>
      </c>
      <c r="F458" s="11" t="s">
        <v>24</v>
      </c>
      <c r="G458" s="11" t="s">
        <v>1235</v>
      </c>
      <c r="H458" s="11" t="s">
        <v>413</v>
      </c>
      <c r="I458" s="2" t="s">
        <v>16</v>
      </c>
      <c r="J458" s="39">
        <v>42523</v>
      </c>
      <c r="K458">
        <f>450+325</f>
        <v>775</v>
      </c>
      <c r="L458" t="str">
        <f t="shared" si="12"/>
        <v>250</v>
      </c>
      <c r="M458" t="e">
        <f>C458-K458-L458-#REF!</f>
        <v>#REF!</v>
      </c>
      <c r="N458" t="e">
        <f t="shared" si="15"/>
        <v>#REF!</v>
      </c>
    </row>
    <row r="459" spans="1:14">
      <c r="A459" s="11" t="s">
        <v>1243</v>
      </c>
      <c r="B459" s="11">
        <v>3009809200</v>
      </c>
      <c r="C459" s="11">
        <v>1000</v>
      </c>
      <c r="D459" s="11" t="s">
        <v>1244</v>
      </c>
      <c r="E459" s="11" t="s">
        <v>272</v>
      </c>
      <c r="F459" s="11" t="s">
        <v>45</v>
      </c>
      <c r="G459" s="11" t="s">
        <v>1245</v>
      </c>
      <c r="H459" s="11" t="s">
        <v>41</v>
      </c>
      <c r="I459" s="2" t="s">
        <v>16</v>
      </c>
      <c r="J459" s="39">
        <v>42523</v>
      </c>
      <c r="K459">
        <f>250+100</f>
        <v>350</v>
      </c>
      <c r="L459" t="str">
        <f t="shared" si="12"/>
        <v>250</v>
      </c>
      <c r="M459" t="e">
        <f>C459-K459-L459-#REF!</f>
        <v>#REF!</v>
      </c>
      <c r="N459" t="e">
        <f t="shared" si="15"/>
        <v>#REF!</v>
      </c>
    </row>
    <row r="460" spans="1:14">
      <c r="A460" s="11" t="s">
        <v>1246</v>
      </c>
      <c r="B460" s="11">
        <v>3356893231</v>
      </c>
      <c r="C460" s="11">
        <v>710</v>
      </c>
      <c r="D460" s="11" t="s">
        <v>1247</v>
      </c>
      <c r="E460" s="11" t="s">
        <v>57</v>
      </c>
      <c r="F460" s="11" t="s">
        <v>45</v>
      </c>
      <c r="G460" s="11" t="s">
        <v>1248</v>
      </c>
      <c r="H460" s="11" t="s">
        <v>716</v>
      </c>
      <c r="I460" s="2" t="s">
        <v>16</v>
      </c>
      <c r="J460" s="39">
        <v>42523</v>
      </c>
      <c r="K460">
        <f>125+50</f>
        <v>175</v>
      </c>
      <c r="L460" t="str">
        <f t="shared" si="12"/>
        <v>250</v>
      </c>
      <c r="M460" t="e">
        <f>C460-K460-L460-#REF!</f>
        <v>#REF!</v>
      </c>
      <c r="N460" t="e">
        <f t="shared" si="15"/>
        <v>#REF!</v>
      </c>
    </row>
    <row r="461" spans="1:14">
      <c r="A461" s="11" t="s">
        <v>1249</v>
      </c>
      <c r="B461" s="11">
        <v>3075100022</v>
      </c>
      <c r="C461" s="11">
        <v>1550</v>
      </c>
      <c r="D461" s="11" t="s">
        <v>1250</v>
      </c>
      <c r="E461" s="11" t="s">
        <v>12</v>
      </c>
      <c r="F461" s="11" t="s">
        <v>24</v>
      </c>
      <c r="G461" s="11" t="s">
        <v>1135</v>
      </c>
      <c r="H461" s="11" t="s">
        <v>41</v>
      </c>
      <c r="I461" s="2" t="s">
        <v>16</v>
      </c>
      <c r="J461" s="39">
        <v>42523</v>
      </c>
      <c r="K461">
        <v>475</v>
      </c>
      <c r="L461" t="str">
        <f t="shared" si="12"/>
        <v>250</v>
      </c>
      <c r="M461" t="e">
        <f>C461-K461-L461-#REF!</f>
        <v>#REF!</v>
      </c>
      <c r="N461" t="e">
        <f t="shared" si="15"/>
        <v>#REF!</v>
      </c>
    </row>
    <row r="462" spans="1:14">
      <c r="A462" s="11" t="s">
        <v>1251</v>
      </c>
      <c r="B462" s="11">
        <v>3024748972</v>
      </c>
      <c r="C462" s="11">
        <v>1400</v>
      </c>
      <c r="D462" s="11" t="s">
        <v>1252</v>
      </c>
      <c r="E462" s="11" t="s">
        <v>23</v>
      </c>
      <c r="F462" s="11" t="s">
        <v>45</v>
      </c>
      <c r="G462" s="11" t="s">
        <v>1253</v>
      </c>
      <c r="H462" s="11" t="s">
        <v>41</v>
      </c>
      <c r="I462" s="2" t="s">
        <v>16</v>
      </c>
      <c r="J462" s="39">
        <v>42523</v>
      </c>
      <c r="K462">
        <v>1000</v>
      </c>
      <c r="L462" t="str">
        <f t="shared" ref="L462:L530" si="16">IF(E462="karachi","150","250")</f>
        <v>250</v>
      </c>
      <c r="M462" t="e">
        <f>C462-K462-L462-#REF!</f>
        <v>#REF!</v>
      </c>
      <c r="N462" t="e">
        <f t="shared" si="15"/>
        <v>#REF!</v>
      </c>
    </row>
    <row r="463" spans="1:14">
      <c r="A463" s="11" t="s">
        <v>1254</v>
      </c>
      <c r="B463" s="11"/>
      <c r="C463" s="11">
        <v>1300</v>
      </c>
      <c r="D463" s="11" t="s">
        <v>1255</v>
      </c>
      <c r="E463" s="11" t="s">
        <v>50</v>
      </c>
      <c r="F463" s="11" t="s">
        <v>24</v>
      </c>
      <c r="G463" s="11" t="s">
        <v>1256</v>
      </c>
      <c r="H463" s="11" t="s">
        <v>41</v>
      </c>
      <c r="I463" s="2" t="s">
        <v>16</v>
      </c>
      <c r="J463" s="39">
        <v>42523</v>
      </c>
      <c r="K463">
        <v>450</v>
      </c>
      <c r="L463" t="str">
        <f t="shared" si="16"/>
        <v>150</v>
      </c>
      <c r="M463" t="e">
        <f>C463-K463-L463-#REF!</f>
        <v>#REF!</v>
      </c>
      <c r="N463" t="e">
        <f t="shared" si="15"/>
        <v>#REF!</v>
      </c>
    </row>
    <row r="464" spans="1:14">
      <c r="A464" s="11" t="s">
        <v>487</v>
      </c>
      <c r="B464" s="11">
        <v>3430577277</v>
      </c>
      <c r="C464" s="11">
        <v>1000</v>
      </c>
      <c r="D464" s="11" t="s">
        <v>1258</v>
      </c>
      <c r="E464" s="11" t="s">
        <v>50</v>
      </c>
      <c r="F464" s="11" t="s">
        <v>1257</v>
      </c>
      <c r="G464" s="11" t="s">
        <v>1138</v>
      </c>
      <c r="H464" s="11" t="s">
        <v>41</v>
      </c>
      <c r="I464" s="2" t="s">
        <v>16</v>
      </c>
      <c r="J464" s="39">
        <v>42553</v>
      </c>
      <c r="K464">
        <f>500</f>
        <v>500</v>
      </c>
      <c r="L464" t="str">
        <f t="shared" si="16"/>
        <v>150</v>
      </c>
      <c r="M464" t="e">
        <f>C464-K464-L464-#REF!</f>
        <v>#REF!</v>
      </c>
      <c r="N464" t="e">
        <f t="shared" si="15"/>
        <v>#REF!</v>
      </c>
    </row>
    <row r="465" spans="1:14">
      <c r="A465" s="11" t="s">
        <v>1254</v>
      </c>
      <c r="B465" s="11">
        <v>3362329166</v>
      </c>
      <c r="C465" s="11">
        <v>1800</v>
      </c>
      <c r="D465" s="11" t="s">
        <v>1260</v>
      </c>
      <c r="E465" s="11" t="s">
        <v>50</v>
      </c>
      <c r="F465" s="11" t="s">
        <v>45</v>
      </c>
      <c r="G465" s="11" t="s">
        <v>1259</v>
      </c>
      <c r="H465" s="11" t="s">
        <v>41</v>
      </c>
      <c r="I465" s="2" t="s">
        <v>16</v>
      </c>
      <c r="J465" s="39">
        <v>42553</v>
      </c>
      <c r="K465">
        <f>250+150+370+200</f>
        <v>970</v>
      </c>
      <c r="L465" t="str">
        <f t="shared" si="16"/>
        <v>150</v>
      </c>
      <c r="M465" t="e">
        <f>C465-K465-L465-#REF!</f>
        <v>#REF!</v>
      </c>
      <c r="N465" t="e">
        <f t="shared" si="15"/>
        <v>#REF!</v>
      </c>
    </row>
    <row r="466" spans="1:14">
      <c r="A466" s="11" t="s">
        <v>1261</v>
      </c>
      <c r="B466" s="11">
        <v>3085502040</v>
      </c>
      <c r="C466" s="11">
        <v>630</v>
      </c>
      <c r="D466" s="11" t="s">
        <v>1262</v>
      </c>
      <c r="E466" s="11" t="s">
        <v>12</v>
      </c>
      <c r="F466" s="11" t="s">
        <v>45</v>
      </c>
      <c r="G466" s="11" t="s">
        <v>1226</v>
      </c>
      <c r="H466" s="11" t="s">
        <v>15</v>
      </c>
      <c r="I466" s="11" t="s">
        <v>16</v>
      </c>
      <c r="J466" s="39">
        <v>42615</v>
      </c>
      <c r="K466">
        <f>125+50</f>
        <v>175</v>
      </c>
      <c r="L466" t="str">
        <f t="shared" si="16"/>
        <v>250</v>
      </c>
      <c r="M466" t="e">
        <f>C466-K466-L466-#REF!</f>
        <v>#REF!</v>
      </c>
      <c r="N466" t="e">
        <f t="shared" si="15"/>
        <v>#REF!</v>
      </c>
    </row>
    <row r="467" spans="1:14">
      <c r="A467" s="11" t="s">
        <v>1263</v>
      </c>
      <c r="B467" s="11">
        <v>3155825090</v>
      </c>
      <c r="C467" s="11">
        <v>830</v>
      </c>
      <c r="D467" s="11" t="s">
        <v>1264</v>
      </c>
      <c r="E467" s="11" t="s">
        <v>1265</v>
      </c>
      <c r="F467" s="11" t="s">
        <v>45</v>
      </c>
      <c r="G467" s="11" t="s">
        <v>1266</v>
      </c>
      <c r="H467" s="11" t="s">
        <v>15</v>
      </c>
      <c r="I467" s="11" t="s">
        <v>16</v>
      </c>
      <c r="J467" s="39">
        <v>42615</v>
      </c>
      <c r="K467">
        <f>250+100</f>
        <v>350</v>
      </c>
      <c r="L467" t="str">
        <f t="shared" si="16"/>
        <v>250</v>
      </c>
      <c r="M467" t="e">
        <f>C467-K467-L467-#REF!</f>
        <v>#REF!</v>
      </c>
      <c r="N467" t="e">
        <f t="shared" si="15"/>
        <v>#REF!</v>
      </c>
    </row>
    <row r="468" spans="1:14">
      <c r="A468" s="40" t="s">
        <v>143</v>
      </c>
      <c r="B468" s="40">
        <v>3444416090</v>
      </c>
      <c r="C468" s="40">
        <v>1450</v>
      </c>
      <c r="D468" s="40" t="s">
        <v>1267</v>
      </c>
      <c r="E468" s="40" t="s">
        <v>23</v>
      </c>
      <c r="F468" s="40" t="s">
        <v>24</v>
      </c>
      <c r="G468" s="40" t="s">
        <v>622</v>
      </c>
      <c r="H468" s="40" t="s">
        <v>15</v>
      </c>
      <c r="I468" s="40" t="s">
        <v>122</v>
      </c>
      <c r="J468" s="42">
        <v>42615</v>
      </c>
      <c r="K468" s="54">
        <f>550+25</f>
        <v>575</v>
      </c>
      <c r="L468" s="54" t="str">
        <f t="shared" si="16"/>
        <v>250</v>
      </c>
      <c r="M468" t="e">
        <f>C468-K468-L468-#REF!</f>
        <v>#REF!</v>
      </c>
      <c r="N468" t="str">
        <f t="shared" si="15"/>
        <v>Waiting For Deliver</v>
      </c>
    </row>
    <row r="469" spans="1:14">
      <c r="A469" s="11" t="s">
        <v>1268</v>
      </c>
      <c r="B469" s="11">
        <v>3218861525</v>
      </c>
      <c r="C469" s="11">
        <v>1470</v>
      </c>
      <c r="D469" s="11" t="s">
        <v>1269</v>
      </c>
      <c r="E469" s="11" t="s">
        <v>23</v>
      </c>
      <c r="F469" s="11" t="s">
        <v>24</v>
      </c>
      <c r="G469" s="11" t="s">
        <v>1165</v>
      </c>
      <c r="H469" s="11" t="s">
        <v>15</v>
      </c>
      <c r="I469" s="11" t="s">
        <v>16</v>
      </c>
      <c r="J469" s="39">
        <v>42615</v>
      </c>
      <c r="K469">
        <v>900</v>
      </c>
      <c r="L469" t="str">
        <f t="shared" si="16"/>
        <v>250</v>
      </c>
      <c r="M469" t="e">
        <f>C469-K469-L469-#REF!</f>
        <v>#REF!</v>
      </c>
      <c r="N469" t="e">
        <f t="shared" si="15"/>
        <v>#REF!</v>
      </c>
    </row>
    <row r="470" spans="1:14">
      <c r="A470" s="11" t="s">
        <v>1270</v>
      </c>
      <c r="B470" s="11">
        <v>3030720696</v>
      </c>
      <c r="C470" s="11">
        <v>1240</v>
      </c>
      <c r="D470" s="11" t="s">
        <v>1271</v>
      </c>
      <c r="E470" s="11" t="s">
        <v>1272</v>
      </c>
      <c r="F470" s="11" t="s">
        <v>515</v>
      </c>
      <c r="G470" s="11" t="s">
        <v>594</v>
      </c>
      <c r="H470" s="11" t="s">
        <v>15</v>
      </c>
      <c r="I470" s="11" t="s">
        <v>16</v>
      </c>
      <c r="J470" s="39">
        <v>42615</v>
      </c>
      <c r="K470">
        <f>500</f>
        <v>500</v>
      </c>
      <c r="L470" t="str">
        <f t="shared" si="16"/>
        <v>250</v>
      </c>
      <c r="M470" t="e">
        <f>C470-K470-L470-#REF!</f>
        <v>#REF!</v>
      </c>
      <c r="N470" t="e">
        <f t="shared" si="15"/>
        <v>#REF!</v>
      </c>
    </row>
    <row r="471" spans="1:14">
      <c r="A471" s="11" t="s">
        <v>1273</v>
      </c>
      <c r="B471" s="11">
        <v>3321710700</v>
      </c>
      <c r="C471" s="11">
        <v>1150</v>
      </c>
      <c r="D471" s="11" t="s">
        <v>1274</v>
      </c>
      <c r="E471" s="11" t="s">
        <v>35</v>
      </c>
      <c r="F471" s="11" t="s">
        <v>133</v>
      </c>
      <c r="G471" s="11" t="s">
        <v>900</v>
      </c>
      <c r="H471" s="11" t="s">
        <v>15</v>
      </c>
      <c r="I471" s="11" t="s">
        <v>16</v>
      </c>
      <c r="J471" s="39">
        <v>42615</v>
      </c>
      <c r="K471">
        <v>500</v>
      </c>
      <c r="L471" t="str">
        <f t="shared" si="16"/>
        <v>250</v>
      </c>
      <c r="M471" t="e">
        <f>C471-K471-L471-#REF!</f>
        <v>#REF!</v>
      </c>
      <c r="N471" t="e">
        <f t="shared" si="15"/>
        <v>#REF!</v>
      </c>
    </row>
    <row r="472" spans="1:14">
      <c r="A472" s="40" t="s">
        <v>1275</v>
      </c>
      <c r="B472" s="40">
        <v>3327322226</v>
      </c>
      <c r="C472" s="40">
        <v>730</v>
      </c>
      <c r="D472" s="40" t="s">
        <v>1276</v>
      </c>
      <c r="E472" s="40" t="s">
        <v>1032</v>
      </c>
      <c r="F472" s="40" t="s">
        <v>24</v>
      </c>
      <c r="G472" s="40" t="s">
        <v>742</v>
      </c>
      <c r="H472" s="40" t="s">
        <v>15</v>
      </c>
      <c r="I472" s="40" t="s">
        <v>122</v>
      </c>
      <c r="J472" s="42">
        <v>42615</v>
      </c>
      <c r="K472" s="54">
        <v>275</v>
      </c>
      <c r="L472" s="54" t="str">
        <f t="shared" si="16"/>
        <v>250</v>
      </c>
      <c r="M472" t="e">
        <f>C472-K472-L472-#REF!</f>
        <v>#REF!</v>
      </c>
      <c r="N472" t="str">
        <f t="shared" si="15"/>
        <v>Waiting For Deliver</v>
      </c>
    </row>
    <row r="473" spans="1:14">
      <c r="A473" s="11" t="s">
        <v>1277</v>
      </c>
      <c r="B473" s="11">
        <v>3009683079</v>
      </c>
      <c r="C473" s="11">
        <v>630</v>
      </c>
      <c r="D473" s="11" t="s">
        <v>1278</v>
      </c>
      <c r="E473" s="11" t="s">
        <v>272</v>
      </c>
      <c r="F473" s="11" t="s">
        <v>45</v>
      </c>
      <c r="G473" s="11" t="s">
        <v>1226</v>
      </c>
      <c r="H473" s="11" t="s">
        <v>15</v>
      </c>
      <c r="I473" s="11" t="s">
        <v>16</v>
      </c>
      <c r="J473" s="39">
        <v>42615</v>
      </c>
      <c r="K473">
        <f>125+50</f>
        <v>175</v>
      </c>
      <c r="L473" t="str">
        <f t="shared" si="16"/>
        <v>250</v>
      </c>
      <c r="M473" t="e">
        <f>C473-K473-L473-#REF!</f>
        <v>#REF!</v>
      </c>
      <c r="N473" t="e">
        <f t="shared" si="15"/>
        <v>#REF!</v>
      </c>
    </row>
    <row r="474" spans="1:14">
      <c r="A474" s="11" t="s">
        <v>1243</v>
      </c>
      <c r="B474" s="11">
        <v>3009809200</v>
      </c>
      <c r="C474" s="11">
        <v>500</v>
      </c>
      <c r="D474" s="11" t="s">
        <v>1244</v>
      </c>
      <c r="E474" s="11" t="s">
        <v>272</v>
      </c>
      <c r="F474" s="11" t="s">
        <v>45</v>
      </c>
      <c r="G474" s="11" t="s">
        <v>1279</v>
      </c>
      <c r="H474" s="11" t="s">
        <v>41</v>
      </c>
      <c r="I474" s="11" t="s">
        <v>16</v>
      </c>
      <c r="J474" s="39">
        <v>42615</v>
      </c>
      <c r="K474">
        <f>125+50</f>
        <v>175</v>
      </c>
      <c r="L474" t="str">
        <f t="shared" si="16"/>
        <v>250</v>
      </c>
      <c r="M474" t="e">
        <f>C474-K474-L474-#REF!</f>
        <v>#REF!</v>
      </c>
      <c r="N474" t="e">
        <f t="shared" ref="N474:N505" si="17">IF(I474="deliver",M474,"Waiting For Deliver")</f>
        <v>#REF!</v>
      </c>
    </row>
    <row r="475" spans="1:14">
      <c r="A475" s="11" t="s">
        <v>1281</v>
      </c>
      <c r="B475" s="11">
        <v>3351582384</v>
      </c>
      <c r="C475" s="11">
        <v>4880</v>
      </c>
      <c r="D475" s="11" t="s">
        <v>1282</v>
      </c>
      <c r="E475" s="11" t="s">
        <v>12</v>
      </c>
      <c r="F475" s="11" t="s">
        <v>515</v>
      </c>
      <c r="G475" s="11" t="s">
        <v>1280</v>
      </c>
      <c r="H475" s="11" t="s">
        <v>15</v>
      </c>
      <c r="I475" s="11" t="s">
        <v>16</v>
      </c>
      <c r="J475" s="39">
        <v>42615</v>
      </c>
      <c r="K475">
        <v>2800</v>
      </c>
      <c r="L475">
        <v>770</v>
      </c>
      <c r="M475" t="e">
        <f>C475-K475-L475-#REF!</f>
        <v>#REF!</v>
      </c>
      <c r="N475" t="e">
        <f t="shared" si="17"/>
        <v>#REF!</v>
      </c>
    </row>
    <row r="476" spans="1:14">
      <c r="A476" s="11" t="s">
        <v>1283</v>
      </c>
      <c r="B476" s="33">
        <v>3433450912</v>
      </c>
      <c r="C476" s="11">
        <v>1060</v>
      </c>
      <c r="D476" s="33" t="s">
        <v>1284</v>
      </c>
      <c r="E476" s="11" t="s">
        <v>50</v>
      </c>
      <c r="F476" s="11" t="s">
        <v>24</v>
      </c>
      <c r="G476" s="11" t="s">
        <v>303</v>
      </c>
      <c r="H476" s="11" t="s">
        <v>15</v>
      </c>
      <c r="I476" s="11" t="s">
        <v>16</v>
      </c>
      <c r="J476" s="39">
        <v>42645</v>
      </c>
      <c r="K476">
        <v>475</v>
      </c>
      <c r="L476" t="str">
        <f t="shared" si="16"/>
        <v>150</v>
      </c>
      <c r="M476" t="e">
        <f>C476-K476-L476-#REF!</f>
        <v>#REF!</v>
      </c>
      <c r="N476" t="e">
        <f t="shared" si="17"/>
        <v>#REF!</v>
      </c>
    </row>
    <row r="477" spans="1:14">
      <c r="A477" s="11" t="s">
        <v>1285</v>
      </c>
      <c r="B477" s="11">
        <v>3128999038</v>
      </c>
      <c r="C477" s="11">
        <v>1450</v>
      </c>
      <c r="D477" s="11" t="s">
        <v>1286</v>
      </c>
      <c r="E477" s="11" t="s">
        <v>35</v>
      </c>
      <c r="F477" s="11" t="s">
        <v>45</v>
      </c>
      <c r="G477" s="11" t="s">
        <v>1287</v>
      </c>
      <c r="H477" s="11" t="s">
        <v>41</v>
      </c>
      <c r="I477" s="11" t="s">
        <v>16</v>
      </c>
      <c r="J477" s="39">
        <v>42645</v>
      </c>
      <c r="K477">
        <f>340+155+200</f>
        <v>695</v>
      </c>
      <c r="L477" t="str">
        <f t="shared" si="16"/>
        <v>250</v>
      </c>
      <c r="M477" t="e">
        <f>C477-K477-L477-#REF!</f>
        <v>#REF!</v>
      </c>
      <c r="N477" t="e">
        <f t="shared" si="17"/>
        <v>#REF!</v>
      </c>
    </row>
    <row r="478" spans="1:14">
      <c r="A478" s="11" t="s">
        <v>1288</v>
      </c>
      <c r="B478" s="11">
        <v>3332712350</v>
      </c>
      <c r="C478" s="11">
        <v>1200</v>
      </c>
      <c r="D478" s="11" t="s">
        <v>1289</v>
      </c>
      <c r="E478" s="11" t="s">
        <v>125</v>
      </c>
      <c r="F478" s="11" t="s">
        <v>45</v>
      </c>
      <c r="G478" s="11" t="s">
        <v>1290</v>
      </c>
      <c r="H478" s="11" t="s">
        <v>41</v>
      </c>
      <c r="I478" s="11" t="s">
        <v>16</v>
      </c>
      <c r="J478" s="39">
        <v>42645</v>
      </c>
      <c r="K478">
        <f>(125*3)+150</f>
        <v>525</v>
      </c>
      <c r="L478" t="str">
        <f t="shared" si="16"/>
        <v>250</v>
      </c>
      <c r="M478" t="e">
        <f>C478-K478-L478-#REF!</f>
        <v>#REF!</v>
      </c>
      <c r="N478" t="e">
        <f t="shared" si="17"/>
        <v>#REF!</v>
      </c>
    </row>
    <row r="479" spans="1:14">
      <c r="A479" s="11" t="s">
        <v>1291</v>
      </c>
      <c r="B479" s="11">
        <v>3342068834</v>
      </c>
      <c r="C479" s="11">
        <v>930</v>
      </c>
      <c r="D479" s="11" t="s">
        <v>1292</v>
      </c>
      <c r="E479" s="11" t="s">
        <v>148</v>
      </c>
      <c r="F479" s="11" t="s">
        <v>24</v>
      </c>
      <c r="G479" s="11" t="s">
        <v>343</v>
      </c>
      <c r="H479" s="11" t="s">
        <v>15</v>
      </c>
      <c r="I479" s="11" t="s">
        <v>16</v>
      </c>
      <c r="J479" s="39">
        <v>42645</v>
      </c>
      <c r="K479">
        <v>480</v>
      </c>
      <c r="L479" t="str">
        <f t="shared" si="16"/>
        <v>250</v>
      </c>
      <c r="M479" t="e">
        <f>C479-K479-L479-#REF!</f>
        <v>#REF!</v>
      </c>
      <c r="N479" t="e">
        <f t="shared" si="17"/>
        <v>#REF!</v>
      </c>
    </row>
    <row r="480" spans="1:14">
      <c r="A480" s="11" t="s">
        <v>1295</v>
      </c>
      <c r="B480" s="11">
        <v>3363445544</v>
      </c>
      <c r="C480" s="11">
        <v>1250</v>
      </c>
      <c r="D480" s="11" t="s">
        <v>1294</v>
      </c>
      <c r="E480" s="11" t="s">
        <v>76</v>
      </c>
      <c r="F480" s="11" t="s">
        <v>413</v>
      </c>
      <c r="G480" s="11" t="s">
        <v>1293</v>
      </c>
      <c r="H480" s="11" t="s">
        <v>150</v>
      </c>
      <c r="I480" s="11" t="s">
        <v>16</v>
      </c>
      <c r="J480" s="39">
        <v>42645</v>
      </c>
      <c r="K480">
        <v>800</v>
      </c>
      <c r="L480" t="str">
        <f t="shared" si="16"/>
        <v>250</v>
      </c>
      <c r="M480" t="e">
        <f>C480-K480-L480-#REF!</f>
        <v>#REF!</v>
      </c>
      <c r="N480" t="e">
        <f t="shared" si="17"/>
        <v>#REF!</v>
      </c>
    </row>
    <row r="481" spans="1:14">
      <c r="A481" s="11" t="s">
        <v>1299</v>
      </c>
      <c r="B481" s="11">
        <v>3368161603</v>
      </c>
      <c r="C481" s="11">
        <v>1250</v>
      </c>
      <c r="D481" s="11" t="s">
        <v>1298</v>
      </c>
      <c r="E481" s="11" t="s">
        <v>1297</v>
      </c>
      <c r="F481" s="11" t="s">
        <v>515</v>
      </c>
      <c r="G481" s="11" t="s">
        <v>1296</v>
      </c>
      <c r="H481" s="11" t="s">
        <v>15</v>
      </c>
      <c r="I481" s="11" t="s">
        <v>16</v>
      </c>
      <c r="J481" s="39">
        <v>42706</v>
      </c>
      <c r="K481">
        <f>140*4</f>
        <v>560</v>
      </c>
      <c r="L481" t="str">
        <f t="shared" si="16"/>
        <v>250</v>
      </c>
      <c r="M481" t="e">
        <f>C481-K481-L481-#REF!</f>
        <v>#REF!</v>
      </c>
      <c r="N481" t="e">
        <f t="shared" si="17"/>
        <v>#REF!</v>
      </c>
    </row>
    <row r="482" spans="1:14">
      <c r="A482" s="44" t="s">
        <v>1300</v>
      </c>
      <c r="B482" s="44">
        <v>3119602392</v>
      </c>
      <c r="C482" s="44">
        <v>1060</v>
      </c>
      <c r="D482" s="44" t="s">
        <v>1301</v>
      </c>
      <c r="E482" s="44" t="s">
        <v>19</v>
      </c>
      <c r="F482" s="44" t="s">
        <v>45</v>
      </c>
      <c r="G482" s="44" t="s">
        <v>1302</v>
      </c>
      <c r="H482" s="44" t="s">
        <v>15</v>
      </c>
      <c r="I482" s="44" t="s">
        <v>16</v>
      </c>
      <c r="J482" s="45">
        <v>42706</v>
      </c>
      <c r="K482">
        <f>660</f>
        <v>660</v>
      </c>
      <c r="L482" t="str">
        <f t="shared" si="16"/>
        <v>250</v>
      </c>
      <c r="M482" t="e">
        <f>C482-K482-L482-#REF!</f>
        <v>#REF!</v>
      </c>
      <c r="N482" t="e">
        <f t="shared" si="17"/>
        <v>#REF!</v>
      </c>
    </row>
    <row r="483" spans="1:14">
      <c r="A483" s="55" t="s">
        <v>1088</v>
      </c>
      <c r="B483" s="55">
        <v>3026833084</v>
      </c>
      <c r="C483" s="55">
        <v>1850</v>
      </c>
      <c r="D483" s="55" t="s">
        <v>1089</v>
      </c>
      <c r="E483" s="55" t="s">
        <v>23</v>
      </c>
      <c r="F483" s="55" t="s">
        <v>515</v>
      </c>
      <c r="G483" s="55" t="s">
        <v>1304</v>
      </c>
      <c r="H483" s="55" t="s">
        <v>41</v>
      </c>
      <c r="I483" s="55" t="s">
        <v>122</v>
      </c>
      <c r="J483" s="63" t="s">
        <v>1303</v>
      </c>
      <c r="K483">
        <f>1350</f>
        <v>1350</v>
      </c>
      <c r="L483" t="str">
        <f t="shared" si="16"/>
        <v>250</v>
      </c>
      <c r="M483" t="e">
        <f>C483-K483-L483-#REF!</f>
        <v>#REF!</v>
      </c>
      <c r="N483" t="str">
        <f t="shared" si="17"/>
        <v>Waiting For Deliver</v>
      </c>
    </row>
    <row r="484" spans="1:14">
      <c r="A484" s="11" t="s">
        <v>1305</v>
      </c>
      <c r="B484" s="11">
        <v>3074444388</v>
      </c>
      <c r="C484" s="11">
        <v>630</v>
      </c>
      <c r="D484" s="11" t="s">
        <v>1306</v>
      </c>
      <c r="E484" s="11" t="s">
        <v>23</v>
      </c>
      <c r="F484" s="11" t="s">
        <v>45</v>
      </c>
      <c r="G484" s="11" t="s">
        <v>1226</v>
      </c>
      <c r="H484" s="11" t="s">
        <v>413</v>
      </c>
      <c r="I484" s="11" t="s">
        <v>16</v>
      </c>
      <c r="J484" s="47" t="s">
        <v>1303</v>
      </c>
      <c r="K484">
        <f>125+50</f>
        <v>175</v>
      </c>
      <c r="L484" t="str">
        <f t="shared" si="16"/>
        <v>250</v>
      </c>
      <c r="M484" t="e">
        <f>C484-K484-L484-#REF!</f>
        <v>#REF!</v>
      </c>
      <c r="N484" t="e">
        <f t="shared" si="17"/>
        <v>#REF!</v>
      </c>
    </row>
    <row r="485" spans="1:14">
      <c r="A485" s="40" t="s">
        <v>1307</v>
      </c>
      <c r="B485" s="40">
        <v>3337232990</v>
      </c>
      <c r="C485" s="40">
        <v>730</v>
      </c>
      <c r="D485" s="40" t="s">
        <v>1308</v>
      </c>
      <c r="E485" s="40" t="s">
        <v>1309</v>
      </c>
      <c r="F485" s="40" t="s">
        <v>24</v>
      </c>
      <c r="G485" s="40" t="s">
        <v>742</v>
      </c>
      <c r="H485" s="40" t="s">
        <v>15</v>
      </c>
      <c r="I485" s="40" t="s">
        <v>122</v>
      </c>
      <c r="J485" s="37" t="s">
        <v>1303</v>
      </c>
      <c r="K485" s="54">
        <f>250</f>
        <v>250</v>
      </c>
      <c r="L485" s="54" t="str">
        <f t="shared" si="16"/>
        <v>250</v>
      </c>
      <c r="M485" t="e">
        <f>C485-K485-L485-#REF!</f>
        <v>#REF!</v>
      </c>
      <c r="N485" t="str">
        <f t="shared" si="17"/>
        <v>Waiting For Deliver</v>
      </c>
    </row>
    <row r="486" spans="1:14">
      <c r="A486" s="11" t="s">
        <v>1310</v>
      </c>
      <c r="B486" s="11">
        <v>3134436426</v>
      </c>
      <c r="C486" s="11">
        <v>1160</v>
      </c>
      <c r="D486" s="11" t="s">
        <v>1311</v>
      </c>
      <c r="E486" s="11" t="s">
        <v>23</v>
      </c>
      <c r="F486" s="11" t="s">
        <v>45</v>
      </c>
      <c r="G486" s="11" t="s">
        <v>348</v>
      </c>
      <c r="H486" s="11" t="s">
        <v>15</v>
      </c>
      <c r="I486" s="11" t="s">
        <v>16</v>
      </c>
      <c r="J486" s="47" t="s">
        <v>1303</v>
      </c>
      <c r="K486">
        <f>500+200</f>
        <v>700</v>
      </c>
      <c r="L486" t="str">
        <f t="shared" si="16"/>
        <v>250</v>
      </c>
      <c r="M486" t="e">
        <f>C486-K486-L486-#REF!</f>
        <v>#REF!</v>
      </c>
      <c r="N486" t="e">
        <f t="shared" si="17"/>
        <v>#REF!</v>
      </c>
    </row>
    <row r="487" spans="1:14">
      <c r="A487" s="11" t="s">
        <v>1312</v>
      </c>
      <c r="B487" s="11">
        <v>3006166771</v>
      </c>
      <c r="C487" s="11">
        <v>770</v>
      </c>
      <c r="D487" s="11" t="s">
        <v>1313</v>
      </c>
      <c r="E487" s="11" t="s">
        <v>129</v>
      </c>
      <c r="F487" s="11" t="s">
        <v>45</v>
      </c>
      <c r="G487" s="11" t="s">
        <v>1314</v>
      </c>
      <c r="H487" s="11" t="s">
        <v>15</v>
      </c>
      <c r="I487" s="11" t="s">
        <v>16</v>
      </c>
      <c r="J487" s="47" t="s">
        <v>1303</v>
      </c>
      <c r="K487">
        <f>125+50</f>
        <v>175</v>
      </c>
      <c r="L487" t="str">
        <f t="shared" si="16"/>
        <v>250</v>
      </c>
      <c r="M487" t="e">
        <f>C487-K487-L487-#REF!</f>
        <v>#REF!</v>
      </c>
      <c r="N487" t="e">
        <f t="shared" si="17"/>
        <v>#REF!</v>
      </c>
    </row>
    <row r="488" spans="1:14">
      <c r="A488" s="11" t="s">
        <v>1315</v>
      </c>
      <c r="B488" s="11">
        <v>3347076751</v>
      </c>
      <c r="C488" s="11">
        <v>1010</v>
      </c>
      <c r="D488" s="11" t="s">
        <v>1316</v>
      </c>
      <c r="E488" s="11" t="s">
        <v>272</v>
      </c>
      <c r="F488" s="11" t="s">
        <v>45</v>
      </c>
      <c r="G488" s="11" t="s">
        <v>1317</v>
      </c>
      <c r="H488" s="11" t="s">
        <v>15</v>
      </c>
      <c r="I488" s="11" t="s">
        <v>16</v>
      </c>
      <c r="J488" s="47" t="s">
        <v>1303</v>
      </c>
      <c r="K488">
        <f>440</f>
        <v>440</v>
      </c>
      <c r="L488" t="str">
        <f t="shared" si="16"/>
        <v>250</v>
      </c>
      <c r="M488" t="e">
        <f>C488-K488-L488-#REF!</f>
        <v>#REF!</v>
      </c>
      <c r="N488" t="e">
        <f t="shared" si="17"/>
        <v>#REF!</v>
      </c>
    </row>
    <row r="489" spans="1:14">
      <c r="A489" s="11" t="s">
        <v>1318</v>
      </c>
      <c r="B489" s="11">
        <v>3006904465</v>
      </c>
      <c r="C489" s="11">
        <v>1110</v>
      </c>
      <c r="D489" s="11" t="s">
        <v>1319</v>
      </c>
      <c r="E489" s="11" t="s">
        <v>12</v>
      </c>
      <c r="F489" s="11" t="s">
        <v>24</v>
      </c>
      <c r="G489" s="11" t="s">
        <v>303</v>
      </c>
      <c r="H489" s="11" t="s">
        <v>15</v>
      </c>
      <c r="I489" s="11" t="s">
        <v>16</v>
      </c>
      <c r="J489" s="47" t="s">
        <v>1303</v>
      </c>
      <c r="K489">
        <f>450+25</f>
        <v>475</v>
      </c>
      <c r="L489" t="str">
        <f t="shared" si="16"/>
        <v>250</v>
      </c>
      <c r="M489" t="e">
        <f>C489-K489-L489-#REF!</f>
        <v>#REF!</v>
      </c>
      <c r="N489" t="e">
        <f t="shared" si="17"/>
        <v>#REF!</v>
      </c>
    </row>
    <row r="490" spans="1:14">
      <c r="A490" s="11" t="s">
        <v>1320</v>
      </c>
      <c r="B490" s="11">
        <v>3347361837</v>
      </c>
      <c r="C490" s="11">
        <v>1310</v>
      </c>
      <c r="D490" s="11" t="s">
        <v>1324</v>
      </c>
      <c r="E490" s="11" t="s">
        <v>50</v>
      </c>
      <c r="F490" s="11" t="s">
        <v>45</v>
      </c>
      <c r="G490" s="11" t="s">
        <v>1323</v>
      </c>
      <c r="H490" s="11" t="s">
        <v>15</v>
      </c>
      <c r="I490" s="11" t="s">
        <v>16</v>
      </c>
      <c r="J490" s="47" t="s">
        <v>1303</v>
      </c>
      <c r="K490">
        <f>250+100</f>
        <v>350</v>
      </c>
      <c r="L490" t="str">
        <f t="shared" si="16"/>
        <v>150</v>
      </c>
      <c r="M490" t="e">
        <f>C490-K490-L490-#REF!</f>
        <v>#REF!</v>
      </c>
      <c r="N490" t="e">
        <f t="shared" si="17"/>
        <v>#REF!</v>
      </c>
    </row>
    <row r="491" spans="1:14">
      <c r="A491" s="11" t="s">
        <v>1254</v>
      </c>
      <c r="B491" s="11">
        <v>3162032194</v>
      </c>
      <c r="C491" s="11">
        <v>2300</v>
      </c>
      <c r="D491" s="11" t="s">
        <v>1322</v>
      </c>
      <c r="E491" s="11" t="s">
        <v>50</v>
      </c>
      <c r="F491" s="11" t="s">
        <v>45</v>
      </c>
      <c r="G491" s="11" t="s">
        <v>1321</v>
      </c>
      <c r="H491" s="11" t="s">
        <v>41</v>
      </c>
      <c r="I491" s="11" t="s">
        <v>16</v>
      </c>
      <c r="J491" s="47" t="s">
        <v>1303</v>
      </c>
      <c r="K491">
        <f>220*6</f>
        <v>1320</v>
      </c>
      <c r="L491" t="str">
        <f t="shared" si="16"/>
        <v>150</v>
      </c>
      <c r="M491" t="e">
        <f>C491-K491-L491-#REF!</f>
        <v>#REF!</v>
      </c>
      <c r="N491" t="e">
        <f t="shared" si="17"/>
        <v>#REF!</v>
      </c>
    </row>
    <row r="492" spans="1:14">
      <c r="A492" s="11" t="s">
        <v>1330</v>
      </c>
      <c r="B492" s="11">
        <v>3102493837</v>
      </c>
      <c r="C492" s="11">
        <v>1460</v>
      </c>
      <c r="D492" s="11" t="s">
        <v>1331</v>
      </c>
      <c r="E492" s="11" t="s">
        <v>12</v>
      </c>
      <c r="F492" s="11" t="s">
        <v>24</v>
      </c>
      <c r="G492" s="11" t="s">
        <v>1165</v>
      </c>
      <c r="H492" s="11" t="s">
        <v>15</v>
      </c>
      <c r="I492" s="11" t="s">
        <v>16</v>
      </c>
      <c r="J492" s="47" t="s">
        <v>1332</v>
      </c>
      <c r="K492">
        <f>900</f>
        <v>900</v>
      </c>
      <c r="L492" t="str">
        <f t="shared" si="16"/>
        <v>250</v>
      </c>
      <c r="M492" t="e">
        <f>C492-K492-L492-#REF!</f>
        <v>#REF!</v>
      </c>
      <c r="N492" t="e">
        <f t="shared" si="17"/>
        <v>#REF!</v>
      </c>
    </row>
    <row r="493" spans="1:14">
      <c r="A493" s="11" t="s">
        <v>1333</v>
      </c>
      <c r="B493" s="11">
        <v>3332593444</v>
      </c>
      <c r="C493" s="11">
        <v>1430</v>
      </c>
      <c r="D493" s="11" t="s">
        <v>1334</v>
      </c>
      <c r="E493" s="11" t="s">
        <v>1335</v>
      </c>
      <c r="F493" s="11" t="s">
        <v>24</v>
      </c>
      <c r="G493" s="11" t="s">
        <v>1336</v>
      </c>
      <c r="H493" s="11" t="s">
        <v>15</v>
      </c>
      <c r="I493" s="11" t="s">
        <v>16</v>
      </c>
      <c r="J493" s="47" t="s">
        <v>1337</v>
      </c>
      <c r="K493">
        <f>275</f>
        <v>275</v>
      </c>
      <c r="L493" t="str">
        <f t="shared" si="16"/>
        <v>250</v>
      </c>
      <c r="M493" t="e">
        <f>C493-K493-L493-#REF!</f>
        <v>#REF!</v>
      </c>
      <c r="N493" t="e">
        <f t="shared" si="17"/>
        <v>#REF!</v>
      </c>
    </row>
    <row r="494" spans="1:14">
      <c r="A494" s="11" t="s">
        <v>1342</v>
      </c>
      <c r="B494" s="11">
        <v>3234500046</v>
      </c>
      <c r="C494" s="11">
        <v>1140</v>
      </c>
      <c r="D494" s="11" t="s">
        <v>1341</v>
      </c>
      <c r="E494" s="11" t="s">
        <v>23</v>
      </c>
      <c r="F494" s="11" t="s">
        <v>24</v>
      </c>
      <c r="G494" s="11" t="s">
        <v>1340</v>
      </c>
      <c r="H494" s="11" t="s">
        <v>15</v>
      </c>
      <c r="I494" s="11" t="s">
        <v>16</v>
      </c>
      <c r="J494" s="47" t="s">
        <v>1337</v>
      </c>
      <c r="K494">
        <f>450</f>
        <v>450</v>
      </c>
      <c r="L494" t="str">
        <f>IF(E498="karachi","150","250")</f>
        <v>250</v>
      </c>
      <c r="M494" t="e">
        <f>C494-K494-L494-#REF!</f>
        <v>#REF!</v>
      </c>
      <c r="N494" t="e">
        <f t="shared" si="17"/>
        <v>#REF!</v>
      </c>
    </row>
    <row r="495" spans="1:14">
      <c r="A495" s="11" t="s">
        <v>1343</v>
      </c>
      <c r="B495" s="11">
        <v>3227493733</v>
      </c>
      <c r="C495" s="11">
        <v>1800</v>
      </c>
      <c r="D495" s="11" t="s">
        <v>1344</v>
      </c>
      <c r="E495" s="11" t="s">
        <v>120</v>
      </c>
      <c r="F495" s="11" t="s">
        <v>45</v>
      </c>
      <c r="G495" s="11" t="s">
        <v>1345</v>
      </c>
      <c r="H495" s="11" t="s">
        <v>41</v>
      </c>
      <c r="I495" s="11" t="s">
        <v>16</v>
      </c>
      <c r="J495" s="47" t="s">
        <v>1337</v>
      </c>
      <c r="K495">
        <f>(125*5)+250</f>
        <v>875</v>
      </c>
      <c r="L495" t="str">
        <f>IF(E499="karachi","150","250")</f>
        <v>250</v>
      </c>
      <c r="M495" t="e">
        <f>C495-K495-L495-#REF!</f>
        <v>#REF!</v>
      </c>
      <c r="N495" t="e">
        <f t="shared" si="17"/>
        <v>#REF!</v>
      </c>
    </row>
    <row r="496" spans="1:14">
      <c r="A496" s="11" t="s">
        <v>1328</v>
      </c>
      <c r="B496" s="11">
        <v>3370392953</v>
      </c>
      <c r="C496" s="11">
        <v>1100</v>
      </c>
      <c r="D496" s="11" t="s">
        <v>1329</v>
      </c>
      <c r="E496" s="11" t="s">
        <v>50</v>
      </c>
      <c r="F496" s="11" t="s">
        <v>45</v>
      </c>
      <c r="G496" s="11" t="s">
        <v>1302</v>
      </c>
      <c r="H496" s="11" t="s">
        <v>41</v>
      </c>
      <c r="I496" s="11" t="s">
        <v>16</v>
      </c>
      <c r="J496" s="47" t="s">
        <v>1325</v>
      </c>
      <c r="K496">
        <f>620</f>
        <v>620</v>
      </c>
      <c r="L496" t="str">
        <f t="shared" si="16"/>
        <v>150</v>
      </c>
      <c r="M496" t="e">
        <f>C496-K496-L496-#REF!</f>
        <v>#REF!</v>
      </c>
      <c r="N496" t="e">
        <f t="shared" si="17"/>
        <v>#REF!</v>
      </c>
    </row>
    <row r="497" spans="1:14">
      <c r="A497" s="11" t="s">
        <v>1326</v>
      </c>
      <c r="B497" s="11">
        <v>3158237545</v>
      </c>
      <c r="C497" s="11">
        <v>1400</v>
      </c>
      <c r="D497" s="11" t="s">
        <v>1327</v>
      </c>
      <c r="E497" s="11" t="s">
        <v>50</v>
      </c>
      <c r="F497" s="11" t="s">
        <v>45</v>
      </c>
      <c r="G497" s="11" t="s">
        <v>1290</v>
      </c>
      <c r="H497" s="11" t="s">
        <v>41</v>
      </c>
      <c r="I497" s="11" t="s">
        <v>16</v>
      </c>
      <c r="J497" s="47" t="s">
        <v>1325</v>
      </c>
      <c r="K497">
        <f>(125*3)+200</f>
        <v>575</v>
      </c>
      <c r="L497" t="str">
        <f t="shared" si="16"/>
        <v>150</v>
      </c>
      <c r="M497" t="e">
        <f>C497-K497-L497-#REF!</f>
        <v>#REF!</v>
      </c>
      <c r="N497" t="e">
        <f t="shared" si="17"/>
        <v>#REF!</v>
      </c>
    </row>
    <row r="498" spans="1:14">
      <c r="A498" s="11" t="s">
        <v>1338</v>
      </c>
      <c r="B498" s="11">
        <v>3355412742</v>
      </c>
      <c r="C498" s="11">
        <v>630</v>
      </c>
      <c r="D498" s="11" t="s">
        <v>1339</v>
      </c>
      <c r="E498" s="11" t="s">
        <v>12</v>
      </c>
      <c r="F498" s="11" t="s">
        <v>45</v>
      </c>
      <c r="G498" s="11" t="s">
        <v>1226</v>
      </c>
      <c r="H498" s="11" t="s">
        <v>15</v>
      </c>
      <c r="I498" s="11" t="s">
        <v>16</v>
      </c>
      <c r="J498" s="47" t="s">
        <v>1325</v>
      </c>
      <c r="K498">
        <f>125+50</f>
        <v>175</v>
      </c>
      <c r="L498" t="str">
        <f t="shared" ref="L498" si="18">IF(E498="karachi","150","250")</f>
        <v>250</v>
      </c>
      <c r="M498" t="e">
        <f>C498-K498-L498-#REF!</f>
        <v>#REF!</v>
      </c>
      <c r="N498" t="e">
        <f t="shared" si="17"/>
        <v>#REF!</v>
      </c>
    </row>
    <row r="499" spans="1:14">
      <c r="A499" s="11" t="s">
        <v>1346</v>
      </c>
      <c r="B499" s="11">
        <v>3351313515</v>
      </c>
      <c r="C499" s="11">
        <v>1220</v>
      </c>
      <c r="D499" s="11" t="s">
        <v>1347</v>
      </c>
      <c r="E499" s="11" t="s">
        <v>852</v>
      </c>
      <c r="F499" s="11" t="s">
        <v>515</v>
      </c>
      <c r="G499" s="11" t="s">
        <v>94</v>
      </c>
      <c r="H499" s="11" t="s">
        <v>15</v>
      </c>
      <c r="I499" s="11" t="s">
        <v>16</v>
      </c>
      <c r="J499" s="47" t="s">
        <v>1325</v>
      </c>
      <c r="K499">
        <f>700</f>
        <v>700</v>
      </c>
      <c r="L499" t="str">
        <f t="shared" si="16"/>
        <v>250</v>
      </c>
      <c r="M499" t="e">
        <f>C499-K499-L499-#REF!</f>
        <v>#REF!</v>
      </c>
      <c r="N499" t="e">
        <f t="shared" si="17"/>
        <v>#REF!</v>
      </c>
    </row>
    <row r="500" spans="1:14">
      <c r="A500" s="11" t="s">
        <v>1281</v>
      </c>
      <c r="B500" s="11">
        <v>3351582384</v>
      </c>
      <c r="C500" s="11">
        <v>800</v>
      </c>
      <c r="D500" s="11" t="s">
        <v>1282</v>
      </c>
      <c r="E500" s="11" t="s">
        <v>12</v>
      </c>
      <c r="F500" s="11" t="s">
        <v>515</v>
      </c>
      <c r="G500" s="11" t="s">
        <v>1348</v>
      </c>
      <c r="H500" s="11" t="s">
        <v>413</v>
      </c>
      <c r="I500" s="11" t="s">
        <v>16</v>
      </c>
      <c r="J500" s="47" t="s">
        <v>1325</v>
      </c>
      <c r="K500">
        <f>230+140+200</f>
        <v>570</v>
      </c>
      <c r="L500" t="str">
        <f t="shared" si="16"/>
        <v>250</v>
      </c>
      <c r="M500" t="e">
        <f>C500-K500-L500-#REF!</f>
        <v>#REF!</v>
      </c>
      <c r="N500" t="e">
        <f t="shared" si="17"/>
        <v>#REF!</v>
      </c>
    </row>
    <row r="501" spans="1:14">
      <c r="A501" s="11" t="s">
        <v>1349</v>
      </c>
      <c r="B501" s="11">
        <v>3316130173</v>
      </c>
      <c r="C501" s="11">
        <v>1640</v>
      </c>
      <c r="D501" s="11" t="s">
        <v>1350</v>
      </c>
      <c r="E501" s="11" t="s">
        <v>120</v>
      </c>
      <c r="F501" s="11" t="s">
        <v>45</v>
      </c>
      <c r="G501" s="11" t="s">
        <v>1351</v>
      </c>
      <c r="H501" s="11" t="s">
        <v>15</v>
      </c>
      <c r="I501" s="11" t="s">
        <v>16</v>
      </c>
      <c r="J501" s="47" t="s">
        <v>1352</v>
      </c>
      <c r="K501">
        <f>(350*3)+150</f>
        <v>1200</v>
      </c>
      <c r="L501" t="str">
        <f t="shared" si="16"/>
        <v>250</v>
      </c>
      <c r="M501" t="e">
        <f>C501-K501-L501-#REF!</f>
        <v>#REF!</v>
      </c>
      <c r="N501" t="e">
        <f t="shared" si="17"/>
        <v>#REF!</v>
      </c>
    </row>
    <row r="502" spans="1:14">
      <c r="A502" s="11" t="s">
        <v>1213</v>
      </c>
      <c r="B502" s="11">
        <v>3325520512</v>
      </c>
      <c r="C502" s="11">
        <v>2120</v>
      </c>
      <c r="D502" s="11" t="s">
        <v>1214</v>
      </c>
      <c r="E502" s="11" t="s">
        <v>12</v>
      </c>
      <c r="F502" s="11" t="s">
        <v>24</v>
      </c>
      <c r="G502" s="11" t="s">
        <v>1353</v>
      </c>
      <c r="H502" s="11" t="s">
        <v>413</v>
      </c>
      <c r="I502" s="11" t="s">
        <v>16</v>
      </c>
      <c r="J502" s="47" t="s">
        <v>1354</v>
      </c>
      <c r="K502">
        <f>400+450+50</f>
        <v>900</v>
      </c>
      <c r="L502" t="str">
        <f t="shared" si="16"/>
        <v>250</v>
      </c>
      <c r="M502" t="e">
        <f>C502-K502-L502-#REF!</f>
        <v>#REF!</v>
      </c>
      <c r="N502" t="e">
        <f t="shared" si="17"/>
        <v>#REF!</v>
      </c>
    </row>
    <row r="503" spans="1:14">
      <c r="A503" s="11" t="s">
        <v>1355</v>
      </c>
      <c r="B503" s="11">
        <v>3440904003</v>
      </c>
      <c r="C503" s="11">
        <v>1400</v>
      </c>
      <c r="D503" s="11" t="s">
        <v>1356</v>
      </c>
      <c r="E503" s="11" t="s">
        <v>1357</v>
      </c>
      <c r="F503" s="11" t="s">
        <v>45</v>
      </c>
      <c r="G503" s="11" t="s">
        <v>1358</v>
      </c>
      <c r="H503" s="11" t="s">
        <v>41</v>
      </c>
      <c r="I503" s="11" t="s">
        <v>16</v>
      </c>
      <c r="J503" s="47" t="s">
        <v>1354</v>
      </c>
      <c r="K503">
        <f>(125*3)+150</f>
        <v>525</v>
      </c>
      <c r="L503" t="str">
        <f t="shared" si="16"/>
        <v>250</v>
      </c>
      <c r="M503" t="e">
        <f>C503-K503-L503-#REF!</f>
        <v>#REF!</v>
      </c>
      <c r="N503" t="e">
        <f t="shared" si="17"/>
        <v>#REF!</v>
      </c>
    </row>
    <row r="504" spans="1:14">
      <c r="A504" s="40" t="s">
        <v>1359</v>
      </c>
      <c r="B504" s="40">
        <v>3005702344</v>
      </c>
      <c r="C504" s="40">
        <v>1220</v>
      </c>
      <c r="D504" s="40" t="s">
        <v>1360</v>
      </c>
      <c r="E504" s="40" t="s">
        <v>1197</v>
      </c>
      <c r="F504" s="40" t="s">
        <v>515</v>
      </c>
      <c r="G504" s="40" t="s">
        <v>94</v>
      </c>
      <c r="H504" s="40" t="s">
        <v>41</v>
      </c>
      <c r="I504" s="40" t="s">
        <v>122</v>
      </c>
      <c r="J504" s="37" t="s">
        <v>1354</v>
      </c>
      <c r="K504" s="54">
        <f>700</f>
        <v>700</v>
      </c>
      <c r="L504" s="54" t="str">
        <f t="shared" si="16"/>
        <v>250</v>
      </c>
      <c r="M504" t="e">
        <f>C504-K504-L504-#REF!</f>
        <v>#REF!</v>
      </c>
      <c r="N504" t="str">
        <f t="shared" si="17"/>
        <v>Waiting For Deliver</v>
      </c>
    </row>
    <row r="505" spans="1:14">
      <c r="A505" s="11" t="s">
        <v>1361</v>
      </c>
      <c r="B505" s="11">
        <v>3105088711</v>
      </c>
      <c r="C505" s="11">
        <v>1220</v>
      </c>
      <c r="D505" s="11" t="s">
        <v>1362</v>
      </c>
      <c r="E505" s="11" t="s">
        <v>12</v>
      </c>
      <c r="F505" s="11" t="s">
        <v>515</v>
      </c>
      <c r="G505" s="11" t="s">
        <v>94</v>
      </c>
      <c r="H505" s="11" t="s">
        <v>15</v>
      </c>
      <c r="I505" s="11" t="s">
        <v>16</v>
      </c>
      <c r="J505" s="47" t="s">
        <v>1354</v>
      </c>
      <c r="K505">
        <f>700</f>
        <v>700</v>
      </c>
      <c r="L505" t="str">
        <f t="shared" si="16"/>
        <v>250</v>
      </c>
      <c r="M505" t="e">
        <f>C505-K505-L505-#REF!</f>
        <v>#REF!</v>
      </c>
      <c r="N505" t="e">
        <f t="shared" si="17"/>
        <v>#REF!</v>
      </c>
    </row>
    <row r="506" spans="1:14">
      <c r="A506" s="11" t="s">
        <v>1363</v>
      </c>
      <c r="B506" s="11">
        <v>3041585296</v>
      </c>
      <c r="C506" s="11">
        <v>870</v>
      </c>
      <c r="D506" s="11" t="s">
        <v>1364</v>
      </c>
      <c r="E506" s="11" t="s">
        <v>280</v>
      </c>
      <c r="F506" s="11" t="s">
        <v>24</v>
      </c>
      <c r="G506" s="11" t="s">
        <v>416</v>
      </c>
      <c r="H506" s="11" t="s">
        <v>15</v>
      </c>
      <c r="I506" s="11" t="s">
        <v>16</v>
      </c>
      <c r="J506" s="47" t="s">
        <v>1354</v>
      </c>
      <c r="K506">
        <f>250+25</f>
        <v>275</v>
      </c>
      <c r="L506" t="str">
        <f t="shared" si="16"/>
        <v>250</v>
      </c>
      <c r="M506" t="e">
        <f>C506-K506-L506-#REF!</f>
        <v>#REF!</v>
      </c>
      <c r="N506" t="e">
        <f t="shared" ref="N506:N517" si="19">IF(I506="deliver",M506,"Waiting For Deliver")</f>
        <v>#REF!</v>
      </c>
    </row>
    <row r="507" spans="1:14">
      <c r="A507" s="11" t="s">
        <v>1365</v>
      </c>
      <c r="B507" s="11">
        <v>3488690493</v>
      </c>
      <c r="C507" s="11">
        <v>1500</v>
      </c>
      <c r="D507" s="11" t="s">
        <v>1366</v>
      </c>
      <c r="E507" s="11" t="s">
        <v>23</v>
      </c>
      <c r="F507" s="11" t="s">
        <v>45</v>
      </c>
      <c r="G507" s="11" t="s">
        <v>1027</v>
      </c>
      <c r="H507" s="11" t="s">
        <v>41</v>
      </c>
      <c r="I507" s="11" t="s">
        <v>16</v>
      </c>
      <c r="J507" s="47" t="s">
        <v>1354</v>
      </c>
      <c r="K507">
        <f>125*5</f>
        <v>625</v>
      </c>
      <c r="L507" t="str">
        <f t="shared" si="16"/>
        <v>250</v>
      </c>
      <c r="M507" t="e">
        <f>C507-K507-L507-#REF!</f>
        <v>#REF!</v>
      </c>
      <c r="N507" t="e">
        <f t="shared" si="19"/>
        <v>#REF!</v>
      </c>
    </row>
    <row r="508" spans="1:14">
      <c r="A508" s="11" t="s">
        <v>1367</v>
      </c>
      <c r="B508" s="11">
        <v>3052032306</v>
      </c>
      <c r="C508" s="11">
        <v>1110</v>
      </c>
      <c r="D508" s="11" t="s">
        <v>1368</v>
      </c>
      <c r="E508" s="11" t="s">
        <v>50</v>
      </c>
      <c r="F508" s="11" t="s">
        <v>24</v>
      </c>
      <c r="G508" s="11" t="s">
        <v>1369</v>
      </c>
      <c r="H508" s="11" t="s">
        <v>15</v>
      </c>
      <c r="I508" s="11" t="s">
        <v>16</v>
      </c>
      <c r="J508" s="47" t="s">
        <v>1354</v>
      </c>
      <c r="K508">
        <f>625</f>
        <v>625</v>
      </c>
      <c r="L508" t="str">
        <f t="shared" si="16"/>
        <v>150</v>
      </c>
      <c r="M508" t="e">
        <f>C508-K508-L508-#REF!</f>
        <v>#REF!</v>
      </c>
      <c r="N508" t="e">
        <f t="shared" si="19"/>
        <v>#REF!</v>
      </c>
    </row>
    <row r="509" spans="1:14">
      <c r="A509" s="2" t="s">
        <v>1370</v>
      </c>
      <c r="B509" s="2">
        <v>3452820133</v>
      </c>
      <c r="C509" s="5">
        <v>1800</v>
      </c>
      <c r="D509" s="2" t="s">
        <v>433</v>
      </c>
      <c r="E509" s="5" t="s">
        <v>50</v>
      </c>
      <c r="F509" s="5" t="s">
        <v>24</v>
      </c>
      <c r="G509" s="11" t="s">
        <v>802</v>
      </c>
      <c r="H509" s="11" t="s">
        <v>413</v>
      </c>
      <c r="I509" s="11" t="s">
        <v>16</v>
      </c>
      <c r="J509" s="47" t="s">
        <v>1354</v>
      </c>
      <c r="K509">
        <f>575+450</f>
        <v>1025</v>
      </c>
      <c r="L509" t="str">
        <f t="shared" si="16"/>
        <v>150</v>
      </c>
      <c r="M509" t="e">
        <f>C509-K509-L509-#REF!</f>
        <v>#REF!</v>
      </c>
      <c r="N509" t="e">
        <f t="shared" si="19"/>
        <v>#REF!</v>
      </c>
    </row>
    <row r="510" spans="1:14">
      <c r="A510" s="11" t="s">
        <v>1372</v>
      </c>
      <c r="B510" s="11">
        <v>3462703609</v>
      </c>
      <c r="C510" s="11">
        <v>1300</v>
      </c>
      <c r="D510" s="11" t="s">
        <v>1371</v>
      </c>
      <c r="E510" s="11" t="s">
        <v>50</v>
      </c>
      <c r="F510" s="11" t="s">
        <v>45</v>
      </c>
      <c r="G510" s="11" t="s">
        <v>213</v>
      </c>
      <c r="H510" s="11" t="s">
        <v>41</v>
      </c>
      <c r="I510" s="11" t="s">
        <v>16</v>
      </c>
      <c r="J510" s="47" t="s">
        <v>1354</v>
      </c>
      <c r="K510">
        <f>155*5</f>
        <v>775</v>
      </c>
      <c r="L510" t="str">
        <f t="shared" si="16"/>
        <v>150</v>
      </c>
      <c r="M510" t="e">
        <f>C510-K510-L510-#REF!</f>
        <v>#REF!</v>
      </c>
      <c r="N510" t="e">
        <f t="shared" si="19"/>
        <v>#REF!</v>
      </c>
    </row>
    <row r="511" spans="1:14">
      <c r="A511" s="11" t="s">
        <v>1373</v>
      </c>
      <c r="B511" s="11">
        <v>3315186665</v>
      </c>
      <c r="C511" s="11">
        <v>610</v>
      </c>
      <c r="D511" s="11" t="s">
        <v>1374</v>
      </c>
      <c r="E511" s="11" t="s">
        <v>23</v>
      </c>
      <c r="F511" s="11" t="s">
        <v>45</v>
      </c>
      <c r="G511" s="11" t="s">
        <v>1375</v>
      </c>
      <c r="H511" s="11" t="s">
        <v>15</v>
      </c>
      <c r="I511" s="11" t="s">
        <v>16</v>
      </c>
      <c r="J511" s="47" t="s">
        <v>1376</v>
      </c>
      <c r="K511">
        <f>125+100</f>
        <v>225</v>
      </c>
      <c r="L511" t="str">
        <f t="shared" si="16"/>
        <v>250</v>
      </c>
      <c r="M511" t="e">
        <f>C511-K511-L511-#REF!</f>
        <v>#REF!</v>
      </c>
      <c r="N511" t="e">
        <f t="shared" si="19"/>
        <v>#REF!</v>
      </c>
    </row>
    <row r="512" spans="1:14">
      <c r="A512" s="11" t="s">
        <v>1377</v>
      </c>
      <c r="B512" s="11">
        <v>3344433146</v>
      </c>
      <c r="C512" s="11">
        <v>710</v>
      </c>
      <c r="D512" s="11" t="s">
        <v>1378</v>
      </c>
      <c r="E512" s="11" t="s">
        <v>23</v>
      </c>
      <c r="F512" s="11" t="s">
        <v>45</v>
      </c>
      <c r="G512" s="11" t="s">
        <v>1379</v>
      </c>
      <c r="H512" s="11" t="s">
        <v>15</v>
      </c>
      <c r="I512" s="11" t="s">
        <v>16</v>
      </c>
      <c r="J512" s="47" t="s">
        <v>1376</v>
      </c>
      <c r="K512">
        <f>125+100</f>
        <v>225</v>
      </c>
      <c r="L512" t="str">
        <f t="shared" si="16"/>
        <v>250</v>
      </c>
      <c r="M512" t="e">
        <f>C512-K512-L512-#REF!</f>
        <v>#REF!</v>
      </c>
      <c r="N512" t="e">
        <f t="shared" si="19"/>
        <v>#REF!</v>
      </c>
    </row>
    <row r="513" spans="1:18">
      <c r="A513" s="11" t="s">
        <v>1380</v>
      </c>
      <c r="B513" s="11">
        <v>3338172131</v>
      </c>
      <c r="C513" s="11">
        <v>1060</v>
      </c>
      <c r="D513" s="11" t="s">
        <v>1381</v>
      </c>
      <c r="E513" s="11" t="s">
        <v>57</v>
      </c>
      <c r="F513" s="11" t="s">
        <v>45</v>
      </c>
      <c r="G513" s="11" t="s">
        <v>1302</v>
      </c>
      <c r="H513" s="11" t="s">
        <v>15</v>
      </c>
      <c r="I513" s="11" t="s">
        <v>16</v>
      </c>
      <c r="J513" s="47" t="s">
        <v>1376</v>
      </c>
      <c r="K513">
        <f>650</f>
        <v>650</v>
      </c>
      <c r="L513" t="str">
        <f t="shared" si="16"/>
        <v>250</v>
      </c>
      <c r="M513" t="e">
        <f>C513-K513-L513-#REF!</f>
        <v>#REF!</v>
      </c>
      <c r="N513" t="e">
        <f t="shared" si="19"/>
        <v>#REF!</v>
      </c>
    </row>
    <row r="514" spans="1:18">
      <c r="A514" s="11" t="s">
        <v>1382</v>
      </c>
      <c r="B514" s="11">
        <v>3007111471</v>
      </c>
      <c r="C514" s="11">
        <v>1110</v>
      </c>
      <c r="D514" s="11" t="s">
        <v>1383</v>
      </c>
      <c r="E514" s="11" t="s">
        <v>23</v>
      </c>
      <c r="F514" s="11" t="s">
        <v>24</v>
      </c>
      <c r="G514" s="11" t="s">
        <v>303</v>
      </c>
      <c r="H514" s="11" t="s">
        <v>15</v>
      </c>
      <c r="I514" s="11" t="s">
        <v>16</v>
      </c>
      <c r="J514" s="47" t="s">
        <v>1376</v>
      </c>
      <c r="K514">
        <f>440+25</f>
        <v>465</v>
      </c>
      <c r="L514" t="str">
        <f t="shared" si="16"/>
        <v>250</v>
      </c>
      <c r="M514" t="e">
        <f>C514-K514-L514-#REF!</f>
        <v>#REF!</v>
      </c>
      <c r="N514" t="e">
        <f t="shared" si="19"/>
        <v>#REF!</v>
      </c>
    </row>
    <row r="515" spans="1:18">
      <c r="A515" s="11" t="s">
        <v>1384</v>
      </c>
      <c r="B515" s="11">
        <v>3053609240</v>
      </c>
      <c r="C515" s="11">
        <v>1220</v>
      </c>
      <c r="D515" s="11" t="s">
        <v>1385</v>
      </c>
      <c r="E515" s="11" t="s">
        <v>50</v>
      </c>
      <c r="F515" s="11" t="s">
        <v>515</v>
      </c>
      <c r="G515" s="11" t="s">
        <v>94</v>
      </c>
      <c r="H515" s="11" t="s">
        <v>15</v>
      </c>
      <c r="I515" s="11" t="s">
        <v>16</v>
      </c>
      <c r="J515" s="47" t="s">
        <v>1386</v>
      </c>
      <c r="K515">
        <f>100*7</f>
        <v>700</v>
      </c>
      <c r="L515" t="str">
        <f t="shared" si="16"/>
        <v>150</v>
      </c>
      <c r="M515" t="e">
        <f>C515-K515-L515-#REF!</f>
        <v>#REF!</v>
      </c>
      <c r="N515" t="e">
        <f t="shared" si="19"/>
        <v>#REF!</v>
      </c>
    </row>
    <row r="516" spans="1:18">
      <c r="A516" s="11" t="s">
        <v>1387</v>
      </c>
      <c r="B516" s="11">
        <v>3314245931</v>
      </c>
      <c r="C516" s="11">
        <v>1050</v>
      </c>
      <c r="D516" s="11" t="s">
        <v>1388</v>
      </c>
      <c r="E516" s="11" t="s">
        <v>230</v>
      </c>
      <c r="F516" s="11" t="s">
        <v>515</v>
      </c>
      <c r="G516" s="11" t="s">
        <v>1389</v>
      </c>
      <c r="H516" s="11" t="s">
        <v>15</v>
      </c>
      <c r="I516" s="11" t="s">
        <v>16</v>
      </c>
      <c r="J516" s="47" t="s">
        <v>1386</v>
      </c>
      <c r="K516">
        <f>100*6</f>
        <v>600</v>
      </c>
      <c r="L516" t="str">
        <f t="shared" si="16"/>
        <v>250</v>
      </c>
      <c r="M516" t="e">
        <f>C516-K516-L516-#REF!</f>
        <v>#REF!</v>
      </c>
      <c r="N516" t="e">
        <f t="shared" si="19"/>
        <v>#REF!</v>
      </c>
    </row>
    <row r="517" spans="1:18" ht="15.75" thickBot="1">
      <c r="A517" s="11" t="s">
        <v>1390</v>
      </c>
      <c r="B517" s="11">
        <v>3129774999</v>
      </c>
      <c r="C517" s="11">
        <v>1130</v>
      </c>
      <c r="D517" s="11" t="s">
        <v>1391</v>
      </c>
      <c r="E517" s="11" t="s">
        <v>453</v>
      </c>
      <c r="F517" s="11" t="s">
        <v>24</v>
      </c>
      <c r="G517" s="11" t="s">
        <v>303</v>
      </c>
      <c r="H517" s="11" t="s">
        <v>15</v>
      </c>
      <c r="I517" s="11" t="s">
        <v>16</v>
      </c>
      <c r="J517" s="47" t="s">
        <v>1386</v>
      </c>
      <c r="K517">
        <f>440+25</f>
        <v>465</v>
      </c>
      <c r="L517" t="str">
        <f t="shared" si="16"/>
        <v>250</v>
      </c>
      <c r="M517" t="e">
        <f>C517-K517-L517-#REF!</f>
        <v>#REF!</v>
      </c>
      <c r="N517" t="e">
        <f t="shared" si="19"/>
        <v>#REF!</v>
      </c>
      <c r="P517" s="44"/>
      <c r="Q517" s="60"/>
    </row>
    <row r="518" spans="1:18" ht="20.25" thickBot="1">
      <c r="A518" s="133" t="s">
        <v>1506</v>
      </c>
      <c r="B518" s="133"/>
      <c r="C518" s="133"/>
      <c r="D518" s="133"/>
      <c r="E518" s="133"/>
      <c r="F518" s="133"/>
      <c r="G518" s="133"/>
      <c r="H518" s="133"/>
      <c r="I518" s="133"/>
      <c r="J518" s="133"/>
      <c r="K518" s="133"/>
      <c r="L518" s="133"/>
      <c r="M518" s="46" t="s">
        <v>1505</v>
      </c>
      <c r="N518" s="46" t="e">
        <f>SUM(N441:N517)</f>
        <v>#REF!</v>
      </c>
      <c r="P518" s="44"/>
      <c r="Q518" s="61"/>
    </row>
    <row r="519" spans="1:18" ht="16.5" thickTop="1" thickBot="1">
      <c r="A519" s="16" t="s">
        <v>1395</v>
      </c>
      <c r="B519">
        <v>3242251937</v>
      </c>
      <c r="C519" s="11">
        <v>3180</v>
      </c>
      <c r="D519" s="48" t="s">
        <v>1396</v>
      </c>
      <c r="E519" s="11" t="s">
        <v>50</v>
      </c>
      <c r="F519" s="11" t="s">
        <v>24</v>
      </c>
      <c r="G519" s="11" t="s">
        <v>1393</v>
      </c>
      <c r="H519" s="11" t="s">
        <v>15</v>
      </c>
      <c r="I519" s="11" t="s">
        <v>16</v>
      </c>
      <c r="J519" s="38">
        <v>42372</v>
      </c>
      <c r="K519">
        <f>440*3</f>
        <v>1320</v>
      </c>
      <c r="L519" t="str">
        <f t="shared" si="16"/>
        <v>150</v>
      </c>
      <c r="M519" t="e">
        <f>C519-K519-L519-#REF!</f>
        <v>#REF!</v>
      </c>
      <c r="N519" t="e">
        <f>IF(I519="deliver",M519,"Waiting For Deliver")</f>
        <v>#REF!</v>
      </c>
      <c r="P519" s="11"/>
      <c r="Q519" s="62"/>
    </row>
    <row r="520" spans="1:18">
      <c r="A520" s="11" t="s">
        <v>1392</v>
      </c>
      <c r="B520" s="11">
        <v>3346114544</v>
      </c>
      <c r="C520" s="11">
        <v>1110</v>
      </c>
      <c r="D520" s="11" t="s">
        <v>1394</v>
      </c>
      <c r="E520" s="11" t="s">
        <v>57</v>
      </c>
      <c r="F520" s="11" t="s">
        <v>24</v>
      </c>
      <c r="G520" s="11" t="s">
        <v>303</v>
      </c>
      <c r="H520" s="11" t="s">
        <v>15</v>
      </c>
      <c r="I520" s="11" t="s">
        <v>16</v>
      </c>
      <c r="J520" s="39">
        <v>42403</v>
      </c>
      <c r="K520">
        <f>440+25</f>
        <v>465</v>
      </c>
      <c r="L520" t="str">
        <f t="shared" si="16"/>
        <v>250</v>
      </c>
      <c r="M520" t="e">
        <f>C520-K520-L520-#REF!</f>
        <v>#REF!</v>
      </c>
      <c r="N520" t="e">
        <f>IF(I520="deliver",M520,"Waiting For Deliver")</f>
        <v>#REF!</v>
      </c>
    </row>
    <row r="521" spans="1:18">
      <c r="A521" s="11" t="s">
        <v>1397</v>
      </c>
      <c r="B521" s="11">
        <v>3445026780</v>
      </c>
      <c r="C521" s="11">
        <v>600</v>
      </c>
      <c r="D521" s="11" t="s">
        <v>1398</v>
      </c>
      <c r="E521" s="11" t="s">
        <v>170</v>
      </c>
      <c r="F521" s="11" t="s">
        <v>45</v>
      </c>
      <c r="G521" s="11" t="s">
        <v>1399</v>
      </c>
      <c r="H521" s="11" t="s">
        <v>41</v>
      </c>
      <c r="I521" s="11" t="s">
        <v>16</v>
      </c>
      <c r="J521" s="39">
        <v>42403</v>
      </c>
      <c r="K521">
        <f>125+100</f>
        <v>225</v>
      </c>
      <c r="L521" t="str">
        <f t="shared" si="16"/>
        <v>250</v>
      </c>
      <c r="M521" t="e">
        <f>C521-K521-L521-#REF!</f>
        <v>#REF!</v>
      </c>
      <c r="N521" t="e">
        <f>IF(I521="deliver",M521,"Waiting For Deliver")</f>
        <v>#REF!</v>
      </c>
    </row>
    <row r="522" spans="1:18">
      <c r="A522" s="55" t="s">
        <v>1400</v>
      </c>
      <c r="B522" s="55">
        <v>3154333477</v>
      </c>
      <c r="C522" s="55">
        <v>1220</v>
      </c>
      <c r="D522" s="55" t="s">
        <v>1401</v>
      </c>
      <c r="E522" s="55" t="s">
        <v>23</v>
      </c>
      <c r="F522" s="55" t="s">
        <v>515</v>
      </c>
      <c r="G522" s="55" t="s">
        <v>94</v>
      </c>
      <c r="H522" s="55" t="s">
        <v>15</v>
      </c>
      <c r="I522" s="55" t="s">
        <v>122</v>
      </c>
      <c r="J522" s="56">
        <v>42403</v>
      </c>
      <c r="K522">
        <f>700</f>
        <v>700</v>
      </c>
      <c r="L522" t="str">
        <f t="shared" si="16"/>
        <v>250</v>
      </c>
      <c r="M522" t="e">
        <f>C522-K522-L522-#REF!</f>
        <v>#REF!</v>
      </c>
      <c r="N522">
        <v>-300</v>
      </c>
      <c r="P522">
        <v>203533846</v>
      </c>
      <c r="Q522" t="s">
        <v>1648</v>
      </c>
      <c r="R522">
        <v>108</v>
      </c>
    </row>
    <row r="523" spans="1:18">
      <c r="A523" s="11" t="s">
        <v>1402</v>
      </c>
      <c r="B523" s="11">
        <v>3413343123</v>
      </c>
      <c r="C523" s="11">
        <v>1340</v>
      </c>
      <c r="D523" s="11" t="s">
        <v>1403</v>
      </c>
      <c r="E523" s="11" t="s">
        <v>1086</v>
      </c>
      <c r="F523" s="11" t="s">
        <v>45</v>
      </c>
      <c r="G523" s="11" t="s">
        <v>736</v>
      </c>
      <c r="H523" s="11" t="s">
        <v>15</v>
      </c>
      <c r="I523" s="11" t="s">
        <v>16</v>
      </c>
      <c r="J523" s="39">
        <v>42403</v>
      </c>
      <c r="K523">
        <f>155*4</f>
        <v>620</v>
      </c>
      <c r="L523" t="str">
        <f t="shared" si="16"/>
        <v>250</v>
      </c>
      <c r="M523" t="e">
        <f>C523-K523-L523-#REF!</f>
        <v>#REF!</v>
      </c>
      <c r="N523" t="e">
        <f>IF(I523="deliver",M523,"Waiting For Deliver")</f>
        <v>#REF!</v>
      </c>
    </row>
    <row r="524" spans="1:18">
      <c r="A524" s="57" t="s">
        <v>1404</v>
      </c>
      <c r="B524" s="57">
        <v>3216275988</v>
      </c>
      <c r="C524" s="57">
        <v>1230</v>
      </c>
      <c r="D524" s="57" t="s">
        <v>1406</v>
      </c>
      <c r="E524" s="57" t="s">
        <v>731</v>
      </c>
      <c r="F524" s="57" t="s">
        <v>515</v>
      </c>
      <c r="G524" s="57" t="s">
        <v>1405</v>
      </c>
      <c r="H524" s="57" t="s">
        <v>15</v>
      </c>
      <c r="I524" s="57" t="s">
        <v>122</v>
      </c>
      <c r="J524" s="58">
        <v>42432</v>
      </c>
      <c r="K524">
        <f>550</f>
        <v>550</v>
      </c>
      <c r="L524" t="str">
        <f t="shared" si="16"/>
        <v>250</v>
      </c>
      <c r="M524" t="e">
        <f>C524-K524-L524-#REF!</f>
        <v>#REF!</v>
      </c>
      <c r="N524">
        <v>-300</v>
      </c>
    </row>
    <row r="525" spans="1:18">
      <c r="A525" s="11" t="s">
        <v>1407</v>
      </c>
      <c r="B525" s="11">
        <v>3341804175</v>
      </c>
      <c r="C525" s="11">
        <v>1060</v>
      </c>
      <c r="D525" s="11" t="s">
        <v>1408</v>
      </c>
      <c r="E525" s="11" t="s">
        <v>19</v>
      </c>
      <c r="F525" s="11" t="s">
        <v>45</v>
      </c>
      <c r="G525" s="11" t="s">
        <v>1302</v>
      </c>
      <c r="H525" s="11" t="s">
        <v>15</v>
      </c>
      <c r="I525" s="11" t="s">
        <v>16</v>
      </c>
      <c r="J525" s="39">
        <v>42432</v>
      </c>
      <c r="K525">
        <f>650</f>
        <v>650</v>
      </c>
      <c r="L525" t="str">
        <f t="shared" si="16"/>
        <v>250</v>
      </c>
      <c r="M525" t="e">
        <f>C525-K525-L525-#REF!</f>
        <v>#REF!</v>
      </c>
      <c r="N525" t="e">
        <f>IF(I525="deliver",M525,"Waiting For Deliver")</f>
        <v>#REF!</v>
      </c>
    </row>
    <row r="526" spans="1:18">
      <c r="A526" s="11" t="s">
        <v>1409</v>
      </c>
      <c r="B526" s="11">
        <v>3084345869</v>
      </c>
      <c r="C526" s="11">
        <v>1060</v>
      </c>
      <c r="D526" s="11" t="s">
        <v>1410</v>
      </c>
      <c r="E526" s="11" t="s">
        <v>23</v>
      </c>
      <c r="F526" s="11" t="s">
        <v>45</v>
      </c>
      <c r="G526" s="11" t="s">
        <v>1302</v>
      </c>
      <c r="H526" s="11" t="s">
        <v>15</v>
      </c>
      <c r="I526" s="11" t="s">
        <v>16</v>
      </c>
      <c r="J526" s="39">
        <v>42432</v>
      </c>
      <c r="K526">
        <f>650</f>
        <v>650</v>
      </c>
      <c r="L526" t="str">
        <f t="shared" si="16"/>
        <v>250</v>
      </c>
      <c r="M526" t="e">
        <f>C526-K526-L526-#REF!</f>
        <v>#REF!</v>
      </c>
      <c r="N526" t="e">
        <f>IF(I526="deliver",M526,"Waiting For Deliver")</f>
        <v>#REF!</v>
      </c>
    </row>
    <row r="527" spans="1:18">
      <c r="A527" s="55" t="s">
        <v>1411</v>
      </c>
      <c r="B527" s="55">
        <v>3409224035</v>
      </c>
      <c r="C527" s="55">
        <v>750</v>
      </c>
      <c r="D527" s="55" t="s">
        <v>1412</v>
      </c>
      <c r="E527" s="55" t="s">
        <v>35</v>
      </c>
      <c r="F527" s="55" t="s">
        <v>24</v>
      </c>
      <c r="G527" s="55" t="s">
        <v>742</v>
      </c>
      <c r="H527" s="55" t="s">
        <v>41</v>
      </c>
      <c r="I527" s="55" t="s">
        <v>122</v>
      </c>
      <c r="J527" s="56">
        <v>42432</v>
      </c>
      <c r="K527">
        <v>250</v>
      </c>
      <c r="L527" t="str">
        <f t="shared" si="16"/>
        <v>250</v>
      </c>
      <c r="M527" t="e">
        <f>C527-K527-L527-#REF!</f>
        <v>#REF!</v>
      </c>
      <c r="N527">
        <v>-300</v>
      </c>
    </row>
    <row r="528" spans="1:18">
      <c r="A528" s="11" t="s">
        <v>1414</v>
      </c>
      <c r="B528" s="11">
        <v>3432540958</v>
      </c>
      <c r="C528" s="11">
        <v>1060</v>
      </c>
      <c r="D528" s="11" t="s">
        <v>1413</v>
      </c>
      <c r="E528" s="11" t="s">
        <v>50</v>
      </c>
      <c r="F528" s="11" t="s">
        <v>24</v>
      </c>
      <c r="G528" s="11" t="s">
        <v>303</v>
      </c>
      <c r="H528" s="11" t="s">
        <v>15</v>
      </c>
      <c r="I528" s="11" t="s">
        <v>16</v>
      </c>
      <c r="J528" s="39">
        <v>42463</v>
      </c>
      <c r="K528">
        <f>440+25</f>
        <v>465</v>
      </c>
      <c r="L528" t="str">
        <f t="shared" si="16"/>
        <v>150</v>
      </c>
      <c r="M528" t="e">
        <f>C528-K528-L528-#REF!</f>
        <v>#REF!</v>
      </c>
      <c r="N528" t="e">
        <f t="shared" ref="N528:N533" si="20">IF(I528="deliver",M528,"Waiting For Deliver")</f>
        <v>#REF!</v>
      </c>
    </row>
    <row r="529" spans="1:17">
      <c r="A529" s="11" t="s">
        <v>1415</v>
      </c>
      <c r="B529" s="11">
        <v>3475600508</v>
      </c>
      <c r="C529" s="11">
        <v>1140</v>
      </c>
      <c r="D529" s="11" t="s">
        <v>1421</v>
      </c>
      <c r="E529" s="11" t="s">
        <v>35</v>
      </c>
      <c r="F529" s="11" t="s">
        <v>24</v>
      </c>
      <c r="G529" s="11" t="s">
        <v>303</v>
      </c>
      <c r="H529" s="11" t="s">
        <v>15</v>
      </c>
      <c r="I529" s="11" t="s">
        <v>16</v>
      </c>
      <c r="J529" s="39">
        <v>42463</v>
      </c>
      <c r="K529">
        <f>440+25</f>
        <v>465</v>
      </c>
      <c r="L529" t="str">
        <f t="shared" si="16"/>
        <v>250</v>
      </c>
      <c r="M529" t="e">
        <f>C529-K529-L529-#REF!</f>
        <v>#REF!</v>
      </c>
      <c r="N529" t="e">
        <f t="shared" si="20"/>
        <v>#REF!</v>
      </c>
    </row>
    <row r="530" spans="1:17">
      <c r="A530" s="11" t="s">
        <v>1419</v>
      </c>
      <c r="B530" s="11">
        <v>3485781061</v>
      </c>
      <c r="C530" s="11">
        <v>1080</v>
      </c>
      <c r="D530" s="11" t="s">
        <v>1420</v>
      </c>
      <c r="E530" s="11" t="s">
        <v>1422</v>
      </c>
      <c r="F530" s="11" t="s">
        <v>45</v>
      </c>
      <c r="G530" s="11" t="s">
        <v>1302</v>
      </c>
      <c r="H530" s="11" t="s">
        <v>716</v>
      </c>
      <c r="I530" s="11" t="s">
        <v>16</v>
      </c>
      <c r="J530" s="39">
        <v>42463</v>
      </c>
      <c r="K530">
        <v>650</v>
      </c>
      <c r="L530" t="str">
        <f t="shared" si="16"/>
        <v>250</v>
      </c>
      <c r="M530" t="e">
        <f>C530-K530-L530-#REF!</f>
        <v>#REF!</v>
      </c>
      <c r="N530" t="e">
        <f t="shared" si="20"/>
        <v>#REF!</v>
      </c>
    </row>
    <row r="531" spans="1:17">
      <c r="A531" s="11" t="s">
        <v>1423</v>
      </c>
      <c r="B531" s="11">
        <v>3323131747</v>
      </c>
      <c r="C531" s="11">
        <v>1220</v>
      </c>
      <c r="D531" s="11" t="s">
        <v>1424</v>
      </c>
      <c r="E531" s="11" t="s">
        <v>1425</v>
      </c>
      <c r="F531" s="11" t="s">
        <v>515</v>
      </c>
      <c r="G531" s="11" t="s">
        <v>94</v>
      </c>
      <c r="H531" s="11" t="s">
        <v>15</v>
      </c>
      <c r="I531" s="11" t="s">
        <v>16</v>
      </c>
      <c r="J531" s="39">
        <v>42493</v>
      </c>
      <c r="K531">
        <f>700</f>
        <v>700</v>
      </c>
      <c r="L531" t="str">
        <f t="shared" ref="L531:L595" si="21">IF(E531="karachi","150","250")</f>
        <v>250</v>
      </c>
      <c r="M531" t="e">
        <f>C531-K531-L531-#REF!</f>
        <v>#REF!</v>
      </c>
      <c r="N531" t="e">
        <f t="shared" si="20"/>
        <v>#REF!</v>
      </c>
    </row>
    <row r="532" spans="1:17">
      <c r="A532" s="50" t="s">
        <v>1426</v>
      </c>
      <c r="B532" s="11">
        <v>3002546579</v>
      </c>
      <c r="C532" s="11">
        <v>1220</v>
      </c>
      <c r="D532" s="11" t="s">
        <v>1427</v>
      </c>
      <c r="E532" s="11" t="s">
        <v>50</v>
      </c>
      <c r="F532" s="11" t="s">
        <v>515</v>
      </c>
      <c r="G532" s="11" t="s">
        <v>94</v>
      </c>
      <c r="H532" s="11" t="s">
        <v>15</v>
      </c>
      <c r="I532" s="11" t="s">
        <v>16</v>
      </c>
      <c r="J532" s="39">
        <v>42493</v>
      </c>
      <c r="K532">
        <v>700</v>
      </c>
      <c r="L532" t="str">
        <f t="shared" si="21"/>
        <v>150</v>
      </c>
      <c r="M532" t="e">
        <f>C532-K532-L532-#REF!</f>
        <v>#REF!</v>
      </c>
      <c r="N532" t="e">
        <f t="shared" si="20"/>
        <v>#REF!</v>
      </c>
    </row>
    <row r="533" spans="1:17">
      <c r="A533" s="11" t="s">
        <v>1428</v>
      </c>
      <c r="B533" s="11">
        <v>3346008036</v>
      </c>
      <c r="C533" s="11">
        <v>5000</v>
      </c>
      <c r="D533" s="11" t="s">
        <v>1429</v>
      </c>
      <c r="E533" s="11" t="s">
        <v>1430</v>
      </c>
      <c r="F533" s="11" t="s">
        <v>24</v>
      </c>
      <c r="G533" s="11" t="s">
        <v>1431</v>
      </c>
      <c r="H533" s="11" t="s">
        <v>413</v>
      </c>
      <c r="I533" s="11" t="s">
        <v>16</v>
      </c>
      <c r="J533" s="39">
        <v>42585</v>
      </c>
      <c r="K533">
        <v>4700</v>
      </c>
      <c r="L533" t="str">
        <f t="shared" si="21"/>
        <v>250</v>
      </c>
      <c r="M533" t="e">
        <f>C533-K533-L533-#REF!</f>
        <v>#REF!</v>
      </c>
      <c r="N533" t="e">
        <f t="shared" si="20"/>
        <v>#REF!</v>
      </c>
    </row>
    <row r="534" spans="1:17">
      <c r="A534" s="11" t="s">
        <v>1432</v>
      </c>
      <c r="B534" s="11">
        <v>3408000010</v>
      </c>
      <c r="C534" s="11">
        <v>5200</v>
      </c>
      <c r="D534" s="11" t="s">
        <v>1433</v>
      </c>
      <c r="E534" s="11" t="s">
        <v>12</v>
      </c>
      <c r="F534" s="11" t="s">
        <v>45</v>
      </c>
      <c r="G534" s="11" t="s">
        <v>1434</v>
      </c>
      <c r="H534" s="11" t="s">
        <v>41</v>
      </c>
      <c r="I534" s="11" t="s">
        <v>122</v>
      </c>
      <c r="J534" s="39">
        <v>42585</v>
      </c>
      <c r="K534">
        <f>(125*13)+(50*13)</f>
        <v>2275</v>
      </c>
      <c r="L534" t="str">
        <f t="shared" si="21"/>
        <v>250</v>
      </c>
      <c r="M534" t="e">
        <f>C534-K534-L534-#REF!</f>
        <v>#REF!</v>
      </c>
      <c r="N534">
        <v>-500</v>
      </c>
    </row>
    <row r="535" spans="1:17">
      <c r="A535" s="11" t="s">
        <v>1435</v>
      </c>
      <c r="B535" s="11">
        <v>3335224554</v>
      </c>
      <c r="C535" s="11">
        <v>1200</v>
      </c>
      <c r="D535" s="11" t="s">
        <v>1436</v>
      </c>
      <c r="E535" s="11" t="s">
        <v>600</v>
      </c>
      <c r="F535" s="11" t="s">
        <v>45</v>
      </c>
      <c r="G535" s="11" t="s">
        <v>1437</v>
      </c>
      <c r="H535" s="11" t="s">
        <v>41</v>
      </c>
      <c r="I535" s="11" t="s">
        <v>16</v>
      </c>
      <c r="J535" s="39">
        <v>42585</v>
      </c>
      <c r="K535">
        <f>(125*3)+150</f>
        <v>525</v>
      </c>
      <c r="L535" t="str">
        <f t="shared" si="21"/>
        <v>250</v>
      </c>
      <c r="M535" t="e">
        <f>C535-K535-L535-#REF!</f>
        <v>#REF!</v>
      </c>
      <c r="N535" t="e">
        <f>IF(I535="deliver",M535,"Waiting For Deliver")</f>
        <v>#REF!</v>
      </c>
    </row>
    <row r="536" spans="1:17">
      <c r="A536" s="11" t="s">
        <v>1438</v>
      </c>
      <c r="B536" s="11">
        <v>3332106061</v>
      </c>
      <c r="C536" s="11">
        <v>1000</v>
      </c>
      <c r="D536" s="11" t="s">
        <v>1439</v>
      </c>
      <c r="E536" s="11" t="s">
        <v>50</v>
      </c>
      <c r="F536" s="11" t="s">
        <v>45</v>
      </c>
      <c r="G536" s="11" t="s">
        <v>1440</v>
      </c>
      <c r="H536" s="11" t="s">
        <v>41</v>
      </c>
      <c r="I536" s="11" t="s">
        <v>16</v>
      </c>
      <c r="J536" s="39">
        <v>42585</v>
      </c>
      <c r="K536">
        <f>(125*2)+100</f>
        <v>350</v>
      </c>
      <c r="L536" s="16">
        <v>100</v>
      </c>
      <c r="M536" t="e">
        <f>C536-K536-L536-#REF!</f>
        <v>#REF!</v>
      </c>
      <c r="N536" t="e">
        <f>IF(I536="deliver",M536,"Waiting For Deliver")</f>
        <v>#REF!</v>
      </c>
    </row>
    <row r="537" spans="1:17">
      <c r="A537" s="11" t="s">
        <v>1441</v>
      </c>
      <c r="B537" s="11">
        <v>3207121671</v>
      </c>
      <c r="C537" s="11">
        <v>1100</v>
      </c>
      <c r="D537" s="11" t="s">
        <v>1442</v>
      </c>
      <c r="E537" s="11" t="s">
        <v>120</v>
      </c>
      <c r="F537" s="11" t="s">
        <v>45</v>
      </c>
      <c r="G537" s="11" t="s">
        <v>1302</v>
      </c>
      <c r="H537" s="11" t="s">
        <v>41</v>
      </c>
      <c r="I537" s="11" t="s">
        <v>16</v>
      </c>
      <c r="J537" s="39">
        <v>42585</v>
      </c>
      <c r="K537">
        <f>650</f>
        <v>650</v>
      </c>
      <c r="L537" t="str">
        <f t="shared" si="21"/>
        <v>250</v>
      </c>
      <c r="M537" t="e">
        <f>C537-K537-L537-#REF!</f>
        <v>#REF!</v>
      </c>
      <c r="N537" t="e">
        <f>IF(I537="deliver",M537,"Waiting For Deliver")</f>
        <v>#REF!</v>
      </c>
    </row>
    <row r="538" spans="1:17">
      <c r="A538" s="57" t="s">
        <v>1443</v>
      </c>
      <c r="B538" s="57">
        <v>3151171335</v>
      </c>
      <c r="C538" s="57">
        <v>1250</v>
      </c>
      <c r="D538" s="57" t="s">
        <v>1444</v>
      </c>
      <c r="E538" s="57" t="s">
        <v>12</v>
      </c>
      <c r="F538" s="57" t="s">
        <v>45</v>
      </c>
      <c r="G538" s="57" t="s">
        <v>1445</v>
      </c>
      <c r="H538" s="57" t="s">
        <v>41</v>
      </c>
      <c r="I538" s="57" t="s">
        <v>122</v>
      </c>
      <c r="J538" s="58">
        <v>42585</v>
      </c>
      <c r="K538">
        <v>650</v>
      </c>
      <c r="L538" t="str">
        <f t="shared" si="21"/>
        <v>250</v>
      </c>
      <c r="M538" t="e">
        <f>C538-K538-L538-#REF!</f>
        <v>#REF!</v>
      </c>
      <c r="N538">
        <v>-300</v>
      </c>
    </row>
    <row r="539" spans="1:17">
      <c r="A539" s="11" t="s">
        <v>1449</v>
      </c>
      <c r="B539" s="11">
        <v>3074903589</v>
      </c>
      <c r="C539" s="11">
        <v>1460</v>
      </c>
      <c r="D539" s="11" t="s">
        <v>1450</v>
      </c>
      <c r="E539" s="11" t="s">
        <v>23</v>
      </c>
      <c r="F539" s="11" t="s">
        <v>1448</v>
      </c>
      <c r="G539" s="11" t="s">
        <v>1446</v>
      </c>
      <c r="H539" s="11" t="s">
        <v>41</v>
      </c>
      <c r="I539" s="11" t="s">
        <v>16</v>
      </c>
      <c r="J539" s="39">
        <v>42616</v>
      </c>
      <c r="K539">
        <f>550</f>
        <v>550</v>
      </c>
      <c r="L539">
        <v>200</v>
      </c>
      <c r="M539" t="e">
        <f>C539-K539-L539-#REF!</f>
        <v>#REF!</v>
      </c>
      <c r="N539" t="e">
        <f t="shared" ref="N539:N545" si="22">IF(I539="deliver",M539,"Waiting For Deliver")</f>
        <v>#REF!</v>
      </c>
      <c r="P539" t="s">
        <v>1447</v>
      </c>
      <c r="Q539" t="s">
        <v>1577</v>
      </c>
    </row>
    <row r="540" spans="1:17">
      <c r="A540" s="11" t="s">
        <v>1451</v>
      </c>
      <c r="B540" s="11">
        <v>3236553522</v>
      </c>
      <c r="C540" s="11">
        <v>1290</v>
      </c>
      <c r="D540" s="11" t="s">
        <v>1452</v>
      </c>
      <c r="E540" s="11" t="s">
        <v>23</v>
      </c>
      <c r="F540" s="11" t="s">
        <v>24</v>
      </c>
      <c r="G540" s="11" t="s">
        <v>622</v>
      </c>
      <c r="H540" s="11" t="s">
        <v>15</v>
      </c>
      <c r="I540" s="11" t="s">
        <v>16</v>
      </c>
      <c r="J540" s="39">
        <v>42616</v>
      </c>
      <c r="K540">
        <v>550</v>
      </c>
      <c r="L540" t="str">
        <f t="shared" si="21"/>
        <v>250</v>
      </c>
      <c r="M540" t="e">
        <f>C540-K540-L540-#REF!</f>
        <v>#REF!</v>
      </c>
      <c r="N540" t="e">
        <f t="shared" si="22"/>
        <v>#REF!</v>
      </c>
    </row>
    <row r="541" spans="1:17">
      <c r="A541" s="11" t="s">
        <v>1455</v>
      </c>
      <c r="B541" s="11">
        <v>3457372255</v>
      </c>
      <c r="C541" s="11">
        <v>1400</v>
      </c>
      <c r="D541" s="11" t="s">
        <v>1456</v>
      </c>
      <c r="E541" s="11" t="s">
        <v>995</v>
      </c>
      <c r="F541" s="11" t="s">
        <v>515</v>
      </c>
      <c r="G541" s="11" t="s">
        <v>1457</v>
      </c>
      <c r="H541" s="11" t="s">
        <v>41</v>
      </c>
      <c r="I541" s="11" t="s">
        <v>16</v>
      </c>
      <c r="J541" s="39">
        <v>42677</v>
      </c>
      <c r="K541">
        <f>180*3</f>
        <v>540</v>
      </c>
      <c r="L541" t="str">
        <f t="shared" si="21"/>
        <v>250</v>
      </c>
      <c r="M541" t="e">
        <f>C541-K541-L541-#REF!</f>
        <v>#REF!</v>
      </c>
      <c r="N541" t="e">
        <f t="shared" si="22"/>
        <v>#REF!</v>
      </c>
    </row>
    <row r="542" spans="1:17">
      <c r="A542" s="11" t="s">
        <v>1458</v>
      </c>
      <c r="B542" s="11">
        <v>3214839002</v>
      </c>
      <c r="C542" s="11">
        <v>1500</v>
      </c>
      <c r="D542" s="11" t="s">
        <v>1459</v>
      </c>
      <c r="E542" s="11" t="s">
        <v>23</v>
      </c>
      <c r="F542" s="11" t="s">
        <v>45</v>
      </c>
      <c r="G542" s="11" t="s">
        <v>1460</v>
      </c>
      <c r="H542" s="11" t="s">
        <v>41</v>
      </c>
      <c r="I542" s="11" t="s">
        <v>16</v>
      </c>
      <c r="J542" s="39">
        <v>42677</v>
      </c>
      <c r="K542">
        <f>(125*5)+(15*5)</f>
        <v>700</v>
      </c>
      <c r="L542" t="str">
        <f t="shared" si="21"/>
        <v>250</v>
      </c>
      <c r="M542" t="e">
        <f>C542-K542-L542-#REF!</f>
        <v>#REF!</v>
      </c>
      <c r="N542" t="e">
        <f t="shared" si="22"/>
        <v>#REF!</v>
      </c>
    </row>
    <row r="543" spans="1:17">
      <c r="A543" s="11" t="s">
        <v>1461</v>
      </c>
      <c r="B543" s="11">
        <v>3106018788</v>
      </c>
      <c r="C543" s="11">
        <v>1200</v>
      </c>
      <c r="D543" s="11" t="s">
        <v>1462</v>
      </c>
      <c r="E543" s="11" t="s">
        <v>1115</v>
      </c>
      <c r="F543" s="11" t="s">
        <v>45</v>
      </c>
      <c r="G543" s="11" t="s">
        <v>1463</v>
      </c>
      <c r="H543" s="11" t="s">
        <v>15</v>
      </c>
      <c r="I543" s="11" t="s">
        <v>16</v>
      </c>
      <c r="J543" s="39">
        <v>42677</v>
      </c>
      <c r="K543">
        <f>(125*3)+(45*3)</f>
        <v>510</v>
      </c>
      <c r="L543" t="str">
        <f t="shared" si="21"/>
        <v>250</v>
      </c>
      <c r="M543" t="e">
        <f>C543-K543-L543-#REF!</f>
        <v>#REF!</v>
      </c>
      <c r="N543" t="e">
        <f t="shared" si="22"/>
        <v>#REF!</v>
      </c>
    </row>
    <row r="544" spans="1:17">
      <c r="A544" s="11" t="s">
        <v>1464</v>
      </c>
      <c r="B544" s="11">
        <v>3456699174</v>
      </c>
      <c r="C544" s="11">
        <v>1150</v>
      </c>
      <c r="D544" s="11" t="s">
        <v>1465</v>
      </c>
      <c r="E544" s="11" t="s">
        <v>453</v>
      </c>
      <c r="F544" s="11" t="s">
        <v>515</v>
      </c>
      <c r="G544" s="11" t="s">
        <v>1466</v>
      </c>
      <c r="H544" s="11" t="s">
        <v>15</v>
      </c>
      <c r="I544" s="11" t="s">
        <v>16</v>
      </c>
      <c r="J544" s="39">
        <v>42677</v>
      </c>
      <c r="K544">
        <f>600</f>
        <v>600</v>
      </c>
      <c r="L544" t="str">
        <f t="shared" si="21"/>
        <v>250</v>
      </c>
      <c r="M544" t="e">
        <f>C544-K544-L544-#REF!</f>
        <v>#REF!</v>
      </c>
      <c r="N544" t="e">
        <f t="shared" si="22"/>
        <v>#REF!</v>
      </c>
    </row>
    <row r="545" spans="1:14">
      <c r="A545" s="11" t="s">
        <v>1467</v>
      </c>
      <c r="B545" s="11">
        <v>3486918157</v>
      </c>
      <c r="C545" s="11">
        <v>1130</v>
      </c>
      <c r="D545" s="11" t="s">
        <v>1468</v>
      </c>
      <c r="E545" s="11" t="s">
        <v>1469</v>
      </c>
      <c r="F545" s="11" t="s">
        <v>24</v>
      </c>
      <c r="G545" s="11" t="s">
        <v>303</v>
      </c>
      <c r="H545" s="11" t="s">
        <v>15</v>
      </c>
      <c r="I545" s="11" t="s">
        <v>16</v>
      </c>
      <c r="J545" s="39">
        <v>42677</v>
      </c>
      <c r="K545">
        <f>440+25</f>
        <v>465</v>
      </c>
      <c r="L545" t="str">
        <f t="shared" si="21"/>
        <v>250</v>
      </c>
      <c r="M545" t="e">
        <f>C545-K545-L545-#REF!</f>
        <v>#REF!</v>
      </c>
      <c r="N545" t="e">
        <f t="shared" si="22"/>
        <v>#REF!</v>
      </c>
    </row>
    <row r="546" spans="1:14">
      <c r="A546" s="55" t="s">
        <v>1470</v>
      </c>
      <c r="B546" s="55">
        <v>3436343006</v>
      </c>
      <c r="C546" s="55">
        <v>1150</v>
      </c>
      <c r="D546" s="55" t="s">
        <v>1471</v>
      </c>
      <c r="E546" s="55" t="s">
        <v>120</v>
      </c>
      <c r="F546" s="55" t="s">
        <v>45</v>
      </c>
      <c r="G546" s="55" t="s">
        <v>1472</v>
      </c>
      <c r="H546" s="55" t="s">
        <v>41</v>
      </c>
      <c r="I546" s="55" t="s">
        <v>122</v>
      </c>
      <c r="J546" s="56">
        <v>42677</v>
      </c>
      <c r="K546">
        <f>(140*3)+(45*3)</f>
        <v>555</v>
      </c>
      <c r="L546" t="str">
        <f t="shared" si="21"/>
        <v>250</v>
      </c>
      <c r="M546" t="e">
        <f>C546-K546-L546-#REF!</f>
        <v>#REF!</v>
      </c>
      <c r="N546">
        <v>-300</v>
      </c>
    </row>
    <row r="547" spans="1:14">
      <c r="A547" s="11" t="s">
        <v>1473</v>
      </c>
      <c r="B547" s="11">
        <v>3042429829</v>
      </c>
      <c r="C547" s="11">
        <v>1270</v>
      </c>
      <c r="D547" s="11" t="s">
        <v>1474</v>
      </c>
      <c r="E547" s="11" t="s">
        <v>1297</v>
      </c>
      <c r="F547" s="11" t="s">
        <v>515</v>
      </c>
      <c r="G547" s="11" t="s">
        <v>94</v>
      </c>
      <c r="H547" s="11" t="s">
        <v>15</v>
      </c>
      <c r="I547" s="11" t="s">
        <v>16</v>
      </c>
      <c r="J547" s="47" t="s">
        <v>1475</v>
      </c>
      <c r="K547">
        <f>700</f>
        <v>700</v>
      </c>
      <c r="L547" t="str">
        <f t="shared" si="21"/>
        <v>250</v>
      </c>
      <c r="M547" t="e">
        <f>C547-K547-L547-#REF!</f>
        <v>#REF!</v>
      </c>
      <c r="N547" t="e">
        <f>IF(I547="deliver",M547,"Waiting For Deliver")</f>
        <v>#REF!</v>
      </c>
    </row>
    <row r="548" spans="1:14">
      <c r="A548" s="55" t="s">
        <v>1476</v>
      </c>
      <c r="B548" s="55">
        <v>3222872666</v>
      </c>
      <c r="C548" s="55">
        <v>770</v>
      </c>
      <c r="D548" s="55" t="s">
        <v>1477</v>
      </c>
      <c r="E548" s="55" t="s">
        <v>23</v>
      </c>
      <c r="F548" s="55" t="s">
        <v>45</v>
      </c>
      <c r="G548" s="55" t="s">
        <v>1314</v>
      </c>
      <c r="H548" s="55" t="s">
        <v>15</v>
      </c>
      <c r="I548" s="55" t="s">
        <v>122</v>
      </c>
      <c r="J548" s="63" t="s">
        <v>1475</v>
      </c>
      <c r="K548">
        <f>125+40</f>
        <v>165</v>
      </c>
      <c r="L548" t="str">
        <f t="shared" si="21"/>
        <v>250</v>
      </c>
      <c r="M548" t="e">
        <f>C548-K548-L548-#REF!</f>
        <v>#REF!</v>
      </c>
      <c r="N548">
        <v>-300</v>
      </c>
    </row>
    <row r="549" spans="1:14">
      <c r="A549" s="11" t="s">
        <v>1478</v>
      </c>
      <c r="B549" s="11">
        <v>3402143100</v>
      </c>
      <c r="C549" s="11">
        <v>660</v>
      </c>
      <c r="D549" s="11" t="s">
        <v>1479</v>
      </c>
      <c r="E549" s="11" t="s">
        <v>50</v>
      </c>
      <c r="F549" s="11" t="s">
        <v>24</v>
      </c>
      <c r="G549" s="11" t="s">
        <v>1480</v>
      </c>
      <c r="H549" s="11" t="s">
        <v>15</v>
      </c>
      <c r="I549" s="11" t="s">
        <v>16</v>
      </c>
      <c r="J549" s="47" t="s">
        <v>1475</v>
      </c>
      <c r="K549">
        <f>160</f>
        <v>160</v>
      </c>
      <c r="L549" t="str">
        <f t="shared" si="21"/>
        <v>150</v>
      </c>
      <c r="M549" t="e">
        <f>C549-K549-L549-#REF!</f>
        <v>#REF!</v>
      </c>
      <c r="N549" t="e">
        <f>IF(I549="deliver",M549,"Waiting For Deliver")</f>
        <v>#REF!</v>
      </c>
    </row>
    <row r="550" spans="1:14">
      <c r="A550" s="11" t="s">
        <v>1484</v>
      </c>
      <c r="B550" s="11">
        <v>3327825346</v>
      </c>
      <c r="C550" s="11">
        <v>1160</v>
      </c>
      <c r="D550" s="11" t="s">
        <v>1485</v>
      </c>
      <c r="E550" s="11" t="s">
        <v>148</v>
      </c>
      <c r="F550" s="11" t="s">
        <v>24</v>
      </c>
      <c r="G550" s="11" t="s">
        <v>303</v>
      </c>
      <c r="H550" s="11" t="s">
        <v>15</v>
      </c>
      <c r="I550" s="11" t="s">
        <v>16</v>
      </c>
      <c r="J550" s="47" t="s">
        <v>1483</v>
      </c>
      <c r="K550">
        <f>440+25</f>
        <v>465</v>
      </c>
      <c r="L550" t="str">
        <f t="shared" si="21"/>
        <v>250</v>
      </c>
      <c r="M550" t="e">
        <f>C550-K550-L550-#REF!</f>
        <v>#REF!</v>
      </c>
      <c r="N550" t="e">
        <f>IF(I550="deliver",M550,"Waiting For Deliver")</f>
        <v>#REF!</v>
      </c>
    </row>
    <row r="551" spans="1:14">
      <c r="A551" s="11" t="s">
        <v>1481</v>
      </c>
      <c r="B551" s="11">
        <v>3314406669</v>
      </c>
      <c r="C551" s="11">
        <v>1360</v>
      </c>
      <c r="D551" s="11" t="s">
        <v>1482</v>
      </c>
      <c r="E551" s="11" t="s">
        <v>23</v>
      </c>
      <c r="F551" s="11" t="s">
        <v>45</v>
      </c>
      <c r="G551" s="11" t="s">
        <v>736</v>
      </c>
      <c r="H551" s="11" t="s">
        <v>15</v>
      </c>
      <c r="I551" s="11" t="s">
        <v>16</v>
      </c>
      <c r="J551" s="47" t="s">
        <v>1483</v>
      </c>
      <c r="K551">
        <f>155*4</f>
        <v>620</v>
      </c>
      <c r="L551" t="str">
        <f t="shared" si="21"/>
        <v>250</v>
      </c>
      <c r="M551" t="e">
        <f>C551-K551-L551-#REF!</f>
        <v>#REF!</v>
      </c>
      <c r="N551" t="e">
        <f>IF(I551="deliver",M551,"Waiting For Deliver")</f>
        <v>#REF!</v>
      </c>
    </row>
    <row r="552" spans="1:14">
      <c r="A552" s="55" t="s">
        <v>1486</v>
      </c>
      <c r="B552" s="55">
        <v>3035936695</v>
      </c>
      <c r="C552" s="55">
        <v>1360</v>
      </c>
      <c r="D552" s="55" t="s">
        <v>1487</v>
      </c>
      <c r="E552" s="55" t="s">
        <v>19</v>
      </c>
      <c r="F552" s="55" t="s">
        <v>45</v>
      </c>
      <c r="G552" s="55" t="s">
        <v>736</v>
      </c>
      <c r="H552" s="55" t="s">
        <v>15</v>
      </c>
      <c r="I552" s="55" t="s">
        <v>122</v>
      </c>
      <c r="J552" s="63" t="s">
        <v>1483</v>
      </c>
      <c r="K552">
        <f>155*4</f>
        <v>620</v>
      </c>
      <c r="L552" t="str">
        <f t="shared" si="21"/>
        <v>250</v>
      </c>
      <c r="M552" t="e">
        <f>C552-K552-L552-#REF!</f>
        <v>#REF!</v>
      </c>
      <c r="N552">
        <v>-300</v>
      </c>
    </row>
    <row r="553" spans="1:14">
      <c r="A553" s="11" t="s">
        <v>1488</v>
      </c>
      <c r="B553" s="11">
        <v>3338762549</v>
      </c>
      <c r="C553" s="11">
        <v>1360</v>
      </c>
      <c r="D553" s="11" t="s">
        <v>1489</v>
      </c>
      <c r="E553" s="11" t="s">
        <v>23</v>
      </c>
      <c r="F553" s="11" t="s">
        <v>45</v>
      </c>
      <c r="G553" s="11" t="s">
        <v>736</v>
      </c>
      <c r="H553" s="11" t="s">
        <v>15</v>
      </c>
      <c r="I553" s="11" t="s">
        <v>16</v>
      </c>
      <c r="J553" s="47" t="s">
        <v>1483</v>
      </c>
      <c r="K553">
        <f>155*4</f>
        <v>620</v>
      </c>
      <c r="L553" t="str">
        <f t="shared" si="21"/>
        <v>250</v>
      </c>
      <c r="M553" t="e">
        <f>C553-K553-L553-#REF!</f>
        <v>#REF!</v>
      </c>
      <c r="N553" t="e">
        <f>IF(I553="deliver",M553,"Waiting For Deliver")</f>
        <v>#REF!</v>
      </c>
    </row>
    <row r="554" spans="1:14">
      <c r="A554" s="59" t="s">
        <v>1490</v>
      </c>
      <c r="B554" s="11">
        <v>3202204888</v>
      </c>
      <c r="C554" s="11">
        <v>1089</v>
      </c>
      <c r="D554" s="11" t="s">
        <v>1491</v>
      </c>
      <c r="E554" s="11" t="s">
        <v>50</v>
      </c>
      <c r="F554" s="11" t="s">
        <v>24</v>
      </c>
      <c r="G554" s="11" t="s">
        <v>303</v>
      </c>
      <c r="H554" s="11" t="s">
        <v>15</v>
      </c>
      <c r="I554" s="11" t="s">
        <v>16</v>
      </c>
      <c r="J554" s="47" t="s">
        <v>1492</v>
      </c>
      <c r="K554">
        <f>440+25</f>
        <v>465</v>
      </c>
      <c r="L554" t="str">
        <f t="shared" si="21"/>
        <v>150</v>
      </c>
      <c r="M554" t="e">
        <f>C554-K554-L554-#REF!</f>
        <v>#REF!</v>
      </c>
      <c r="N554" t="e">
        <f>IF(I554="deliver",M554,"Waiting For Deliver")</f>
        <v>#REF!</v>
      </c>
    </row>
    <row r="555" spans="1:14">
      <c r="A555" t="s">
        <v>1493</v>
      </c>
      <c r="B555">
        <v>3358094450</v>
      </c>
      <c r="C555" s="11">
        <v>1270</v>
      </c>
      <c r="D555" t="s">
        <v>1494</v>
      </c>
      <c r="F555" s="11" t="s">
        <v>515</v>
      </c>
      <c r="G555" s="11" t="s">
        <v>594</v>
      </c>
      <c r="H555" s="11" t="s">
        <v>15</v>
      </c>
      <c r="I555" s="11" t="s">
        <v>16</v>
      </c>
      <c r="J555" s="47" t="s">
        <v>1492</v>
      </c>
      <c r="K555">
        <f>500</f>
        <v>500</v>
      </c>
      <c r="L555" t="str">
        <f t="shared" si="21"/>
        <v>250</v>
      </c>
      <c r="M555" t="e">
        <f>C555-K555-L555-#REF!</f>
        <v>#REF!</v>
      </c>
      <c r="N555" t="e">
        <f>IF(I555="deliver",M555,"Waiting For Deliver")</f>
        <v>#REF!</v>
      </c>
    </row>
    <row r="556" spans="1:14">
      <c r="A556" s="11" t="s">
        <v>1495</v>
      </c>
      <c r="B556" s="11">
        <v>3017494048</v>
      </c>
      <c r="C556" s="11">
        <v>1250</v>
      </c>
      <c r="D556" s="11" t="s">
        <v>1496</v>
      </c>
      <c r="E556" s="11" t="s">
        <v>1497</v>
      </c>
      <c r="F556" s="11" t="s">
        <v>515</v>
      </c>
      <c r="G556" s="11" t="s">
        <v>594</v>
      </c>
      <c r="H556" s="11" t="s">
        <v>15</v>
      </c>
      <c r="I556" s="11" t="s">
        <v>16</v>
      </c>
      <c r="J556" s="47" t="s">
        <v>1492</v>
      </c>
      <c r="K556">
        <f>K555</f>
        <v>500</v>
      </c>
      <c r="L556" t="str">
        <f t="shared" si="21"/>
        <v>250</v>
      </c>
      <c r="M556" t="e">
        <f>C556-K556-L556-#REF!</f>
        <v>#REF!</v>
      </c>
      <c r="N556" t="e">
        <f>IF(I556="deliver",M556,"Waiting For Deliver")</f>
        <v>#REF!</v>
      </c>
    </row>
    <row r="557" spans="1:14">
      <c r="A557" s="11" t="s">
        <v>1498</v>
      </c>
      <c r="B557" s="11">
        <v>3004201004</v>
      </c>
      <c r="C557" s="11">
        <v>1130</v>
      </c>
      <c r="D557" s="11" t="s">
        <v>1499</v>
      </c>
      <c r="E557" s="11" t="s">
        <v>23</v>
      </c>
      <c r="F557" s="11" t="s">
        <v>24</v>
      </c>
      <c r="G557" s="11" t="s">
        <v>303</v>
      </c>
      <c r="H557" s="11" t="s">
        <v>15</v>
      </c>
      <c r="I557" s="11" t="s">
        <v>16</v>
      </c>
      <c r="J557" s="47" t="s">
        <v>1500</v>
      </c>
      <c r="K557">
        <f>440+25</f>
        <v>465</v>
      </c>
      <c r="L557" t="str">
        <f t="shared" si="21"/>
        <v>250</v>
      </c>
      <c r="M557" t="e">
        <f>C557-K557-L557-#REF!</f>
        <v>#REF!</v>
      </c>
      <c r="N557" t="e">
        <f>IF(I557="deliver",M557,"Waiting For Deliver")</f>
        <v>#REF!</v>
      </c>
    </row>
    <row r="558" spans="1:14">
      <c r="A558" s="55" t="s">
        <v>1501</v>
      </c>
      <c r="B558" s="55">
        <v>3318165342</v>
      </c>
      <c r="C558" s="55">
        <v>640</v>
      </c>
      <c r="D558" s="55" t="s">
        <v>1502</v>
      </c>
      <c r="E558" s="55" t="s">
        <v>792</v>
      </c>
      <c r="F558" s="55" t="s">
        <v>45</v>
      </c>
      <c r="G558" s="55" t="s">
        <v>1314</v>
      </c>
      <c r="H558" s="55" t="s">
        <v>15</v>
      </c>
      <c r="I558" s="55" t="s">
        <v>122</v>
      </c>
      <c r="J558" s="63" t="s">
        <v>1500</v>
      </c>
      <c r="K558">
        <f>125+50</f>
        <v>175</v>
      </c>
      <c r="L558" t="str">
        <f t="shared" si="21"/>
        <v>250</v>
      </c>
      <c r="M558" t="e">
        <f>C558-K558-L558-#REF!</f>
        <v>#REF!</v>
      </c>
      <c r="N558">
        <v>-300</v>
      </c>
    </row>
    <row r="559" spans="1:14">
      <c r="A559" s="11" t="s">
        <v>1503</v>
      </c>
      <c r="B559" s="11">
        <v>3149445350</v>
      </c>
      <c r="C559" s="11">
        <v>1150</v>
      </c>
      <c r="D559" s="11" t="s">
        <v>1504</v>
      </c>
      <c r="E559" s="11" t="s">
        <v>148</v>
      </c>
      <c r="F559" s="11" t="s">
        <v>24</v>
      </c>
      <c r="G559" s="11" t="s">
        <v>303</v>
      </c>
      <c r="H559" s="11" t="s">
        <v>15</v>
      </c>
      <c r="I559" s="11" t="s">
        <v>16</v>
      </c>
      <c r="J559" s="47" t="s">
        <v>1500</v>
      </c>
      <c r="K559">
        <f>440+25</f>
        <v>465</v>
      </c>
      <c r="L559" t="str">
        <f t="shared" si="21"/>
        <v>250</v>
      </c>
      <c r="M559" t="e">
        <f>C559-K559-L559-#REF!</f>
        <v>#REF!</v>
      </c>
      <c r="N559" t="e">
        <f t="shared" ref="N559:N622" si="23">IF(I559="deliver",M559,"Waiting For Deliver")</f>
        <v>#REF!</v>
      </c>
    </row>
    <row r="560" spans="1:14">
      <c r="A560" s="11" t="s">
        <v>1455</v>
      </c>
      <c r="B560" s="11">
        <v>3457372255</v>
      </c>
      <c r="C560" s="11">
        <v>250</v>
      </c>
      <c r="D560" s="11" t="s">
        <v>1456</v>
      </c>
      <c r="E560" s="11" t="s">
        <v>995</v>
      </c>
      <c r="F560" s="11" t="s">
        <v>515</v>
      </c>
      <c r="G560" s="11" t="s">
        <v>1508</v>
      </c>
      <c r="H560" s="11" t="s">
        <v>41</v>
      </c>
      <c r="I560" s="11" t="s">
        <v>16</v>
      </c>
      <c r="J560" s="47" t="s">
        <v>1507</v>
      </c>
      <c r="K560">
        <f>155+300</f>
        <v>455</v>
      </c>
      <c r="L560" t="str">
        <f t="shared" si="21"/>
        <v>250</v>
      </c>
      <c r="M560" t="e">
        <f>C560-K560-L560-#REF!</f>
        <v>#REF!</v>
      </c>
      <c r="N560" t="e">
        <f t="shared" si="23"/>
        <v>#REF!</v>
      </c>
    </row>
    <row r="561" spans="1:17">
      <c r="A561" s="11" t="s">
        <v>1509</v>
      </c>
      <c r="B561" s="11">
        <v>3135440173</v>
      </c>
      <c r="C561" s="11">
        <v>1130</v>
      </c>
      <c r="D561" s="11" t="s">
        <v>1510</v>
      </c>
      <c r="E561" s="11" t="s">
        <v>19</v>
      </c>
      <c r="F561" s="11" t="s">
        <v>24</v>
      </c>
      <c r="G561" s="11" t="s">
        <v>303</v>
      </c>
      <c r="H561" s="11" t="s">
        <v>15</v>
      </c>
      <c r="I561" s="11" t="s">
        <v>16</v>
      </c>
      <c r="J561" s="47" t="s">
        <v>1507</v>
      </c>
      <c r="K561">
        <f>440+25</f>
        <v>465</v>
      </c>
      <c r="L561" t="str">
        <f t="shared" si="21"/>
        <v>250</v>
      </c>
      <c r="M561" t="e">
        <f>C561-K561-L561-#REF!</f>
        <v>#REF!</v>
      </c>
      <c r="N561" t="e">
        <f t="shared" si="23"/>
        <v>#REF!</v>
      </c>
    </row>
    <row r="562" spans="1:17">
      <c r="A562" s="11" t="s">
        <v>1511</v>
      </c>
      <c r="B562" s="11">
        <v>3153795441</v>
      </c>
      <c r="C562" s="11">
        <v>2050</v>
      </c>
      <c r="D562" s="11" t="s">
        <v>1512</v>
      </c>
      <c r="E562" s="11" t="s">
        <v>125</v>
      </c>
      <c r="F562" s="11" t="s">
        <v>1513</v>
      </c>
      <c r="G562" s="11" t="s">
        <v>1514</v>
      </c>
      <c r="H562" s="11" t="s">
        <v>41</v>
      </c>
      <c r="I562" s="11" t="s">
        <v>16</v>
      </c>
      <c r="J562" s="47" t="s">
        <v>1507</v>
      </c>
      <c r="K562">
        <f>650</f>
        <v>650</v>
      </c>
      <c r="L562" t="str">
        <f t="shared" si="21"/>
        <v>250</v>
      </c>
      <c r="M562" t="e">
        <f>C562-K562-L562-#REF!</f>
        <v>#REF!</v>
      </c>
      <c r="N562" t="e">
        <f t="shared" si="23"/>
        <v>#REF!</v>
      </c>
      <c r="P562" t="s">
        <v>1515</v>
      </c>
      <c r="Q562" t="s">
        <v>1516</v>
      </c>
    </row>
    <row r="563" spans="1:17">
      <c r="A563" s="11" t="s">
        <v>1517</v>
      </c>
      <c r="B563" s="11">
        <v>3006407556</v>
      </c>
      <c r="C563" s="11">
        <v>1660</v>
      </c>
      <c r="D563" s="11" t="s">
        <v>1518</v>
      </c>
      <c r="E563" s="11" t="s">
        <v>120</v>
      </c>
      <c r="F563" s="11" t="s">
        <v>24</v>
      </c>
      <c r="G563" s="11" t="s">
        <v>1519</v>
      </c>
      <c r="H563" s="11" t="s">
        <v>15</v>
      </c>
      <c r="I563" s="11" t="s">
        <v>16</v>
      </c>
      <c r="J563" s="47" t="s">
        <v>1507</v>
      </c>
      <c r="K563">
        <f>450+25</f>
        <v>475</v>
      </c>
      <c r="L563" t="str">
        <f t="shared" si="21"/>
        <v>250</v>
      </c>
      <c r="M563" t="e">
        <f>C563-K563-L563-#REF!</f>
        <v>#REF!</v>
      </c>
      <c r="N563" t="e">
        <f t="shared" si="23"/>
        <v>#REF!</v>
      </c>
    </row>
    <row r="564" spans="1:17">
      <c r="A564" s="11" t="s">
        <v>1520</v>
      </c>
      <c r="B564" s="11">
        <v>3214538134</v>
      </c>
      <c r="C564" s="11">
        <v>1190</v>
      </c>
      <c r="D564" s="11" t="s">
        <v>1521</v>
      </c>
      <c r="E564" s="11" t="s">
        <v>23</v>
      </c>
      <c r="F564" s="11" t="s">
        <v>45</v>
      </c>
      <c r="G564" s="11" t="s">
        <v>348</v>
      </c>
      <c r="H564" s="11" t="s">
        <v>15</v>
      </c>
      <c r="I564" s="11" t="s">
        <v>16</v>
      </c>
      <c r="J564" s="47" t="s">
        <v>1507</v>
      </c>
      <c r="K564">
        <f>500+200</f>
        <v>700</v>
      </c>
      <c r="L564" t="str">
        <f t="shared" si="21"/>
        <v>250</v>
      </c>
      <c r="M564" t="e">
        <f>C564-K564-L564-#REF!</f>
        <v>#REF!</v>
      </c>
      <c r="N564" t="e">
        <f t="shared" si="23"/>
        <v>#REF!</v>
      </c>
    </row>
    <row r="565" spans="1:17">
      <c r="A565" s="11" t="s">
        <v>1536</v>
      </c>
      <c r="B565" s="11">
        <v>3331616616</v>
      </c>
      <c r="C565" s="11">
        <v>1300</v>
      </c>
      <c r="D565" s="11" t="s">
        <v>1537</v>
      </c>
      <c r="E565" s="11" t="s">
        <v>1538</v>
      </c>
      <c r="F565" s="11" t="s">
        <v>45</v>
      </c>
      <c r="G565" s="11" t="s">
        <v>1539</v>
      </c>
      <c r="H565" s="11" t="s">
        <v>41</v>
      </c>
      <c r="I565" s="11" t="s">
        <v>16</v>
      </c>
      <c r="J565" s="47" t="s">
        <v>1522</v>
      </c>
      <c r="K565">
        <f>220+40+35+125</f>
        <v>420</v>
      </c>
      <c r="L565" t="str">
        <f t="shared" si="21"/>
        <v>250</v>
      </c>
      <c r="M565" t="e">
        <f>C565-K565-L565-#REF!</f>
        <v>#REF!</v>
      </c>
      <c r="N565" t="e">
        <f t="shared" si="23"/>
        <v>#REF!</v>
      </c>
    </row>
    <row r="566" spans="1:17">
      <c r="A566" s="11" t="s">
        <v>1540</v>
      </c>
      <c r="B566" s="11">
        <v>3157018522</v>
      </c>
      <c r="C566" s="11">
        <v>1210</v>
      </c>
      <c r="D566" s="11" t="s">
        <v>1541</v>
      </c>
      <c r="E566" s="11" t="s">
        <v>1542</v>
      </c>
      <c r="F566" s="11" t="s">
        <v>45</v>
      </c>
      <c r="G566" s="11" t="s">
        <v>348</v>
      </c>
      <c r="H566" s="11" t="s">
        <v>15</v>
      </c>
      <c r="I566" s="11" t="s">
        <v>16</v>
      </c>
      <c r="J566" s="47" t="s">
        <v>1522</v>
      </c>
      <c r="K566">
        <f>(125*4)+160</f>
        <v>660</v>
      </c>
      <c r="L566" t="str">
        <f t="shared" si="21"/>
        <v>250</v>
      </c>
      <c r="M566" t="e">
        <f>C566-K566-L566-#REF!</f>
        <v>#REF!</v>
      </c>
      <c r="N566" t="e">
        <f t="shared" si="23"/>
        <v>#REF!</v>
      </c>
    </row>
    <row r="567" spans="1:17">
      <c r="A567" s="11" t="s">
        <v>1543</v>
      </c>
      <c r="B567" s="11">
        <v>3027241698</v>
      </c>
      <c r="C567" s="11">
        <v>1260</v>
      </c>
      <c r="D567" s="11" t="s">
        <v>1544</v>
      </c>
      <c r="E567" s="11" t="s">
        <v>129</v>
      </c>
      <c r="F567" s="11" t="s">
        <v>515</v>
      </c>
      <c r="G567" s="11" t="s">
        <v>594</v>
      </c>
      <c r="H567" s="11" t="s">
        <v>15</v>
      </c>
      <c r="I567" s="11" t="s">
        <v>16</v>
      </c>
      <c r="J567" s="47" t="s">
        <v>1522</v>
      </c>
      <c r="K567">
        <f>500</f>
        <v>500</v>
      </c>
      <c r="L567" t="str">
        <f t="shared" si="21"/>
        <v>250</v>
      </c>
      <c r="M567" t="e">
        <f>C567-K567-L567-#REF!</f>
        <v>#REF!</v>
      </c>
      <c r="N567" t="e">
        <f t="shared" si="23"/>
        <v>#REF!</v>
      </c>
    </row>
    <row r="568" spans="1:17">
      <c r="A568" s="11" t="s">
        <v>1545</v>
      </c>
      <c r="B568" s="11">
        <v>3217322257</v>
      </c>
      <c r="C568" s="11">
        <v>1000</v>
      </c>
      <c r="D568" s="11" t="s">
        <v>1546</v>
      </c>
      <c r="E568" s="11" t="s">
        <v>23</v>
      </c>
      <c r="F568" s="11" t="s">
        <v>45</v>
      </c>
      <c r="G568" s="11" t="s">
        <v>1547</v>
      </c>
      <c r="H568" s="11" t="s">
        <v>41</v>
      </c>
      <c r="I568" s="11" t="s">
        <v>16</v>
      </c>
      <c r="J568" s="47" t="s">
        <v>1522</v>
      </c>
      <c r="K568">
        <f>(125*2)+35+40</f>
        <v>325</v>
      </c>
      <c r="L568" t="str">
        <f t="shared" si="21"/>
        <v>250</v>
      </c>
      <c r="M568" t="e">
        <f>C568-K568-L568-#REF!</f>
        <v>#REF!</v>
      </c>
      <c r="N568" t="e">
        <f t="shared" si="23"/>
        <v>#REF!</v>
      </c>
    </row>
    <row r="569" spans="1:17">
      <c r="A569" s="11" t="s">
        <v>1548</v>
      </c>
      <c r="B569" s="11">
        <v>3083282846</v>
      </c>
      <c r="C569" s="11">
        <v>1370</v>
      </c>
      <c r="D569" s="11" t="s">
        <v>1549</v>
      </c>
      <c r="E569" s="11" t="s">
        <v>1550</v>
      </c>
      <c r="F569" s="11" t="s">
        <v>45</v>
      </c>
      <c r="G569" s="11" t="s">
        <v>736</v>
      </c>
      <c r="H569" s="11" t="s">
        <v>15</v>
      </c>
      <c r="I569" s="11" t="s">
        <v>16</v>
      </c>
      <c r="J569" s="47" t="s">
        <v>1522</v>
      </c>
      <c r="K569">
        <f>155*4</f>
        <v>620</v>
      </c>
      <c r="L569" t="str">
        <f t="shared" si="21"/>
        <v>250</v>
      </c>
      <c r="M569" t="e">
        <f>C569-K569-L569-#REF!</f>
        <v>#REF!</v>
      </c>
      <c r="N569" t="e">
        <f t="shared" si="23"/>
        <v>#REF!</v>
      </c>
    </row>
    <row r="570" spans="1:17">
      <c r="A570" s="11" t="s">
        <v>1551</v>
      </c>
      <c r="B570" s="11">
        <v>3121155888</v>
      </c>
      <c r="C570" s="11">
        <v>1440</v>
      </c>
      <c r="D570" s="11" t="s">
        <v>1552</v>
      </c>
      <c r="E570" s="11" t="s">
        <v>272</v>
      </c>
      <c r="F570" s="11" t="s">
        <v>24</v>
      </c>
      <c r="G570" s="11" t="s">
        <v>1553</v>
      </c>
      <c r="H570" s="11" t="s">
        <v>413</v>
      </c>
      <c r="I570" s="11" t="s">
        <v>16</v>
      </c>
      <c r="J570" s="47" t="s">
        <v>1522</v>
      </c>
      <c r="K570">
        <f>320+440+25</f>
        <v>785</v>
      </c>
      <c r="L570" t="str">
        <f t="shared" si="21"/>
        <v>250</v>
      </c>
      <c r="M570" t="e">
        <f>C570-K570-L570-#REF!</f>
        <v>#REF!</v>
      </c>
      <c r="N570" t="e">
        <f t="shared" si="23"/>
        <v>#REF!</v>
      </c>
    </row>
    <row r="571" spans="1:17">
      <c r="A571" s="11" t="s">
        <v>1554</v>
      </c>
      <c r="B571" s="11">
        <v>3453347722</v>
      </c>
      <c r="C571" s="11">
        <v>1130</v>
      </c>
      <c r="D571" s="11" t="s">
        <v>1555</v>
      </c>
      <c r="E571" s="11" t="s">
        <v>57</v>
      </c>
      <c r="F571" s="11" t="s">
        <v>24</v>
      </c>
      <c r="G571" s="11" t="s">
        <v>303</v>
      </c>
      <c r="H571" s="11" t="s">
        <v>15</v>
      </c>
      <c r="I571" s="11" t="s">
        <v>16</v>
      </c>
      <c r="J571" s="47" t="s">
        <v>1522</v>
      </c>
      <c r="K571">
        <f>440+25</f>
        <v>465</v>
      </c>
      <c r="L571" t="str">
        <f t="shared" si="21"/>
        <v>250</v>
      </c>
      <c r="M571" t="e">
        <f>C571-K571-L571-#REF!</f>
        <v>#REF!</v>
      </c>
      <c r="N571" t="e">
        <f t="shared" si="23"/>
        <v>#REF!</v>
      </c>
    </row>
    <row r="572" spans="1:17">
      <c r="A572" s="11" t="s">
        <v>1525</v>
      </c>
      <c r="B572" s="11">
        <v>3212097199</v>
      </c>
      <c r="C572" s="11">
        <v>700</v>
      </c>
      <c r="D572" s="11" t="s">
        <v>1526</v>
      </c>
      <c r="E572" s="11" t="s">
        <v>50</v>
      </c>
      <c r="F572" s="11" t="s">
        <v>45</v>
      </c>
      <c r="G572" s="11" t="s">
        <v>1527</v>
      </c>
      <c r="H572" s="11" t="s">
        <v>41</v>
      </c>
      <c r="I572" s="11" t="s">
        <v>16</v>
      </c>
      <c r="J572" s="47" t="s">
        <v>1524</v>
      </c>
      <c r="K572">
        <f>270</f>
        <v>270</v>
      </c>
      <c r="L572" t="str">
        <f t="shared" si="21"/>
        <v>150</v>
      </c>
      <c r="M572" t="e">
        <f>C572-K572-L572-#REF!</f>
        <v>#REF!</v>
      </c>
      <c r="N572" t="e">
        <f t="shared" si="23"/>
        <v>#REF!</v>
      </c>
    </row>
    <row r="573" spans="1:17">
      <c r="A573" s="11" t="s">
        <v>1183</v>
      </c>
      <c r="B573" s="11">
        <v>3142150368</v>
      </c>
      <c r="C573" s="11">
        <v>700</v>
      </c>
      <c r="D573" s="11" t="s">
        <v>1528</v>
      </c>
      <c r="E573" s="11" t="s">
        <v>50</v>
      </c>
      <c r="F573" s="11" t="s">
        <v>45</v>
      </c>
      <c r="G573" s="11" t="s">
        <v>1379</v>
      </c>
      <c r="H573" s="11" t="s">
        <v>41</v>
      </c>
      <c r="I573" s="11" t="s">
        <v>16</v>
      </c>
      <c r="J573" s="47" t="s">
        <v>1524</v>
      </c>
      <c r="K573">
        <f>125+80</f>
        <v>205</v>
      </c>
      <c r="L573" t="str">
        <f t="shared" si="21"/>
        <v>150</v>
      </c>
      <c r="M573" t="e">
        <f>C573-K573-L573-#REF!</f>
        <v>#REF!</v>
      </c>
      <c r="N573" t="e">
        <f t="shared" si="23"/>
        <v>#REF!</v>
      </c>
    </row>
    <row r="574" spans="1:17">
      <c r="A574" s="55" t="s">
        <v>1529</v>
      </c>
      <c r="B574" s="55">
        <v>3129065652</v>
      </c>
      <c r="C574" s="55">
        <v>1220</v>
      </c>
      <c r="D574" s="55" t="s">
        <v>1530</v>
      </c>
      <c r="E574" s="55" t="s">
        <v>1533</v>
      </c>
      <c r="F574" s="55" t="s">
        <v>45</v>
      </c>
      <c r="G574" s="55" t="s">
        <v>348</v>
      </c>
      <c r="H574" s="55" t="s">
        <v>15</v>
      </c>
      <c r="I574" s="55" t="s">
        <v>122</v>
      </c>
      <c r="J574" s="63" t="s">
        <v>1523</v>
      </c>
      <c r="K574">
        <f>(125*4)+(40*4)</f>
        <v>660</v>
      </c>
      <c r="L574" t="str">
        <f t="shared" si="21"/>
        <v>250</v>
      </c>
      <c r="M574" t="e">
        <f>C574-K574-L574-#REF!</f>
        <v>#REF!</v>
      </c>
      <c r="N574" t="str">
        <f t="shared" si="23"/>
        <v>Waiting For Deliver</v>
      </c>
    </row>
    <row r="575" spans="1:17">
      <c r="A575" s="11" t="s">
        <v>1531</v>
      </c>
      <c r="B575" s="11">
        <v>3145052886</v>
      </c>
      <c r="C575" s="11">
        <v>1350</v>
      </c>
      <c r="D575" s="11" t="s">
        <v>1532</v>
      </c>
      <c r="E575" s="11" t="s">
        <v>19</v>
      </c>
      <c r="F575" s="11" t="s">
        <v>45</v>
      </c>
      <c r="G575" s="11" t="s">
        <v>736</v>
      </c>
      <c r="H575" s="11" t="s">
        <v>15</v>
      </c>
      <c r="I575" s="11" t="s">
        <v>16</v>
      </c>
      <c r="J575" s="47" t="s">
        <v>1523</v>
      </c>
      <c r="K575" s="18">
        <f>(155*4)+80</f>
        <v>700</v>
      </c>
      <c r="L575" t="str">
        <f t="shared" si="21"/>
        <v>250</v>
      </c>
      <c r="M575" t="e">
        <f>C575-K575-L575-#REF!</f>
        <v>#REF!</v>
      </c>
      <c r="N575" t="e">
        <f t="shared" si="23"/>
        <v>#REF!</v>
      </c>
    </row>
    <row r="576" spans="1:17">
      <c r="A576" s="11" t="s">
        <v>1534</v>
      </c>
      <c r="B576" s="11">
        <v>3324253991</v>
      </c>
      <c r="C576" s="11">
        <v>1450</v>
      </c>
      <c r="D576" s="11" t="s">
        <v>1535</v>
      </c>
      <c r="E576" s="11" t="s">
        <v>23</v>
      </c>
      <c r="F576" s="11" t="s">
        <v>45</v>
      </c>
      <c r="G576" s="11" t="s">
        <v>213</v>
      </c>
      <c r="H576" s="11" t="s">
        <v>41</v>
      </c>
      <c r="I576" s="11" t="s">
        <v>16</v>
      </c>
      <c r="J576" s="47" t="s">
        <v>1523</v>
      </c>
      <c r="K576">
        <f>150*5</f>
        <v>750</v>
      </c>
      <c r="L576" t="str">
        <f t="shared" si="21"/>
        <v>250</v>
      </c>
      <c r="M576" t="e">
        <f>C576-K576-L576-#REF!</f>
        <v>#REF!</v>
      </c>
      <c r="N576" t="e">
        <f t="shared" si="23"/>
        <v>#REF!</v>
      </c>
    </row>
    <row r="577" spans="1:14">
      <c r="A577" s="11" t="s">
        <v>1556</v>
      </c>
      <c r="B577" s="59">
        <v>3323360178</v>
      </c>
      <c r="C577" s="11">
        <v>1310</v>
      </c>
      <c r="D577" s="11" t="s">
        <v>1557</v>
      </c>
      <c r="E577" s="11" t="s">
        <v>50</v>
      </c>
      <c r="F577" s="11" t="s">
        <v>45</v>
      </c>
      <c r="G577" s="11" t="s">
        <v>736</v>
      </c>
      <c r="H577" s="11" t="s">
        <v>15</v>
      </c>
      <c r="I577" s="11" t="s">
        <v>16</v>
      </c>
      <c r="J577" s="47" t="s">
        <v>1558</v>
      </c>
      <c r="K577">
        <f>155*4</f>
        <v>620</v>
      </c>
      <c r="L577" t="str">
        <f t="shared" si="21"/>
        <v>150</v>
      </c>
      <c r="M577" t="e">
        <f>C577-K577-L577-#REF!</f>
        <v>#REF!</v>
      </c>
      <c r="N577" t="e">
        <f t="shared" si="23"/>
        <v>#REF!</v>
      </c>
    </row>
    <row r="578" spans="1:14">
      <c r="A578" s="11" t="s">
        <v>1560</v>
      </c>
      <c r="B578" s="11">
        <v>3212274284</v>
      </c>
      <c r="C578" s="11">
        <v>1100</v>
      </c>
      <c r="D578" s="11" t="s">
        <v>1559</v>
      </c>
      <c r="E578" s="11" t="s">
        <v>50</v>
      </c>
      <c r="F578" s="11" t="s">
        <v>45</v>
      </c>
      <c r="G578" s="11" t="s">
        <v>1302</v>
      </c>
      <c r="H578" s="11" t="s">
        <v>15</v>
      </c>
      <c r="I578" s="11" t="s">
        <v>16</v>
      </c>
      <c r="J578" s="47" t="s">
        <v>1558</v>
      </c>
      <c r="K578">
        <f>620</f>
        <v>620</v>
      </c>
      <c r="L578" t="str">
        <f t="shared" si="21"/>
        <v>150</v>
      </c>
      <c r="M578" t="e">
        <f>C578-K578-L578-#REF!</f>
        <v>#REF!</v>
      </c>
      <c r="N578" t="e">
        <f t="shared" si="23"/>
        <v>#REF!</v>
      </c>
    </row>
    <row r="579" spans="1:14">
      <c r="A579" s="11" t="s">
        <v>1561</v>
      </c>
      <c r="B579" s="11">
        <v>3423190330</v>
      </c>
      <c r="C579" s="11">
        <v>1080</v>
      </c>
      <c r="D579" s="11" t="s">
        <v>1562</v>
      </c>
      <c r="E579" s="11" t="s">
        <v>50</v>
      </c>
      <c r="F579" s="11" t="s">
        <v>24</v>
      </c>
      <c r="G579" s="11" t="s">
        <v>303</v>
      </c>
      <c r="H579" s="11" t="s">
        <v>15</v>
      </c>
      <c r="I579" s="11" t="s">
        <v>16</v>
      </c>
      <c r="J579" s="47" t="s">
        <v>1558</v>
      </c>
      <c r="K579">
        <f>440+25</f>
        <v>465</v>
      </c>
      <c r="L579" t="str">
        <f t="shared" si="21"/>
        <v>150</v>
      </c>
      <c r="M579" t="e">
        <f>C579-K579-L579-#REF!</f>
        <v>#REF!</v>
      </c>
      <c r="N579" t="e">
        <f t="shared" si="23"/>
        <v>#REF!</v>
      </c>
    </row>
    <row r="580" spans="1:14">
      <c r="A580" s="11" t="s">
        <v>1563</v>
      </c>
      <c r="B580" s="11">
        <v>3028360285</v>
      </c>
      <c r="C580" s="11">
        <v>1240</v>
      </c>
      <c r="D580" s="11" t="s">
        <v>1564</v>
      </c>
      <c r="E580" s="11" t="s">
        <v>35</v>
      </c>
      <c r="F580" s="11" t="s">
        <v>24</v>
      </c>
      <c r="G580" s="11" t="s">
        <v>1565</v>
      </c>
      <c r="H580" s="11" t="s">
        <v>15</v>
      </c>
      <c r="I580" s="11" t="s">
        <v>16</v>
      </c>
      <c r="J580" s="47" t="s">
        <v>1558</v>
      </c>
      <c r="K580">
        <f>700</f>
        <v>700</v>
      </c>
      <c r="L580" t="str">
        <f t="shared" si="21"/>
        <v>250</v>
      </c>
      <c r="M580" t="e">
        <f>C580-K580-L580-#REF!</f>
        <v>#REF!</v>
      </c>
      <c r="N580" t="e">
        <f t="shared" si="23"/>
        <v>#REF!</v>
      </c>
    </row>
    <row r="581" spans="1:14">
      <c r="A581" s="11" t="s">
        <v>1566</v>
      </c>
      <c r="B581" s="11">
        <v>3352366051</v>
      </c>
      <c r="C581" s="11">
        <v>2410</v>
      </c>
      <c r="D581" s="11" t="s">
        <v>1567</v>
      </c>
      <c r="E581" s="11" t="s">
        <v>1568</v>
      </c>
      <c r="F581" s="11" t="s">
        <v>24</v>
      </c>
      <c r="G581" s="11" t="s">
        <v>1569</v>
      </c>
      <c r="H581" s="11" t="s">
        <v>15</v>
      </c>
      <c r="I581" s="11" t="s">
        <v>16</v>
      </c>
      <c r="J581" s="47" t="s">
        <v>1558</v>
      </c>
      <c r="K581">
        <f>(450*2)+50</f>
        <v>950</v>
      </c>
      <c r="L581" t="str">
        <f t="shared" si="21"/>
        <v>250</v>
      </c>
      <c r="M581" t="e">
        <f>C581-K581-L581-#REF!</f>
        <v>#REF!</v>
      </c>
      <c r="N581" t="e">
        <f t="shared" si="23"/>
        <v>#REF!</v>
      </c>
    </row>
    <row r="582" spans="1:14">
      <c r="A582" s="55" t="s">
        <v>739</v>
      </c>
      <c r="B582" s="55">
        <v>3070176137</v>
      </c>
      <c r="C582" s="55">
        <v>1080</v>
      </c>
      <c r="D582" s="55" t="s">
        <v>1570</v>
      </c>
      <c r="E582" s="55" t="s">
        <v>1497</v>
      </c>
      <c r="F582" s="55" t="s">
        <v>45</v>
      </c>
      <c r="G582" s="55" t="s">
        <v>1302</v>
      </c>
      <c r="H582" s="55" t="s">
        <v>15</v>
      </c>
      <c r="I582" s="55" t="s">
        <v>122</v>
      </c>
      <c r="J582" s="63" t="s">
        <v>1558</v>
      </c>
      <c r="K582">
        <f>620</f>
        <v>620</v>
      </c>
      <c r="L582" t="str">
        <f t="shared" si="21"/>
        <v>250</v>
      </c>
      <c r="M582" t="e">
        <f>C582-K582-L582-#REF!</f>
        <v>#REF!</v>
      </c>
      <c r="N582" t="str">
        <f t="shared" si="23"/>
        <v>Waiting For Deliver</v>
      </c>
    </row>
    <row r="583" spans="1:14">
      <c r="A583" s="11" t="s">
        <v>1571</v>
      </c>
      <c r="B583" s="11">
        <v>3136350450</v>
      </c>
      <c r="C583" s="11">
        <v>640</v>
      </c>
      <c r="D583" s="11" t="s">
        <v>1572</v>
      </c>
      <c r="E583" s="11" t="s">
        <v>1115</v>
      </c>
      <c r="F583" s="11" t="s">
        <v>45</v>
      </c>
      <c r="G583" s="11" t="s">
        <v>1573</v>
      </c>
      <c r="H583" s="11" t="s">
        <v>15</v>
      </c>
      <c r="I583" s="11" t="s">
        <v>16</v>
      </c>
      <c r="J583" s="47" t="s">
        <v>1558</v>
      </c>
      <c r="K583">
        <f>125+40</f>
        <v>165</v>
      </c>
      <c r="L583" t="str">
        <f t="shared" si="21"/>
        <v>250</v>
      </c>
      <c r="M583" t="e">
        <f>C583-K583-L583-#REF!</f>
        <v>#REF!</v>
      </c>
      <c r="N583" t="e">
        <f t="shared" si="23"/>
        <v>#REF!</v>
      </c>
    </row>
    <row r="584" spans="1:14">
      <c r="A584" s="11" t="s">
        <v>1574</v>
      </c>
      <c r="B584" s="11">
        <v>3341396673</v>
      </c>
      <c r="C584" s="11">
        <v>1370</v>
      </c>
      <c r="D584" s="11" t="s">
        <v>1575</v>
      </c>
      <c r="E584" s="11" t="s">
        <v>1576</v>
      </c>
      <c r="F584" s="11" t="s">
        <v>45</v>
      </c>
      <c r="G584" s="11" t="s">
        <v>736</v>
      </c>
      <c r="H584" s="65" t="s">
        <v>15</v>
      </c>
      <c r="I584" s="11" t="s">
        <v>16</v>
      </c>
      <c r="J584" s="47" t="s">
        <v>1558</v>
      </c>
      <c r="K584">
        <f>155*4</f>
        <v>620</v>
      </c>
      <c r="L584" t="str">
        <f t="shared" si="21"/>
        <v>250</v>
      </c>
      <c r="M584" t="e">
        <f>C584-K584-L584-#REF!</f>
        <v>#REF!</v>
      </c>
      <c r="N584" t="e">
        <f t="shared" si="23"/>
        <v>#REF!</v>
      </c>
    </row>
    <row r="585" spans="1:14">
      <c r="A585" s="11" t="s">
        <v>1578</v>
      </c>
      <c r="B585" s="11">
        <v>3155091600</v>
      </c>
      <c r="C585" s="11">
        <v>1130</v>
      </c>
      <c r="D585" s="11" t="s">
        <v>1579</v>
      </c>
      <c r="E585" s="11" t="s">
        <v>12</v>
      </c>
      <c r="F585" s="11" t="s">
        <v>24</v>
      </c>
      <c r="G585" s="11" t="s">
        <v>303</v>
      </c>
      <c r="H585" s="11" t="s">
        <v>15</v>
      </c>
      <c r="I585" s="11" t="s">
        <v>16</v>
      </c>
      <c r="J585" s="47" t="s">
        <v>1580</v>
      </c>
      <c r="K585">
        <f>440+25</f>
        <v>465</v>
      </c>
      <c r="L585" t="str">
        <f t="shared" si="21"/>
        <v>250</v>
      </c>
      <c r="M585" t="e">
        <f>C585-K585-L585-#REF!</f>
        <v>#REF!</v>
      </c>
      <c r="N585" t="e">
        <f t="shared" si="23"/>
        <v>#REF!</v>
      </c>
    </row>
    <row r="586" spans="1:14">
      <c r="A586" s="55" t="s">
        <v>1581</v>
      </c>
      <c r="B586" s="55">
        <v>3043377623</v>
      </c>
      <c r="C586" s="55">
        <v>730</v>
      </c>
      <c r="D586" s="55" t="s">
        <v>1582</v>
      </c>
      <c r="E586" s="55" t="s">
        <v>1583</v>
      </c>
      <c r="F586" s="55" t="s">
        <v>24</v>
      </c>
      <c r="G586" s="55" t="s">
        <v>1480</v>
      </c>
      <c r="H586" s="55" t="s">
        <v>15</v>
      </c>
      <c r="I586" s="55" t="s">
        <v>122</v>
      </c>
      <c r="J586" s="63" t="s">
        <v>1580</v>
      </c>
      <c r="K586">
        <f>180</f>
        <v>180</v>
      </c>
      <c r="L586" t="str">
        <f t="shared" si="21"/>
        <v>250</v>
      </c>
      <c r="M586" t="e">
        <f>C586-K586-L586-#REF!</f>
        <v>#REF!</v>
      </c>
      <c r="N586" t="str">
        <f t="shared" si="23"/>
        <v>Waiting For Deliver</v>
      </c>
    </row>
    <row r="587" spans="1:14">
      <c r="A587" s="11" t="s">
        <v>1593</v>
      </c>
      <c r="B587" s="11">
        <v>3008252533</v>
      </c>
      <c r="C587" s="11">
        <v>1500</v>
      </c>
      <c r="D587" s="11" t="s">
        <v>1594</v>
      </c>
      <c r="E587" s="11" t="s">
        <v>50</v>
      </c>
      <c r="F587" s="11" t="s">
        <v>45</v>
      </c>
      <c r="G587" s="11" t="s">
        <v>1595</v>
      </c>
      <c r="H587" s="11" t="s">
        <v>41</v>
      </c>
      <c r="I587" s="11" t="s">
        <v>16</v>
      </c>
      <c r="J587" s="47" t="s">
        <v>1580</v>
      </c>
      <c r="K587">
        <f>(125*5)+75</f>
        <v>700</v>
      </c>
      <c r="L587" t="str">
        <f t="shared" si="21"/>
        <v>150</v>
      </c>
      <c r="M587" t="e">
        <f>C587-K587-L587-#REF!</f>
        <v>#REF!</v>
      </c>
      <c r="N587" t="e">
        <f t="shared" si="23"/>
        <v>#REF!</v>
      </c>
    </row>
    <row r="588" spans="1:14">
      <c r="A588" s="11" t="s">
        <v>1584</v>
      </c>
      <c r="B588" s="11">
        <v>3005116791</v>
      </c>
      <c r="C588" s="11">
        <v>2000</v>
      </c>
      <c r="D588" s="11" t="s">
        <v>1585</v>
      </c>
      <c r="E588" s="11" t="s">
        <v>19</v>
      </c>
      <c r="F588" s="11" t="s">
        <v>24</v>
      </c>
      <c r="G588" s="11" t="s">
        <v>1586</v>
      </c>
      <c r="H588" s="11" t="s">
        <v>15</v>
      </c>
      <c r="I588" s="11" t="s">
        <v>16</v>
      </c>
      <c r="J588" s="47" t="s">
        <v>1587</v>
      </c>
      <c r="K588">
        <f>(440*2)+50</f>
        <v>930</v>
      </c>
      <c r="L588" t="str">
        <f t="shared" si="21"/>
        <v>250</v>
      </c>
      <c r="M588" t="e">
        <f>C588-K588-L588-#REF!</f>
        <v>#REF!</v>
      </c>
      <c r="N588" t="e">
        <f t="shared" si="23"/>
        <v>#REF!</v>
      </c>
    </row>
    <row r="589" spans="1:14">
      <c r="A589" s="11" t="s">
        <v>1588</v>
      </c>
      <c r="B589" s="11">
        <v>3224102541</v>
      </c>
      <c r="C589" s="11">
        <v>1480</v>
      </c>
      <c r="D589" s="11" t="s">
        <v>1589</v>
      </c>
      <c r="E589" s="11" t="s">
        <v>1197</v>
      </c>
      <c r="F589" s="11" t="s">
        <v>24</v>
      </c>
      <c r="G589" s="11" t="s">
        <v>1590</v>
      </c>
      <c r="H589" s="11" t="s">
        <v>15</v>
      </c>
      <c r="I589" s="11" t="s">
        <v>16</v>
      </c>
      <c r="J589" s="47" t="s">
        <v>1587</v>
      </c>
      <c r="K589">
        <f>550+25</f>
        <v>575</v>
      </c>
      <c r="L589" t="str">
        <f t="shared" si="21"/>
        <v>250</v>
      </c>
      <c r="M589" t="e">
        <f>C589-K589-L589-#REF!</f>
        <v>#REF!</v>
      </c>
      <c r="N589" t="e">
        <f t="shared" si="23"/>
        <v>#REF!</v>
      </c>
    </row>
    <row r="590" spans="1:14">
      <c r="A590" s="11" t="s">
        <v>1591</v>
      </c>
      <c r="B590" s="11">
        <v>3214568137</v>
      </c>
      <c r="C590" s="11">
        <v>1130</v>
      </c>
      <c r="D590" s="11" t="s">
        <v>1592</v>
      </c>
      <c r="E590" s="11" t="s">
        <v>23</v>
      </c>
      <c r="F590" s="11" t="s">
        <v>24</v>
      </c>
      <c r="G590" s="11" t="s">
        <v>303</v>
      </c>
      <c r="H590" s="11" t="s">
        <v>15</v>
      </c>
      <c r="I590" s="11" t="s">
        <v>16</v>
      </c>
      <c r="J590" s="47" t="s">
        <v>1587</v>
      </c>
      <c r="K590">
        <f>440+25</f>
        <v>465</v>
      </c>
      <c r="L590" t="str">
        <f t="shared" si="21"/>
        <v>250</v>
      </c>
      <c r="M590" t="e">
        <f>C590-K590-L590-#REF!</f>
        <v>#REF!</v>
      </c>
      <c r="N590" t="e">
        <f t="shared" si="23"/>
        <v>#REF!</v>
      </c>
    </row>
    <row r="591" spans="1:14">
      <c r="A591" s="11" t="s">
        <v>1600</v>
      </c>
      <c r="B591" s="59">
        <v>3232560521</v>
      </c>
      <c r="C591" s="11">
        <v>670</v>
      </c>
      <c r="D591" s="64" t="s">
        <v>1601</v>
      </c>
      <c r="E591" s="11" t="s">
        <v>50</v>
      </c>
      <c r="F591" s="11" t="s">
        <v>24</v>
      </c>
      <c r="G591" s="11" t="s">
        <v>1599</v>
      </c>
      <c r="H591" s="11" t="s">
        <v>15</v>
      </c>
      <c r="I591" s="11" t="s">
        <v>16</v>
      </c>
      <c r="J591" s="39">
        <v>42373</v>
      </c>
      <c r="K591">
        <f>300</f>
        <v>300</v>
      </c>
      <c r="L591" t="str">
        <f t="shared" si="21"/>
        <v>150</v>
      </c>
      <c r="M591" t="e">
        <f>C591-K591-L591-#REF!</f>
        <v>#REF!</v>
      </c>
      <c r="N591" t="e">
        <f t="shared" si="23"/>
        <v>#REF!</v>
      </c>
    </row>
    <row r="592" spans="1:14">
      <c r="A592" s="11" t="s">
        <v>1602</v>
      </c>
      <c r="B592" s="11">
        <v>3222085576</v>
      </c>
      <c r="C592" s="11">
        <v>1310</v>
      </c>
      <c r="D592" s="11" t="s">
        <v>1603</v>
      </c>
      <c r="E592" s="11" t="s">
        <v>50</v>
      </c>
      <c r="F592" s="11" t="s">
        <v>45</v>
      </c>
      <c r="G592" s="11" t="s">
        <v>736</v>
      </c>
      <c r="H592" s="11" t="s">
        <v>15</v>
      </c>
      <c r="I592" s="11" t="s">
        <v>16</v>
      </c>
      <c r="J592" s="39">
        <v>42373</v>
      </c>
      <c r="K592">
        <f>600</f>
        <v>600</v>
      </c>
      <c r="L592" t="str">
        <f t="shared" si="21"/>
        <v>150</v>
      </c>
      <c r="M592" t="e">
        <f>C592-K592-L592-#REF!</f>
        <v>#REF!</v>
      </c>
      <c r="N592" t="e">
        <f t="shared" si="23"/>
        <v>#REF!</v>
      </c>
    </row>
    <row r="593" spans="1:14">
      <c r="A593" s="11" t="s">
        <v>1596</v>
      </c>
      <c r="B593" s="11">
        <v>3362245536</v>
      </c>
      <c r="C593" s="11">
        <v>1100</v>
      </c>
      <c r="D593" s="11" t="s">
        <v>1597</v>
      </c>
      <c r="E593" s="11" t="s">
        <v>50</v>
      </c>
      <c r="F593" s="11" t="s">
        <v>45</v>
      </c>
      <c r="G593" s="11" t="s">
        <v>1598</v>
      </c>
      <c r="H593" s="11" t="s">
        <v>41</v>
      </c>
      <c r="I593" s="11" t="s">
        <v>16</v>
      </c>
      <c r="J593" s="39">
        <v>42373</v>
      </c>
      <c r="K593">
        <f>(130*3)+110</f>
        <v>500</v>
      </c>
      <c r="L593" t="str">
        <f t="shared" si="21"/>
        <v>150</v>
      </c>
      <c r="M593" t="e">
        <f>C593-K593-L593-#REF!</f>
        <v>#REF!</v>
      </c>
      <c r="N593" t="e">
        <f t="shared" si="23"/>
        <v>#REF!</v>
      </c>
    </row>
    <row r="594" spans="1:14">
      <c r="A594" s="11" t="s">
        <v>1604</v>
      </c>
      <c r="B594" s="11">
        <v>3219666648</v>
      </c>
      <c r="C594" s="11">
        <v>800</v>
      </c>
      <c r="D594" s="11" t="s">
        <v>1605</v>
      </c>
      <c r="E594" s="11" t="s">
        <v>23</v>
      </c>
      <c r="F594" s="11" t="s">
        <v>45</v>
      </c>
      <c r="G594" s="11" t="s">
        <v>1606</v>
      </c>
      <c r="H594" s="11" t="s">
        <v>41</v>
      </c>
      <c r="I594" s="11" t="s">
        <v>16</v>
      </c>
      <c r="J594" s="39">
        <v>42464</v>
      </c>
      <c r="K594">
        <f>240+200</f>
        <v>440</v>
      </c>
      <c r="L594" t="str">
        <f t="shared" si="21"/>
        <v>250</v>
      </c>
      <c r="M594" t="e">
        <f>C594-K594-L594-#REF!</f>
        <v>#REF!</v>
      </c>
      <c r="N594" t="e">
        <f t="shared" si="23"/>
        <v>#REF!</v>
      </c>
    </row>
    <row r="595" spans="1:14">
      <c r="A595" s="55" t="s">
        <v>1607</v>
      </c>
      <c r="B595" s="55">
        <v>3214193926</v>
      </c>
      <c r="C595" s="55">
        <v>1240</v>
      </c>
      <c r="D595" s="55" t="s">
        <v>1608</v>
      </c>
      <c r="E595" s="55" t="s">
        <v>23</v>
      </c>
      <c r="F595" s="55" t="s">
        <v>515</v>
      </c>
      <c r="G595" s="55" t="s">
        <v>1405</v>
      </c>
      <c r="H595" s="55" t="s">
        <v>15</v>
      </c>
      <c r="I595" s="55" t="s">
        <v>122</v>
      </c>
      <c r="J595" s="56">
        <v>42464</v>
      </c>
      <c r="K595">
        <f>500</f>
        <v>500</v>
      </c>
      <c r="L595" t="str">
        <f t="shared" si="21"/>
        <v>250</v>
      </c>
      <c r="M595" t="e">
        <f>C595-K595-L595-#REF!</f>
        <v>#REF!</v>
      </c>
      <c r="N595" t="str">
        <f t="shared" si="23"/>
        <v>Waiting For Deliver</v>
      </c>
    </row>
    <row r="596" spans="1:14">
      <c r="A596" s="11" t="s">
        <v>1609</v>
      </c>
      <c r="B596" s="11">
        <v>3002174755</v>
      </c>
      <c r="C596" s="11">
        <v>800</v>
      </c>
      <c r="D596" s="11" t="s">
        <v>1610</v>
      </c>
      <c r="E596" s="11" t="s">
        <v>30</v>
      </c>
      <c r="F596" s="11" t="s">
        <v>24</v>
      </c>
      <c r="G596" s="11" t="s">
        <v>1611</v>
      </c>
      <c r="H596" s="11" t="s">
        <v>15</v>
      </c>
      <c r="I596" s="11" t="s">
        <v>16</v>
      </c>
      <c r="J596" s="39">
        <v>42464</v>
      </c>
      <c r="K596">
        <f>130*3</f>
        <v>390</v>
      </c>
      <c r="L596" t="str">
        <f t="shared" ref="L596:L610" si="24">IF(E596="karachi","150","250")</f>
        <v>250</v>
      </c>
      <c r="M596" t="e">
        <f>C596-K596-L596-#REF!</f>
        <v>#REF!</v>
      </c>
      <c r="N596" t="e">
        <f t="shared" si="23"/>
        <v>#REF!</v>
      </c>
    </row>
    <row r="597" spans="1:14">
      <c r="A597" s="11" t="s">
        <v>1612</v>
      </c>
      <c r="B597" s="11">
        <v>3327424572</v>
      </c>
      <c r="C597" s="11">
        <v>1130</v>
      </c>
      <c r="D597" s="11" t="s">
        <v>1613</v>
      </c>
      <c r="E597" s="11" t="s">
        <v>23</v>
      </c>
      <c r="F597" s="11" t="s">
        <v>24</v>
      </c>
      <c r="G597" s="11" t="s">
        <v>303</v>
      </c>
      <c r="H597" s="11" t="s">
        <v>15</v>
      </c>
      <c r="I597" s="11" t="s">
        <v>16</v>
      </c>
      <c r="J597" s="39">
        <v>42464</v>
      </c>
      <c r="K597">
        <f>440+25</f>
        <v>465</v>
      </c>
      <c r="L597" t="str">
        <f t="shared" si="24"/>
        <v>250</v>
      </c>
      <c r="M597" t="e">
        <f>C597-K597-L597-#REF!</f>
        <v>#REF!</v>
      </c>
      <c r="N597" t="e">
        <f t="shared" si="23"/>
        <v>#REF!</v>
      </c>
    </row>
    <row r="598" spans="1:14">
      <c r="A598" s="11" t="s">
        <v>1367</v>
      </c>
      <c r="B598" s="11">
        <v>3052032306</v>
      </c>
      <c r="C598" s="11">
        <v>1030</v>
      </c>
      <c r="D598" s="11" t="s">
        <v>1368</v>
      </c>
      <c r="E598" s="11" t="s">
        <v>50</v>
      </c>
      <c r="F598" s="11" t="s">
        <v>45</v>
      </c>
      <c r="G598" s="11" t="s">
        <v>1302</v>
      </c>
      <c r="H598" s="11" t="s">
        <v>15</v>
      </c>
      <c r="I598" s="11" t="s">
        <v>16</v>
      </c>
      <c r="J598" s="39">
        <v>42464</v>
      </c>
      <c r="K598">
        <f>620</f>
        <v>620</v>
      </c>
      <c r="L598" t="str">
        <f t="shared" si="24"/>
        <v>150</v>
      </c>
      <c r="M598" t="e">
        <f>C598-K598-L598-#REF!</f>
        <v>#REF!</v>
      </c>
      <c r="N598" t="e">
        <f t="shared" si="23"/>
        <v>#REF!</v>
      </c>
    </row>
    <row r="599" spans="1:14">
      <c r="A599" s="11" t="s">
        <v>1614</v>
      </c>
      <c r="B599" s="11">
        <v>3310275799</v>
      </c>
      <c r="C599" s="11">
        <v>1270</v>
      </c>
      <c r="D599" s="11" t="s">
        <v>1615</v>
      </c>
      <c r="E599" s="11" t="s">
        <v>50</v>
      </c>
      <c r="F599" s="11" t="s">
        <v>45</v>
      </c>
      <c r="G599" s="11" t="s">
        <v>736</v>
      </c>
      <c r="H599" s="11" t="s">
        <v>15</v>
      </c>
      <c r="I599" s="11" t="s">
        <v>16</v>
      </c>
      <c r="J599" s="39">
        <v>42464</v>
      </c>
      <c r="K599">
        <f>155*4</f>
        <v>620</v>
      </c>
      <c r="L599" t="str">
        <f t="shared" si="24"/>
        <v>150</v>
      </c>
      <c r="M599" t="e">
        <f>C599-K599-L599-#REF!</f>
        <v>#REF!</v>
      </c>
      <c r="N599" t="e">
        <f t="shared" si="23"/>
        <v>#REF!</v>
      </c>
    </row>
    <row r="600" spans="1:14">
      <c r="A600" s="59" t="s">
        <v>1616</v>
      </c>
      <c r="B600" s="11">
        <v>3112873870</v>
      </c>
      <c r="C600" s="11">
        <v>1270</v>
      </c>
      <c r="D600" s="11" t="s">
        <v>1617</v>
      </c>
      <c r="E600" s="11" t="s">
        <v>50</v>
      </c>
      <c r="F600" s="11" t="s">
        <v>45</v>
      </c>
      <c r="G600" s="11" t="s">
        <v>736</v>
      </c>
      <c r="H600" s="11" t="s">
        <v>15</v>
      </c>
      <c r="I600" s="11" t="s">
        <v>16</v>
      </c>
      <c r="J600" s="39">
        <v>42464</v>
      </c>
      <c r="K600">
        <f>155*4</f>
        <v>620</v>
      </c>
      <c r="L600" t="str">
        <f t="shared" si="24"/>
        <v>150</v>
      </c>
      <c r="M600" t="e">
        <f>C600-K600-L600-#REF!</f>
        <v>#REF!</v>
      </c>
      <c r="N600" t="e">
        <f t="shared" si="23"/>
        <v>#REF!</v>
      </c>
    </row>
    <row r="601" spans="1:14">
      <c r="A601" s="11" t="s">
        <v>1618</v>
      </c>
      <c r="B601" s="11">
        <v>3333502295</v>
      </c>
      <c r="C601" s="11">
        <v>1310</v>
      </c>
      <c r="D601" s="11" t="s">
        <v>1619</v>
      </c>
      <c r="E601" s="11" t="s">
        <v>50</v>
      </c>
      <c r="F601" s="11" t="s">
        <v>45</v>
      </c>
      <c r="G601" s="11" t="s">
        <v>736</v>
      </c>
      <c r="H601" s="11" t="s">
        <v>15</v>
      </c>
      <c r="I601" s="11" t="s">
        <v>16</v>
      </c>
      <c r="J601" s="39">
        <v>42464</v>
      </c>
      <c r="K601">
        <f>155*4</f>
        <v>620</v>
      </c>
      <c r="L601" t="str">
        <f t="shared" si="24"/>
        <v>150</v>
      </c>
      <c r="M601" t="e">
        <f>C601-K601-L601-#REF!</f>
        <v>#REF!</v>
      </c>
      <c r="N601" t="e">
        <f t="shared" si="23"/>
        <v>#REF!</v>
      </c>
    </row>
    <row r="602" spans="1:14">
      <c r="A602" s="11" t="s">
        <v>1620</v>
      </c>
      <c r="B602" s="11">
        <v>3134742462</v>
      </c>
      <c r="C602" s="11">
        <v>1120</v>
      </c>
      <c r="D602" s="11" t="s">
        <v>1621</v>
      </c>
      <c r="E602" s="11" t="s">
        <v>230</v>
      </c>
      <c r="F602" s="11" t="s">
        <v>24</v>
      </c>
      <c r="G602" s="11" t="s">
        <v>303</v>
      </c>
      <c r="H602" s="11" t="s">
        <v>15</v>
      </c>
      <c r="I602" s="11" t="s">
        <v>16</v>
      </c>
      <c r="J602" s="39">
        <v>42525</v>
      </c>
      <c r="K602">
        <f>440+25</f>
        <v>465</v>
      </c>
      <c r="L602" t="str">
        <f t="shared" si="24"/>
        <v>250</v>
      </c>
      <c r="M602" t="e">
        <f>C602-K602-L602-#REF!</f>
        <v>#REF!</v>
      </c>
      <c r="N602" t="e">
        <f t="shared" si="23"/>
        <v>#REF!</v>
      </c>
    </row>
    <row r="603" spans="1:14">
      <c r="A603" s="11" t="s">
        <v>1622</v>
      </c>
      <c r="B603" s="11">
        <v>3219595283</v>
      </c>
      <c r="C603" s="11">
        <v>1150</v>
      </c>
      <c r="D603" s="11" t="s">
        <v>1623</v>
      </c>
      <c r="E603" s="11" t="s">
        <v>1624</v>
      </c>
      <c r="F603" s="11" t="s">
        <v>24</v>
      </c>
      <c r="G603" s="11" t="s">
        <v>303</v>
      </c>
      <c r="H603" s="11" t="s">
        <v>15</v>
      </c>
      <c r="I603" s="11" t="s">
        <v>16</v>
      </c>
      <c r="J603" s="39">
        <v>42525</v>
      </c>
      <c r="K603">
        <f>440+25</f>
        <v>465</v>
      </c>
      <c r="L603" t="str">
        <f t="shared" si="24"/>
        <v>250</v>
      </c>
      <c r="M603" t="e">
        <f>C603-K603-L603-#REF!</f>
        <v>#REF!</v>
      </c>
      <c r="N603" t="e">
        <f t="shared" si="23"/>
        <v>#REF!</v>
      </c>
    </row>
    <row r="604" spans="1:14">
      <c r="A604" s="11" t="s">
        <v>1625</v>
      </c>
      <c r="B604" s="11">
        <v>3118080503</v>
      </c>
      <c r="C604" s="11">
        <v>650</v>
      </c>
      <c r="D604" s="11" t="s">
        <v>1626</v>
      </c>
      <c r="E604" s="11" t="s">
        <v>35</v>
      </c>
      <c r="F604" s="11" t="s">
        <v>45</v>
      </c>
      <c r="G604" s="11" t="s">
        <v>1379</v>
      </c>
      <c r="H604" s="11" t="s">
        <v>15</v>
      </c>
      <c r="I604" s="11" t="s">
        <v>16</v>
      </c>
      <c r="J604" s="39">
        <v>42525</v>
      </c>
      <c r="K604">
        <f>125+100</f>
        <v>225</v>
      </c>
      <c r="L604" t="str">
        <f t="shared" si="24"/>
        <v>250</v>
      </c>
      <c r="M604" t="e">
        <f>C604-K604-L604-#REF!</f>
        <v>#REF!</v>
      </c>
      <c r="N604" t="e">
        <f t="shared" si="23"/>
        <v>#REF!</v>
      </c>
    </row>
    <row r="605" spans="1:14">
      <c r="A605" s="11" t="s">
        <v>1636</v>
      </c>
      <c r="B605" s="11">
        <v>3333916915</v>
      </c>
      <c r="C605" s="11">
        <v>1010</v>
      </c>
      <c r="D605" s="11" t="s">
        <v>1637</v>
      </c>
      <c r="E605" s="11" t="s">
        <v>1576</v>
      </c>
      <c r="F605" s="11" t="s">
        <v>45</v>
      </c>
      <c r="G605" s="11" t="s">
        <v>1647</v>
      </c>
      <c r="H605" s="11" t="s">
        <v>15</v>
      </c>
      <c r="I605" s="11" t="s">
        <v>16</v>
      </c>
      <c r="J605" s="39">
        <v>42555</v>
      </c>
      <c r="K605">
        <f>(125*4)+80</f>
        <v>580</v>
      </c>
      <c r="L605" t="str">
        <f t="shared" ref="L605:L609" si="25">IF(E605="karachi","150","250")</f>
        <v>250</v>
      </c>
      <c r="M605" t="e">
        <f>C605-K605-L605-#REF!</f>
        <v>#REF!</v>
      </c>
      <c r="N605" t="e">
        <f t="shared" si="23"/>
        <v>#REF!</v>
      </c>
    </row>
    <row r="606" spans="1:14">
      <c r="A606" s="11" t="s">
        <v>1638</v>
      </c>
      <c r="B606" s="11">
        <v>3460187695</v>
      </c>
      <c r="C606" s="11">
        <v>1370</v>
      </c>
      <c r="D606" s="11" t="s">
        <v>1639</v>
      </c>
      <c r="E606" s="11" t="s">
        <v>1640</v>
      </c>
      <c r="F606" s="11" t="s">
        <v>45</v>
      </c>
      <c r="G606" s="11" t="s">
        <v>736</v>
      </c>
      <c r="H606" s="11" t="s">
        <v>15</v>
      </c>
      <c r="I606" s="11" t="s">
        <v>16</v>
      </c>
      <c r="J606" s="39">
        <v>42555</v>
      </c>
      <c r="K606">
        <f>155*4</f>
        <v>620</v>
      </c>
      <c r="L606" t="str">
        <f t="shared" si="25"/>
        <v>250</v>
      </c>
      <c r="M606" t="e">
        <f>C606-K606-L606-#REF!</f>
        <v>#REF!</v>
      </c>
      <c r="N606" t="e">
        <f t="shared" si="23"/>
        <v>#REF!</v>
      </c>
    </row>
    <row r="607" spans="1:14">
      <c r="A607" s="11" t="s">
        <v>1641</v>
      </c>
      <c r="B607" s="11">
        <v>3334829890</v>
      </c>
      <c r="C607" s="11">
        <v>1350</v>
      </c>
      <c r="D607" s="11" t="s">
        <v>1642</v>
      </c>
      <c r="E607" s="11" t="s">
        <v>23</v>
      </c>
      <c r="F607" s="11" t="s">
        <v>45</v>
      </c>
      <c r="G607" s="11" t="s">
        <v>736</v>
      </c>
      <c r="H607" s="11" t="s">
        <v>15</v>
      </c>
      <c r="I607" s="11" t="s">
        <v>16</v>
      </c>
      <c r="J607" s="39">
        <v>42555</v>
      </c>
      <c r="K607">
        <f>155*4</f>
        <v>620</v>
      </c>
      <c r="L607" t="str">
        <f t="shared" si="25"/>
        <v>250</v>
      </c>
      <c r="M607" t="e">
        <f>C607-K607-L607-#REF!</f>
        <v>#REF!</v>
      </c>
      <c r="N607" t="e">
        <f t="shared" si="23"/>
        <v>#REF!</v>
      </c>
    </row>
    <row r="608" spans="1:14">
      <c r="A608" s="11" t="s">
        <v>1643</v>
      </c>
      <c r="B608" s="11">
        <v>3217771718</v>
      </c>
      <c r="C608" s="11">
        <v>1350</v>
      </c>
      <c r="D608" s="11" t="s">
        <v>1644</v>
      </c>
      <c r="E608" s="11" t="s">
        <v>57</v>
      </c>
      <c r="F608" s="11" t="s">
        <v>45</v>
      </c>
      <c r="G608" s="11" t="s">
        <v>736</v>
      </c>
      <c r="H608" s="11" t="s">
        <v>15</v>
      </c>
      <c r="I608" s="11" t="s">
        <v>16</v>
      </c>
      <c r="J608" s="39">
        <v>42555</v>
      </c>
      <c r="K608">
        <f>155*4</f>
        <v>620</v>
      </c>
      <c r="L608" t="str">
        <f t="shared" si="25"/>
        <v>250</v>
      </c>
      <c r="M608" t="e">
        <f>C608-K608-L608-#REF!</f>
        <v>#REF!</v>
      </c>
      <c r="N608" t="e">
        <f t="shared" si="23"/>
        <v>#REF!</v>
      </c>
    </row>
    <row r="609" spans="1:14">
      <c r="A609" s="11" t="s">
        <v>1645</v>
      </c>
      <c r="B609" s="11">
        <v>3003035339</v>
      </c>
      <c r="C609" s="11">
        <v>500</v>
      </c>
      <c r="D609" s="11" t="s">
        <v>1646</v>
      </c>
      <c r="E609" s="11" t="s">
        <v>272</v>
      </c>
      <c r="F609" s="11" t="s">
        <v>45</v>
      </c>
      <c r="G609" s="11" t="s">
        <v>1379</v>
      </c>
      <c r="H609" s="11" t="s">
        <v>15</v>
      </c>
      <c r="I609" s="11" t="s">
        <v>16</v>
      </c>
      <c r="J609" s="39">
        <v>42555</v>
      </c>
      <c r="K609">
        <f>125+50</f>
        <v>175</v>
      </c>
      <c r="L609" t="str">
        <f t="shared" si="25"/>
        <v>250</v>
      </c>
      <c r="M609" t="e">
        <f>C609-K609-L609-#REF!</f>
        <v>#REF!</v>
      </c>
      <c r="N609" t="e">
        <f t="shared" si="23"/>
        <v>#REF!</v>
      </c>
    </row>
    <row r="610" spans="1:14">
      <c r="A610" s="11" t="s">
        <v>1627</v>
      </c>
      <c r="B610" s="11">
        <v>3409583449</v>
      </c>
      <c r="C610" s="11">
        <v>1190</v>
      </c>
      <c r="D610" s="11" t="s">
        <v>1628</v>
      </c>
      <c r="E610" s="11" t="s">
        <v>12</v>
      </c>
      <c r="F610" s="11" t="s">
        <v>45</v>
      </c>
      <c r="G610" s="11" t="s">
        <v>348</v>
      </c>
      <c r="H610" s="11" t="s">
        <v>15</v>
      </c>
      <c r="I610" s="11" t="s">
        <v>16</v>
      </c>
      <c r="J610" s="39">
        <v>42647</v>
      </c>
      <c r="K610">
        <f>(125*4)+160</f>
        <v>660</v>
      </c>
      <c r="L610" t="str">
        <f t="shared" si="24"/>
        <v>250</v>
      </c>
      <c r="M610" t="e">
        <f>C610-K610-L610-#REF!</f>
        <v>#REF!</v>
      </c>
      <c r="N610" t="e">
        <f t="shared" si="23"/>
        <v>#REF!</v>
      </c>
    </row>
    <row r="611" spans="1:14">
      <c r="A611" s="11" t="s">
        <v>1629</v>
      </c>
      <c r="B611" s="11">
        <v>3348089689</v>
      </c>
      <c r="C611" s="11">
        <v>1100</v>
      </c>
      <c r="D611" s="11" t="s">
        <v>1630</v>
      </c>
      <c r="E611" s="11" t="s">
        <v>23</v>
      </c>
      <c r="F611" s="11" t="s">
        <v>515</v>
      </c>
      <c r="G611" s="11" t="s">
        <v>1633</v>
      </c>
      <c r="H611" s="11" t="s">
        <v>41</v>
      </c>
      <c r="I611" s="11" t="s">
        <v>16</v>
      </c>
      <c r="J611" s="39">
        <v>42647</v>
      </c>
      <c r="K611">
        <f>750</f>
        <v>750</v>
      </c>
      <c r="L611" t="str">
        <f t="shared" ref="L611:L680" si="26">IF(E611="karachi","150","250")</f>
        <v>250</v>
      </c>
      <c r="M611" t="e">
        <f>C611-K611-L611-#REF!</f>
        <v>#REF!</v>
      </c>
      <c r="N611" t="e">
        <f t="shared" si="23"/>
        <v>#REF!</v>
      </c>
    </row>
    <row r="612" spans="1:14">
      <c r="A612" s="11" t="s">
        <v>1631</v>
      </c>
      <c r="B612" s="11">
        <v>3332319343</v>
      </c>
      <c r="C612" s="11">
        <v>1370</v>
      </c>
      <c r="D612" s="11" t="s">
        <v>1632</v>
      </c>
      <c r="E612" s="11" t="s">
        <v>148</v>
      </c>
      <c r="F612" s="11" t="s">
        <v>45</v>
      </c>
      <c r="G612" s="11" t="s">
        <v>736</v>
      </c>
      <c r="H612" s="11" t="s">
        <v>15</v>
      </c>
      <c r="I612" s="11" t="s">
        <v>16</v>
      </c>
      <c r="J612" s="39">
        <v>42647</v>
      </c>
      <c r="K612">
        <f>155*4</f>
        <v>620</v>
      </c>
      <c r="L612" t="str">
        <f t="shared" si="26"/>
        <v>250</v>
      </c>
      <c r="M612" t="e">
        <f>C612-K612-L612-#REF!</f>
        <v>#REF!</v>
      </c>
      <c r="N612" t="e">
        <f t="shared" si="23"/>
        <v>#REF!</v>
      </c>
    </row>
    <row r="613" spans="1:14">
      <c r="A613" s="11" t="s">
        <v>1634</v>
      </c>
      <c r="B613" s="11">
        <v>3455612391</v>
      </c>
      <c r="C613" s="11">
        <v>1370</v>
      </c>
      <c r="D613" s="11" t="s">
        <v>1635</v>
      </c>
      <c r="E613" s="11" t="s">
        <v>453</v>
      </c>
      <c r="F613" s="11" t="s">
        <v>45</v>
      </c>
      <c r="G613" s="11" t="s">
        <v>736</v>
      </c>
      <c r="H613" s="11" t="s">
        <v>15</v>
      </c>
      <c r="I613" s="11" t="s">
        <v>16</v>
      </c>
      <c r="J613" s="39">
        <v>42647</v>
      </c>
      <c r="K613">
        <f>K612</f>
        <v>620</v>
      </c>
      <c r="L613" t="str">
        <f t="shared" si="26"/>
        <v>250</v>
      </c>
      <c r="M613" t="e">
        <f>C613-K613-L613-#REF!</f>
        <v>#REF!</v>
      </c>
      <c r="N613" t="e">
        <f t="shared" si="23"/>
        <v>#REF!</v>
      </c>
    </row>
    <row r="614" spans="1:14">
      <c r="A614" s="11" t="s">
        <v>1666</v>
      </c>
      <c r="B614" s="11">
        <v>3132843337</v>
      </c>
      <c r="C614" s="11">
        <v>1310</v>
      </c>
      <c r="D614" s="11" t="s">
        <v>1667</v>
      </c>
      <c r="E614" s="11" t="s">
        <v>50</v>
      </c>
      <c r="F614" s="11" t="s">
        <v>45</v>
      </c>
      <c r="G614" s="11" t="s">
        <v>736</v>
      </c>
      <c r="H614" s="11" t="s">
        <v>15</v>
      </c>
      <c r="I614" s="11" t="s">
        <v>16</v>
      </c>
      <c r="J614" s="39">
        <v>42647</v>
      </c>
      <c r="K614">
        <f>155*4</f>
        <v>620</v>
      </c>
      <c r="L614" t="str">
        <f t="shared" ref="L614" si="27">IF(E614="karachi","150","250")</f>
        <v>150</v>
      </c>
      <c r="M614" t="e">
        <f>C614-K614-L614-#REF!</f>
        <v>#REF!</v>
      </c>
      <c r="N614" t="e">
        <f t="shared" si="23"/>
        <v>#REF!</v>
      </c>
    </row>
    <row r="615" spans="1:14">
      <c r="A615" s="66" t="s">
        <v>1649</v>
      </c>
      <c r="B615" s="67">
        <v>3335990046</v>
      </c>
      <c r="C615" s="67">
        <v>1700</v>
      </c>
      <c r="D615" s="67" t="s">
        <v>1650</v>
      </c>
      <c r="E615" s="67" t="s">
        <v>19</v>
      </c>
      <c r="F615" s="67" t="s">
        <v>24</v>
      </c>
      <c r="G615" s="67" t="s">
        <v>1651</v>
      </c>
      <c r="H615" s="67" t="s">
        <v>15</v>
      </c>
      <c r="I615" s="67" t="s">
        <v>16</v>
      </c>
      <c r="J615" s="68">
        <v>42678</v>
      </c>
      <c r="K615">
        <v>900</v>
      </c>
      <c r="L615" t="str">
        <f t="shared" si="26"/>
        <v>250</v>
      </c>
      <c r="M615" t="e">
        <f>C615-K615-L615-#REF!</f>
        <v>#REF!</v>
      </c>
      <c r="N615" t="e">
        <f t="shared" si="23"/>
        <v>#REF!</v>
      </c>
    </row>
    <row r="616" spans="1:14">
      <c r="A616" s="71" t="s">
        <v>1652</v>
      </c>
      <c r="B616" s="71">
        <v>3370697083</v>
      </c>
      <c r="C616" s="71">
        <v>1120</v>
      </c>
      <c r="D616" s="71" t="s">
        <v>1653</v>
      </c>
      <c r="E616" s="71" t="s">
        <v>1654</v>
      </c>
      <c r="F616" s="71" t="s">
        <v>24</v>
      </c>
      <c r="G616" s="71" t="s">
        <v>303</v>
      </c>
      <c r="H616" s="71" t="s">
        <v>15</v>
      </c>
      <c r="I616" s="71" t="s">
        <v>122</v>
      </c>
      <c r="J616" s="72">
        <v>42678</v>
      </c>
      <c r="K616">
        <f>400+25</f>
        <v>425</v>
      </c>
      <c r="L616" t="str">
        <f t="shared" si="26"/>
        <v>250</v>
      </c>
      <c r="M616" t="e">
        <f>C616-K616-L616-#REF!</f>
        <v>#REF!</v>
      </c>
      <c r="N616" t="str">
        <f t="shared" si="23"/>
        <v>Waiting For Deliver</v>
      </c>
    </row>
    <row r="617" spans="1:14">
      <c r="A617" s="66" t="s">
        <v>1655</v>
      </c>
      <c r="B617" s="67">
        <v>3339628728</v>
      </c>
      <c r="C617" s="67">
        <v>1620</v>
      </c>
      <c r="D617" s="67" t="s">
        <v>1656</v>
      </c>
      <c r="E617" s="67" t="s">
        <v>153</v>
      </c>
      <c r="F617" s="67" t="s">
        <v>24</v>
      </c>
      <c r="G617" s="67" t="s">
        <v>1657</v>
      </c>
      <c r="H617" s="67" t="s">
        <v>15</v>
      </c>
      <c r="I617" s="67" t="s">
        <v>16</v>
      </c>
      <c r="J617" s="68">
        <v>42678</v>
      </c>
      <c r="K617">
        <f>700</f>
        <v>700</v>
      </c>
      <c r="L617" t="str">
        <f t="shared" si="26"/>
        <v>250</v>
      </c>
      <c r="M617" t="e">
        <f>C617-K617-L617-#REF!</f>
        <v>#REF!</v>
      </c>
      <c r="N617" t="e">
        <f t="shared" si="23"/>
        <v>#REF!</v>
      </c>
    </row>
    <row r="618" spans="1:14">
      <c r="A618" s="67" t="s">
        <v>1658</v>
      </c>
      <c r="B618" s="67">
        <v>3203690065</v>
      </c>
      <c r="C618" s="67">
        <v>1050</v>
      </c>
      <c r="D618" s="67" t="s">
        <v>1660</v>
      </c>
      <c r="E618" s="67" t="s">
        <v>1659</v>
      </c>
      <c r="F618" s="67" t="s">
        <v>24</v>
      </c>
      <c r="G618" s="67" t="s">
        <v>303</v>
      </c>
      <c r="H618" s="67" t="s">
        <v>15</v>
      </c>
      <c r="I618" s="67" t="s">
        <v>16</v>
      </c>
      <c r="J618" s="68">
        <v>42678</v>
      </c>
      <c r="K618">
        <f>425</f>
        <v>425</v>
      </c>
      <c r="L618" t="str">
        <f t="shared" si="26"/>
        <v>250</v>
      </c>
      <c r="M618" t="e">
        <f>C618-K618-L618-#REF!</f>
        <v>#REF!</v>
      </c>
      <c r="N618" t="e">
        <f t="shared" si="23"/>
        <v>#REF!</v>
      </c>
    </row>
    <row r="619" spans="1:14">
      <c r="A619" s="67" t="s">
        <v>1662</v>
      </c>
      <c r="B619" s="66">
        <v>3216357732</v>
      </c>
      <c r="C619" s="67">
        <v>1100</v>
      </c>
      <c r="D619" s="66" t="s">
        <v>1661</v>
      </c>
      <c r="E619" s="67" t="s">
        <v>19</v>
      </c>
      <c r="F619" s="67" t="s">
        <v>24</v>
      </c>
      <c r="G619" s="67" t="s">
        <v>303</v>
      </c>
      <c r="H619" s="67" t="s">
        <v>15</v>
      </c>
      <c r="I619" s="67" t="s">
        <v>16</v>
      </c>
      <c r="J619" s="68">
        <v>42678</v>
      </c>
      <c r="K619">
        <f>425</f>
        <v>425</v>
      </c>
      <c r="L619" t="str">
        <f t="shared" si="26"/>
        <v>250</v>
      </c>
      <c r="M619" t="e">
        <f>C619-K619-L619-#REF!</f>
        <v>#REF!</v>
      </c>
      <c r="N619" t="e">
        <f t="shared" si="23"/>
        <v>#REF!</v>
      </c>
    </row>
    <row r="620" spans="1:14">
      <c r="A620" s="66" t="s">
        <v>1663</v>
      </c>
      <c r="B620" s="67">
        <v>3119517610</v>
      </c>
      <c r="C620" s="67">
        <v>1120</v>
      </c>
      <c r="D620" s="67" t="s">
        <v>1664</v>
      </c>
      <c r="E620" s="67" t="s">
        <v>1665</v>
      </c>
      <c r="F620" s="67" t="s">
        <v>24</v>
      </c>
      <c r="G620" s="67" t="s">
        <v>303</v>
      </c>
      <c r="H620" s="67" t="s">
        <v>15</v>
      </c>
      <c r="I620" s="67" t="s">
        <v>16</v>
      </c>
      <c r="J620" s="68">
        <v>42678</v>
      </c>
      <c r="K620">
        <f>425</f>
        <v>425</v>
      </c>
      <c r="L620" t="str">
        <f t="shared" si="26"/>
        <v>250</v>
      </c>
      <c r="M620" t="e">
        <f>C620-K620-L620-#REF!</f>
        <v>#REF!</v>
      </c>
      <c r="N620" t="e">
        <f t="shared" si="23"/>
        <v>#REF!</v>
      </c>
    </row>
    <row r="621" spans="1:14">
      <c r="A621" s="11" t="s">
        <v>1668</v>
      </c>
      <c r="B621" s="11">
        <v>3206988369</v>
      </c>
      <c r="C621" s="67">
        <v>1190</v>
      </c>
      <c r="D621" s="11" t="s">
        <v>1669</v>
      </c>
      <c r="E621" s="67" t="s">
        <v>23</v>
      </c>
      <c r="F621" s="67" t="s">
        <v>45</v>
      </c>
      <c r="G621" s="67" t="s">
        <v>348</v>
      </c>
      <c r="H621" s="67" t="s">
        <v>15</v>
      </c>
      <c r="I621" s="67" t="s">
        <v>16</v>
      </c>
      <c r="J621" s="39">
        <v>42708</v>
      </c>
      <c r="K621">
        <f>(125*4)+150</f>
        <v>650</v>
      </c>
      <c r="L621" t="str">
        <f t="shared" si="26"/>
        <v>250</v>
      </c>
      <c r="M621" t="e">
        <f>C621-K621-L621-#REF!</f>
        <v>#REF!</v>
      </c>
      <c r="N621" t="e">
        <f t="shared" si="23"/>
        <v>#REF!</v>
      </c>
    </row>
    <row r="622" spans="1:14">
      <c r="A622" s="11" t="s">
        <v>1670</v>
      </c>
      <c r="B622" s="11">
        <v>3214715651</v>
      </c>
      <c r="C622" s="11">
        <v>1350</v>
      </c>
      <c r="D622" s="11" t="s">
        <v>1671</v>
      </c>
      <c r="E622" s="11" t="s">
        <v>12</v>
      </c>
      <c r="F622" s="11" t="s">
        <v>45</v>
      </c>
      <c r="G622" s="11" t="s">
        <v>736</v>
      </c>
      <c r="H622" s="11" t="s">
        <v>15</v>
      </c>
      <c r="I622" s="11" t="s">
        <v>16</v>
      </c>
      <c r="J622" s="39">
        <v>42647</v>
      </c>
      <c r="K622">
        <f>K621</f>
        <v>650</v>
      </c>
      <c r="L622" t="str">
        <f t="shared" si="26"/>
        <v>250</v>
      </c>
      <c r="M622" t="e">
        <f>C622-K622-L622-#REF!</f>
        <v>#REF!</v>
      </c>
      <c r="N622" t="e">
        <f t="shared" si="23"/>
        <v>#REF!</v>
      </c>
    </row>
    <row r="623" spans="1:14">
      <c r="A623" s="11" t="s">
        <v>1673</v>
      </c>
      <c r="B623" s="59">
        <v>3162827934</v>
      </c>
      <c r="C623" s="11">
        <v>1050</v>
      </c>
      <c r="D623" s="11" t="s">
        <v>1674</v>
      </c>
      <c r="E623" s="11" t="s">
        <v>50</v>
      </c>
      <c r="F623" s="11" t="s">
        <v>24</v>
      </c>
      <c r="G623" s="11" t="s">
        <v>303</v>
      </c>
      <c r="H623" s="11" t="s">
        <v>15</v>
      </c>
      <c r="I623" s="11" t="s">
        <v>16</v>
      </c>
      <c r="J623" s="47" t="s">
        <v>1672</v>
      </c>
      <c r="K623">
        <f>400+25</f>
        <v>425</v>
      </c>
      <c r="L623" t="str">
        <f t="shared" si="26"/>
        <v>150</v>
      </c>
      <c r="M623" t="e">
        <f>C623-K623-L623-#REF!</f>
        <v>#REF!</v>
      </c>
      <c r="N623" t="e">
        <f t="shared" ref="N623:N686" si="28">IF(I623="deliver",M623,"Waiting For Deliver")</f>
        <v>#REF!</v>
      </c>
    </row>
    <row r="624" spans="1:14">
      <c r="A624" s="69" t="s">
        <v>1370</v>
      </c>
      <c r="B624" s="63">
        <v>2134623731</v>
      </c>
      <c r="C624" s="63">
        <v>1300</v>
      </c>
      <c r="D624" s="69" t="s">
        <v>1675</v>
      </c>
      <c r="E624" s="69" t="s">
        <v>50</v>
      </c>
      <c r="F624" s="69" t="s">
        <v>45</v>
      </c>
      <c r="G624" s="69" t="s">
        <v>736</v>
      </c>
      <c r="H624" s="69" t="s">
        <v>41</v>
      </c>
      <c r="I624" s="69" t="s">
        <v>122</v>
      </c>
      <c r="J624" s="63" t="s">
        <v>1685</v>
      </c>
      <c r="K624">
        <f>155*4</f>
        <v>620</v>
      </c>
      <c r="L624" t="str">
        <f t="shared" si="26"/>
        <v>150</v>
      </c>
      <c r="M624" t="e">
        <f>C624-K624-L624-#REF!</f>
        <v>#REF!</v>
      </c>
      <c r="N624" t="str">
        <f t="shared" si="28"/>
        <v>Waiting For Deliver</v>
      </c>
    </row>
    <row r="625" spans="1:14">
      <c r="A625" s="55" t="s">
        <v>1676</v>
      </c>
      <c r="B625" s="70">
        <v>3357593143</v>
      </c>
      <c r="C625" s="55">
        <v>1290</v>
      </c>
      <c r="D625" s="55" t="s">
        <v>1677</v>
      </c>
      <c r="E625" s="55" t="s">
        <v>50</v>
      </c>
      <c r="F625" s="55" t="s">
        <v>515</v>
      </c>
      <c r="G625" s="55" t="s">
        <v>1678</v>
      </c>
      <c r="H625" s="55" t="s">
        <v>15</v>
      </c>
      <c r="I625" s="69" t="s">
        <v>122</v>
      </c>
      <c r="J625" s="63" t="s">
        <v>1685</v>
      </c>
      <c r="K625">
        <f>500</f>
        <v>500</v>
      </c>
      <c r="L625" t="str">
        <f t="shared" si="26"/>
        <v>150</v>
      </c>
      <c r="M625" t="e">
        <f>C625-K625-L625-#REF!</f>
        <v>#REF!</v>
      </c>
      <c r="N625" t="str">
        <f t="shared" si="28"/>
        <v>Waiting For Deliver</v>
      </c>
    </row>
    <row r="626" spans="1:14">
      <c r="A626" s="11" t="s">
        <v>1679</v>
      </c>
      <c r="B626" s="11">
        <v>3322708067</v>
      </c>
      <c r="C626" s="11">
        <v>1270</v>
      </c>
      <c r="D626" s="11" t="s">
        <v>1680</v>
      </c>
      <c r="E626" s="11" t="s">
        <v>50</v>
      </c>
      <c r="F626" s="11" t="s">
        <v>45</v>
      </c>
      <c r="G626" s="11" t="s">
        <v>736</v>
      </c>
      <c r="H626" s="11" t="s">
        <v>15</v>
      </c>
      <c r="I626" s="11" t="s">
        <v>16</v>
      </c>
      <c r="J626" s="47" t="s">
        <v>1685</v>
      </c>
      <c r="K626">
        <f>155*4</f>
        <v>620</v>
      </c>
      <c r="L626" t="str">
        <f t="shared" si="26"/>
        <v>150</v>
      </c>
      <c r="M626" t="e">
        <f>C626-K626-L626-#REF!</f>
        <v>#REF!</v>
      </c>
      <c r="N626" t="e">
        <f t="shared" si="28"/>
        <v>#REF!</v>
      </c>
    </row>
    <row r="627" spans="1:14">
      <c r="A627" s="11" t="s">
        <v>1681</v>
      </c>
      <c r="B627" s="59">
        <v>3332306009</v>
      </c>
      <c r="C627" s="11">
        <v>1080</v>
      </c>
      <c r="D627" s="11" t="s">
        <v>1682</v>
      </c>
      <c r="E627" s="11" t="s">
        <v>50</v>
      </c>
      <c r="F627" s="11" t="s">
        <v>24</v>
      </c>
      <c r="G627" s="11" t="s">
        <v>303</v>
      </c>
      <c r="H627" s="11" t="s">
        <v>15</v>
      </c>
      <c r="I627" s="11" t="s">
        <v>16</v>
      </c>
      <c r="J627" s="47" t="s">
        <v>1685</v>
      </c>
      <c r="K627">
        <f>400</f>
        <v>400</v>
      </c>
      <c r="L627" t="str">
        <f t="shared" si="26"/>
        <v>150</v>
      </c>
      <c r="M627" t="e">
        <f>C627-K627-L627-#REF!</f>
        <v>#REF!</v>
      </c>
      <c r="N627" t="e">
        <f t="shared" si="28"/>
        <v>#REF!</v>
      </c>
    </row>
    <row r="628" spans="1:14">
      <c r="A628" s="11" t="s">
        <v>1683</v>
      </c>
      <c r="B628" s="11">
        <v>3212567037</v>
      </c>
      <c r="C628" s="11">
        <v>750</v>
      </c>
      <c r="D628" s="11" t="s">
        <v>1684</v>
      </c>
      <c r="E628" s="11" t="s">
        <v>50</v>
      </c>
      <c r="F628" s="11" t="s">
        <v>45</v>
      </c>
      <c r="G628" s="11" t="s">
        <v>1314</v>
      </c>
      <c r="H628" s="11" t="s">
        <v>41</v>
      </c>
      <c r="I628" s="11" t="s">
        <v>16</v>
      </c>
      <c r="J628" s="47" t="s">
        <v>1685</v>
      </c>
      <c r="K628">
        <f>120+70</f>
        <v>190</v>
      </c>
      <c r="L628" t="str">
        <f t="shared" si="26"/>
        <v>150</v>
      </c>
      <c r="M628" t="e">
        <f>C628-K628-L628-#REF!</f>
        <v>#REF!</v>
      </c>
      <c r="N628" t="e">
        <f t="shared" si="28"/>
        <v>#REF!</v>
      </c>
    </row>
    <row r="629" spans="1:14">
      <c r="A629" s="11" t="s">
        <v>1686</v>
      </c>
      <c r="B629" s="11">
        <v>3329645487</v>
      </c>
      <c r="C629" s="11">
        <v>2140</v>
      </c>
      <c r="D629" s="11" t="s">
        <v>1687</v>
      </c>
      <c r="E629" s="11" t="s">
        <v>23</v>
      </c>
      <c r="F629" s="11" t="s">
        <v>24</v>
      </c>
      <c r="G629" s="11" t="s">
        <v>1586</v>
      </c>
      <c r="H629" s="11" t="s">
        <v>15</v>
      </c>
      <c r="I629" s="11" t="s">
        <v>16</v>
      </c>
      <c r="J629" s="47" t="s">
        <v>1685</v>
      </c>
      <c r="K629">
        <f>800</f>
        <v>800</v>
      </c>
      <c r="L629" t="str">
        <f t="shared" si="26"/>
        <v>250</v>
      </c>
      <c r="M629" t="e">
        <f>C629-K629-L629-#REF!</f>
        <v>#REF!</v>
      </c>
      <c r="N629" t="e">
        <f t="shared" si="28"/>
        <v>#REF!</v>
      </c>
    </row>
    <row r="630" spans="1:14">
      <c r="A630" s="11" t="s">
        <v>1688</v>
      </c>
      <c r="B630" s="11">
        <v>3008333769</v>
      </c>
      <c r="C630" s="11">
        <v>1120</v>
      </c>
      <c r="D630" s="11" t="s">
        <v>1689</v>
      </c>
      <c r="E630" s="11" t="s">
        <v>76</v>
      </c>
      <c r="F630" s="11" t="s">
        <v>24</v>
      </c>
      <c r="G630" s="11" t="s">
        <v>303</v>
      </c>
      <c r="H630" s="11" t="s">
        <v>15</v>
      </c>
      <c r="I630" s="11" t="s">
        <v>16</v>
      </c>
      <c r="J630" s="47" t="s">
        <v>1685</v>
      </c>
      <c r="K630">
        <v>400</v>
      </c>
      <c r="L630" t="str">
        <f t="shared" si="26"/>
        <v>250</v>
      </c>
      <c r="M630" t="e">
        <f>C630-K630-L630-#REF!</f>
        <v>#REF!</v>
      </c>
      <c r="N630" t="e">
        <f t="shared" si="28"/>
        <v>#REF!</v>
      </c>
    </row>
    <row r="631" spans="1:14">
      <c r="A631" s="11" t="s">
        <v>1690</v>
      </c>
      <c r="B631" s="11">
        <v>3346997038</v>
      </c>
      <c r="C631" s="11">
        <v>950</v>
      </c>
      <c r="D631" s="11" t="s">
        <v>1691</v>
      </c>
      <c r="E631" s="11" t="s">
        <v>1692</v>
      </c>
      <c r="F631" s="11" t="s">
        <v>24</v>
      </c>
      <c r="G631" s="11" t="s">
        <v>303</v>
      </c>
      <c r="H631" s="11" t="s">
        <v>15</v>
      </c>
      <c r="I631" s="11" t="s">
        <v>16</v>
      </c>
      <c r="J631" s="47" t="s">
        <v>1685</v>
      </c>
      <c r="K631">
        <v>400</v>
      </c>
      <c r="L631" t="str">
        <f t="shared" si="26"/>
        <v>250</v>
      </c>
      <c r="M631" t="e">
        <f>C631-K631-L631-#REF!</f>
        <v>#REF!</v>
      </c>
      <c r="N631" t="e">
        <f t="shared" si="28"/>
        <v>#REF!</v>
      </c>
    </row>
    <row r="632" spans="1:14">
      <c r="A632" s="11" t="s">
        <v>1693</v>
      </c>
      <c r="B632" s="11">
        <v>3006854906</v>
      </c>
      <c r="C632" s="11">
        <v>1130</v>
      </c>
      <c r="D632" s="11" t="s">
        <v>1694</v>
      </c>
      <c r="E632" s="11" t="s">
        <v>272</v>
      </c>
      <c r="F632" s="11" t="s">
        <v>24</v>
      </c>
      <c r="G632" s="11" t="s">
        <v>303</v>
      </c>
      <c r="H632" s="11" t="s">
        <v>15</v>
      </c>
      <c r="I632" s="11" t="s">
        <v>16</v>
      </c>
      <c r="J632" s="47" t="s">
        <v>1685</v>
      </c>
      <c r="K632">
        <v>400</v>
      </c>
      <c r="L632" t="str">
        <f t="shared" si="26"/>
        <v>250</v>
      </c>
      <c r="M632" t="e">
        <f>C632-K632-L632-#REF!</f>
        <v>#REF!</v>
      </c>
      <c r="N632" t="e">
        <f t="shared" si="28"/>
        <v>#REF!</v>
      </c>
    </row>
    <row r="633" spans="1:14">
      <c r="A633" s="11" t="s">
        <v>1695</v>
      </c>
      <c r="B633" s="11">
        <v>3317899965</v>
      </c>
      <c r="C633" s="11">
        <v>1360</v>
      </c>
      <c r="D633" s="11" t="s">
        <v>1696</v>
      </c>
      <c r="E633" s="11" t="s">
        <v>1697</v>
      </c>
      <c r="F633" s="11" t="s">
        <v>515</v>
      </c>
      <c r="G633" s="11" t="s">
        <v>1678</v>
      </c>
      <c r="H633" s="11" t="s">
        <v>15</v>
      </c>
      <c r="I633" s="11" t="s">
        <v>16</v>
      </c>
      <c r="J633" s="47" t="s">
        <v>1698</v>
      </c>
      <c r="K633">
        <f>500</f>
        <v>500</v>
      </c>
      <c r="L633" t="str">
        <f t="shared" si="26"/>
        <v>250</v>
      </c>
      <c r="M633" t="e">
        <f>C633-K633-L633-#REF!</f>
        <v>#REF!</v>
      </c>
      <c r="N633" t="e">
        <f t="shared" si="28"/>
        <v>#REF!</v>
      </c>
    </row>
    <row r="634" spans="1:14">
      <c r="A634" s="11" t="s">
        <v>1700</v>
      </c>
      <c r="B634" s="11">
        <v>3003605287</v>
      </c>
      <c r="C634" s="11">
        <v>650</v>
      </c>
      <c r="D634" s="11" t="s">
        <v>1699</v>
      </c>
      <c r="E634" s="11" t="s">
        <v>1659</v>
      </c>
      <c r="F634" s="11" t="s">
        <v>45</v>
      </c>
      <c r="G634" s="11" t="s">
        <v>1226</v>
      </c>
      <c r="H634" s="11" t="s">
        <v>41</v>
      </c>
      <c r="I634" s="11" t="s">
        <v>16</v>
      </c>
      <c r="J634" s="47" t="s">
        <v>1698</v>
      </c>
      <c r="K634">
        <f>80+125</f>
        <v>205</v>
      </c>
      <c r="L634" t="str">
        <f t="shared" si="26"/>
        <v>250</v>
      </c>
      <c r="M634" t="e">
        <f>C634-K634-L634-#REF!</f>
        <v>#REF!</v>
      </c>
      <c r="N634" t="e">
        <f t="shared" si="28"/>
        <v>#REF!</v>
      </c>
    </row>
    <row r="635" spans="1:14">
      <c r="A635" s="11" t="s">
        <v>1702</v>
      </c>
      <c r="B635" s="11">
        <v>3404517137</v>
      </c>
      <c r="C635" s="11">
        <v>1500</v>
      </c>
      <c r="D635" s="11" t="s">
        <v>1703</v>
      </c>
      <c r="E635" s="11" t="s">
        <v>120</v>
      </c>
      <c r="F635" s="11" t="s">
        <v>45</v>
      </c>
      <c r="G635" s="11" t="s">
        <v>1701</v>
      </c>
      <c r="H635" s="11" t="s">
        <v>150</v>
      </c>
      <c r="I635" s="11" t="s">
        <v>16</v>
      </c>
      <c r="J635" s="47" t="s">
        <v>1698</v>
      </c>
      <c r="K635">
        <f>180+250+80</f>
        <v>510</v>
      </c>
      <c r="L635" t="str">
        <f t="shared" si="26"/>
        <v>250</v>
      </c>
      <c r="M635" t="e">
        <f>C635-K635-L635-#REF!</f>
        <v>#REF!</v>
      </c>
      <c r="N635" t="e">
        <f t="shared" si="28"/>
        <v>#REF!</v>
      </c>
    </row>
    <row r="636" spans="1:14">
      <c r="A636" s="11" t="s">
        <v>1704</v>
      </c>
      <c r="B636" s="11">
        <v>3323399759</v>
      </c>
      <c r="C636" s="11">
        <v>1270</v>
      </c>
      <c r="D636" s="11" t="s">
        <v>1705</v>
      </c>
      <c r="E636" s="11" t="s">
        <v>50</v>
      </c>
      <c r="F636" s="11" t="s">
        <v>45</v>
      </c>
      <c r="G636" s="11" t="s">
        <v>736</v>
      </c>
      <c r="H636" s="11" t="s">
        <v>15</v>
      </c>
      <c r="I636" s="11" t="s">
        <v>16</v>
      </c>
      <c r="J636" s="47" t="s">
        <v>1706</v>
      </c>
      <c r="K636">
        <f>600</f>
        <v>600</v>
      </c>
      <c r="L636" t="str">
        <f t="shared" si="26"/>
        <v>150</v>
      </c>
      <c r="M636" t="e">
        <f>C636-K636-L636-#REF!</f>
        <v>#REF!</v>
      </c>
      <c r="N636" t="e">
        <f t="shared" si="28"/>
        <v>#REF!</v>
      </c>
    </row>
    <row r="637" spans="1:14">
      <c r="A637" s="11" t="s">
        <v>1707</v>
      </c>
      <c r="B637" s="59">
        <v>3243343814</v>
      </c>
      <c r="C637" s="11">
        <v>1310</v>
      </c>
      <c r="D637" s="11" t="s">
        <v>1708</v>
      </c>
      <c r="E637" s="11" t="s">
        <v>50</v>
      </c>
      <c r="F637" s="11" t="s">
        <v>45</v>
      </c>
      <c r="G637" s="11" t="s">
        <v>736</v>
      </c>
      <c r="H637" s="11" t="s">
        <v>15</v>
      </c>
      <c r="I637" s="11" t="s">
        <v>16</v>
      </c>
      <c r="J637" s="47" t="s">
        <v>1706</v>
      </c>
      <c r="K637">
        <f>620</f>
        <v>620</v>
      </c>
      <c r="L637" t="str">
        <f t="shared" si="26"/>
        <v>150</v>
      </c>
      <c r="M637" t="e">
        <f>C637-K637-L637-#REF!</f>
        <v>#REF!</v>
      </c>
      <c r="N637" t="e">
        <f t="shared" si="28"/>
        <v>#REF!</v>
      </c>
    </row>
    <row r="638" spans="1:14">
      <c r="A638" s="11" t="s">
        <v>1709</v>
      </c>
      <c r="B638" s="73">
        <v>3330372297</v>
      </c>
      <c r="C638" s="11">
        <v>750</v>
      </c>
      <c r="D638" s="11" t="s">
        <v>1710</v>
      </c>
      <c r="E638" s="11" t="s">
        <v>50</v>
      </c>
      <c r="F638" s="11" t="s">
        <v>24</v>
      </c>
      <c r="G638" s="11" t="s">
        <v>742</v>
      </c>
      <c r="H638" s="11" t="s">
        <v>41</v>
      </c>
      <c r="I638" s="11" t="s">
        <v>16</v>
      </c>
      <c r="J638" s="47" t="s">
        <v>1711</v>
      </c>
      <c r="K638">
        <f>220+25</f>
        <v>245</v>
      </c>
      <c r="L638" t="str">
        <f t="shared" si="26"/>
        <v>150</v>
      </c>
      <c r="M638" t="e">
        <f>C638-K638-L638-#REF!</f>
        <v>#REF!</v>
      </c>
      <c r="N638" t="e">
        <f t="shared" si="28"/>
        <v>#REF!</v>
      </c>
    </row>
    <row r="639" spans="1:14">
      <c r="A639" s="11" t="s">
        <v>1722</v>
      </c>
      <c r="B639" s="11">
        <v>3219603303</v>
      </c>
      <c r="C639" s="11">
        <v>800</v>
      </c>
      <c r="D639" s="11" t="s">
        <v>1723</v>
      </c>
      <c r="E639" s="11" t="s">
        <v>852</v>
      </c>
      <c r="F639" s="11" t="s">
        <v>45</v>
      </c>
      <c r="G639" s="11" t="s">
        <v>1323</v>
      </c>
      <c r="H639" s="11" t="s">
        <v>41</v>
      </c>
      <c r="I639" s="11" t="s">
        <v>16</v>
      </c>
      <c r="J639" s="11" t="s">
        <v>1711</v>
      </c>
      <c r="K639">
        <f>250+80</f>
        <v>330</v>
      </c>
      <c r="L639" t="str">
        <f t="shared" ref="L639" si="29">IF(E639="karachi","150","250")</f>
        <v>250</v>
      </c>
      <c r="M639" t="e">
        <f>C639-K639-L639-#REF!</f>
        <v>#REF!</v>
      </c>
      <c r="N639" t="e">
        <f t="shared" si="28"/>
        <v>#REF!</v>
      </c>
    </row>
    <row r="640" spans="1:14">
      <c r="A640" s="11" t="s">
        <v>1724</v>
      </c>
      <c r="B640" s="11">
        <v>3338975454</v>
      </c>
      <c r="C640" s="11">
        <v>1120</v>
      </c>
      <c r="D640" s="11" t="s">
        <v>1725</v>
      </c>
      <c r="E640" s="11" t="s">
        <v>1726</v>
      </c>
      <c r="F640" s="11" t="s">
        <v>24</v>
      </c>
      <c r="G640" s="11" t="s">
        <v>303</v>
      </c>
      <c r="H640" s="11" t="s">
        <v>15</v>
      </c>
      <c r="I640" s="11" t="s">
        <v>16</v>
      </c>
      <c r="J640" s="11" t="s">
        <v>1711</v>
      </c>
      <c r="K640">
        <f>400</f>
        <v>400</v>
      </c>
      <c r="L640" t="str">
        <f t="shared" si="26"/>
        <v>250</v>
      </c>
      <c r="M640" t="e">
        <f>C640-K640-L640-#REF!</f>
        <v>#REF!</v>
      </c>
      <c r="N640" t="e">
        <f t="shared" si="28"/>
        <v>#REF!</v>
      </c>
    </row>
    <row r="641" spans="1:14">
      <c r="A641" s="11" t="s">
        <v>1727</v>
      </c>
      <c r="B641" s="11">
        <v>3325611765</v>
      </c>
      <c r="C641" s="11">
        <v>1210</v>
      </c>
      <c r="D641" s="11" t="s">
        <v>1728</v>
      </c>
      <c r="E641" s="11" t="s">
        <v>995</v>
      </c>
      <c r="F641" s="11" t="s">
        <v>45</v>
      </c>
      <c r="G641" s="11" t="s">
        <v>348</v>
      </c>
      <c r="H641" s="11" t="s">
        <v>15</v>
      </c>
      <c r="I641" s="11" t="s">
        <v>16</v>
      </c>
      <c r="J641" s="11" t="s">
        <v>1711</v>
      </c>
      <c r="K641">
        <f>(125*4)+160</f>
        <v>660</v>
      </c>
      <c r="L641" t="str">
        <f t="shared" si="26"/>
        <v>250</v>
      </c>
      <c r="M641" t="e">
        <f>C641-K641-L641-#REF!</f>
        <v>#REF!</v>
      </c>
      <c r="N641" t="e">
        <f t="shared" si="28"/>
        <v>#REF!</v>
      </c>
    </row>
    <row r="642" spans="1:14">
      <c r="A642" s="55" t="s">
        <v>1729</v>
      </c>
      <c r="B642" s="55">
        <v>3420728237</v>
      </c>
      <c r="C642" s="55">
        <v>1150</v>
      </c>
      <c r="D642" s="55" t="s">
        <v>1730</v>
      </c>
      <c r="E642" s="55" t="s">
        <v>1179</v>
      </c>
      <c r="F642" s="55" t="s">
        <v>24</v>
      </c>
      <c r="G642" s="55" t="s">
        <v>303</v>
      </c>
      <c r="H642" s="55" t="s">
        <v>15</v>
      </c>
      <c r="I642" s="55" t="s">
        <v>122</v>
      </c>
      <c r="J642" s="55" t="s">
        <v>1711</v>
      </c>
      <c r="K642">
        <f>400</f>
        <v>400</v>
      </c>
      <c r="L642" t="str">
        <f t="shared" si="26"/>
        <v>250</v>
      </c>
      <c r="M642" t="e">
        <f>C642-K642-L642-#REF!</f>
        <v>#REF!</v>
      </c>
      <c r="N642" t="str">
        <f t="shared" si="28"/>
        <v>Waiting For Deliver</v>
      </c>
    </row>
    <row r="643" spans="1:14">
      <c r="A643" s="11" t="s">
        <v>1731</v>
      </c>
      <c r="B643" s="11">
        <v>3476306897</v>
      </c>
      <c r="C643" s="11">
        <v>1130</v>
      </c>
      <c r="D643" s="11" t="s">
        <v>1732</v>
      </c>
      <c r="E643" s="11" t="s">
        <v>30</v>
      </c>
      <c r="F643" s="11" t="s">
        <v>24</v>
      </c>
      <c r="G643" s="11" t="s">
        <v>303</v>
      </c>
      <c r="H643" s="11" t="s">
        <v>15</v>
      </c>
      <c r="I643" s="11" t="s">
        <v>16</v>
      </c>
      <c r="J643" s="11" t="s">
        <v>1711</v>
      </c>
      <c r="K643">
        <f>400</f>
        <v>400</v>
      </c>
      <c r="L643" t="str">
        <f t="shared" si="26"/>
        <v>250</v>
      </c>
      <c r="M643" t="e">
        <f>C643-K643-L643-#REF!</f>
        <v>#REF!</v>
      </c>
      <c r="N643" t="e">
        <f t="shared" si="28"/>
        <v>#REF!</v>
      </c>
    </row>
    <row r="644" spans="1:14">
      <c r="A644" s="11" t="s">
        <v>1733</v>
      </c>
      <c r="B644" s="11">
        <v>3334506455</v>
      </c>
      <c r="C644" s="11">
        <v>1130</v>
      </c>
      <c r="D644" s="11" t="s">
        <v>1734</v>
      </c>
      <c r="E644" s="11" t="s">
        <v>23</v>
      </c>
      <c r="F644" s="11" t="s">
        <v>24</v>
      </c>
      <c r="G644" s="11" t="s">
        <v>303</v>
      </c>
      <c r="H644" s="11" t="s">
        <v>15</v>
      </c>
      <c r="I644" s="11" t="s">
        <v>16</v>
      </c>
      <c r="J644" s="11" t="s">
        <v>1711</v>
      </c>
      <c r="K644">
        <f>400</f>
        <v>400</v>
      </c>
      <c r="L644" t="str">
        <f t="shared" si="26"/>
        <v>250</v>
      </c>
      <c r="M644" t="e">
        <f>C644-K644-L644-#REF!</f>
        <v>#REF!</v>
      </c>
      <c r="N644" t="e">
        <f t="shared" si="28"/>
        <v>#REF!</v>
      </c>
    </row>
    <row r="645" spans="1:14">
      <c r="A645" s="11" t="s">
        <v>1735</v>
      </c>
      <c r="B645" s="11">
        <v>3153517730</v>
      </c>
      <c r="C645" s="11">
        <v>1150</v>
      </c>
      <c r="D645" s="11" t="s">
        <v>1736</v>
      </c>
      <c r="E645" s="11" t="s">
        <v>148</v>
      </c>
      <c r="F645" s="11" t="s">
        <v>45</v>
      </c>
      <c r="G645" s="11" t="s">
        <v>1737</v>
      </c>
      <c r="H645" s="11" t="s">
        <v>41</v>
      </c>
      <c r="I645" s="11" t="s">
        <v>16</v>
      </c>
      <c r="J645" s="11" t="s">
        <v>1711</v>
      </c>
      <c r="K645">
        <f>(125*3)+150</f>
        <v>525</v>
      </c>
      <c r="L645" t="str">
        <f t="shared" si="26"/>
        <v>250</v>
      </c>
      <c r="M645" t="e">
        <f>C645-K645-L645-#REF!</f>
        <v>#REF!</v>
      </c>
      <c r="N645" t="e">
        <f t="shared" si="28"/>
        <v>#REF!</v>
      </c>
    </row>
    <row r="646" spans="1:14">
      <c r="A646" s="11" t="s">
        <v>1738</v>
      </c>
      <c r="B646" s="11">
        <v>3009665177</v>
      </c>
      <c r="C646" s="11">
        <v>1150</v>
      </c>
      <c r="D646" s="11" t="s">
        <v>1739</v>
      </c>
      <c r="E646" s="11" t="s">
        <v>57</v>
      </c>
      <c r="F646" s="11" t="s">
        <v>45</v>
      </c>
      <c r="G646" s="11" t="s">
        <v>1290</v>
      </c>
      <c r="H646" s="11" t="s">
        <v>41</v>
      </c>
      <c r="I646" s="11" t="s">
        <v>16</v>
      </c>
      <c r="J646" s="11" t="s">
        <v>1711</v>
      </c>
      <c r="K646">
        <f>(125*3)+120</f>
        <v>495</v>
      </c>
      <c r="L646" t="str">
        <f t="shared" si="26"/>
        <v>250</v>
      </c>
      <c r="M646" t="e">
        <f>C646-K646-L646-#REF!</f>
        <v>#REF!</v>
      </c>
      <c r="N646" t="e">
        <f t="shared" si="28"/>
        <v>#REF!</v>
      </c>
    </row>
    <row r="647" spans="1:14">
      <c r="A647" s="11" t="s">
        <v>1740</v>
      </c>
      <c r="B647" s="11">
        <v>3218892065</v>
      </c>
      <c r="C647" s="11">
        <v>1500</v>
      </c>
      <c r="D647" s="11" t="s">
        <v>1741</v>
      </c>
      <c r="E647" s="11" t="s">
        <v>23</v>
      </c>
      <c r="F647" s="11" t="s">
        <v>45</v>
      </c>
      <c r="G647" s="11" t="s">
        <v>1302</v>
      </c>
      <c r="H647" s="11" t="s">
        <v>41</v>
      </c>
      <c r="I647" s="11" t="s">
        <v>16</v>
      </c>
      <c r="J647" s="11" t="s">
        <v>1711</v>
      </c>
      <c r="K647">
        <f>220*3</f>
        <v>660</v>
      </c>
      <c r="L647" t="str">
        <f t="shared" si="26"/>
        <v>250</v>
      </c>
      <c r="M647" t="e">
        <f>C647-K647-L647-#REF!</f>
        <v>#REF!</v>
      </c>
      <c r="N647" t="e">
        <f t="shared" si="28"/>
        <v>#REF!</v>
      </c>
    </row>
    <row r="648" spans="1:14">
      <c r="A648" s="11" t="s">
        <v>1742</v>
      </c>
      <c r="B648" s="11">
        <v>3006862124</v>
      </c>
      <c r="C648" s="11">
        <v>1130</v>
      </c>
      <c r="D648" s="11" t="s">
        <v>1743</v>
      </c>
      <c r="E648" s="11" t="s">
        <v>1497</v>
      </c>
      <c r="F648" s="11" t="s">
        <v>24</v>
      </c>
      <c r="G648" s="11" t="s">
        <v>303</v>
      </c>
      <c r="H648" s="11" t="s">
        <v>15</v>
      </c>
      <c r="I648" s="11" t="s">
        <v>16</v>
      </c>
      <c r="J648" s="11" t="s">
        <v>1711</v>
      </c>
      <c r="K648">
        <f>400</f>
        <v>400</v>
      </c>
      <c r="L648" t="str">
        <f t="shared" si="26"/>
        <v>250</v>
      </c>
      <c r="M648" t="e">
        <f>C648-K648-L648-#REF!</f>
        <v>#REF!</v>
      </c>
      <c r="N648" t="e">
        <f t="shared" si="28"/>
        <v>#REF!</v>
      </c>
    </row>
    <row r="649" spans="1:14">
      <c r="A649" s="11" t="s">
        <v>1030</v>
      </c>
      <c r="B649" s="11">
        <v>3102923034</v>
      </c>
      <c r="C649" s="11">
        <v>2600</v>
      </c>
      <c r="D649" s="11" t="s">
        <v>1714</v>
      </c>
      <c r="E649" s="11" t="s">
        <v>50</v>
      </c>
      <c r="F649" s="11" t="s">
        <v>45</v>
      </c>
      <c r="G649" s="11" t="s">
        <v>1713</v>
      </c>
      <c r="H649" s="11" t="s">
        <v>41</v>
      </c>
      <c r="I649" s="11" t="s">
        <v>16</v>
      </c>
      <c r="J649" s="47" t="s">
        <v>1712</v>
      </c>
      <c r="K649">
        <f>(150*5)+660</f>
        <v>1410</v>
      </c>
      <c r="L649" t="str">
        <f t="shared" ref="L649" si="30">IF(E649="karachi","150","250")</f>
        <v>150</v>
      </c>
      <c r="M649" t="e">
        <f>C649-K649-L649-#REF!</f>
        <v>#REF!</v>
      </c>
      <c r="N649" t="e">
        <f t="shared" si="28"/>
        <v>#REF!</v>
      </c>
    </row>
    <row r="650" spans="1:14">
      <c r="A650" s="11" t="s">
        <v>1627</v>
      </c>
      <c r="B650" s="11">
        <v>3409583449</v>
      </c>
      <c r="C650" s="11">
        <v>180</v>
      </c>
      <c r="D650" s="11" t="s">
        <v>1628</v>
      </c>
      <c r="E650" s="11" t="s">
        <v>12</v>
      </c>
      <c r="F650" s="11" t="s">
        <v>45</v>
      </c>
      <c r="G650" s="11" t="s">
        <v>348</v>
      </c>
      <c r="H650" s="11" t="s">
        <v>413</v>
      </c>
      <c r="I650" s="11" t="s">
        <v>16</v>
      </c>
      <c r="J650" s="47" t="s">
        <v>1712</v>
      </c>
      <c r="K650">
        <f>(130*4)+160</f>
        <v>680</v>
      </c>
      <c r="L650" t="str">
        <f t="shared" si="26"/>
        <v>250</v>
      </c>
      <c r="M650" t="e">
        <f>C650-K650-L650-#REF!</f>
        <v>#REF!</v>
      </c>
      <c r="N650" t="e">
        <f t="shared" si="28"/>
        <v>#REF!</v>
      </c>
    </row>
    <row r="651" spans="1:14">
      <c r="A651" s="11" t="s">
        <v>1715</v>
      </c>
      <c r="B651" s="11">
        <v>3135451566</v>
      </c>
      <c r="C651" s="11">
        <v>1350</v>
      </c>
      <c r="D651" s="11" t="s">
        <v>1716</v>
      </c>
      <c r="E651" s="11" t="s">
        <v>12</v>
      </c>
      <c r="F651" s="11" t="s">
        <v>45</v>
      </c>
      <c r="G651" s="11" t="s">
        <v>736</v>
      </c>
      <c r="H651" s="11" t="s">
        <v>15</v>
      </c>
      <c r="I651" s="11" t="s">
        <v>16</v>
      </c>
      <c r="J651" s="47" t="s">
        <v>1712</v>
      </c>
      <c r="K651">
        <f>150*4</f>
        <v>600</v>
      </c>
      <c r="L651" t="str">
        <f t="shared" si="26"/>
        <v>250</v>
      </c>
      <c r="M651" t="e">
        <f>C651-K651-L651-#REF!</f>
        <v>#REF!</v>
      </c>
      <c r="N651" t="e">
        <f t="shared" si="28"/>
        <v>#REF!</v>
      </c>
    </row>
    <row r="652" spans="1:14">
      <c r="A652" s="11" t="s">
        <v>1717</v>
      </c>
      <c r="B652" s="11">
        <v>3343434083</v>
      </c>
      <c r="C652" s="11">
        <v>3500</v>
      </c>
      <c r="D652" s="11" t="s">
        <v>1718</v>
      </c>
      <c r="E652" s="11" t="s">
        <v>153</v>
      </c>
      <c r="F652" s="11" t="s">
        <v>45</v>
      </c>
      <c r="G652" s="11" t="s">
        <v>1719</v>
      </c>
      <c r="H652" s="11" t="s">
        <v>41</v>
      </c>
      <c r="I652" s="11" t="s">
        <v>16</v>
      </c>
      <c r="J652" s="47" t="s">
        <v>1712</v>
      </c>
      <c r="K652">
        <f>(220*3)+(125)+(130*4)+250+210</f>
        <v>1765</v>
      </c>
      <c r="L652" t="str">
        <f t="shared" si="26"/>
        <v>250</v>
      </c>
      <c r="M652" t="e">
        <f>C652-K652-L652-#REF!</f>
        <v>#REF!</v>
      </c>
      <c r="N652" t="e">
        <f t="shared" si="28"/>
        <v>#REF!</v>
      </c>
    </row>
    <row r="653" spans="1:14">
      <c r="A653" s="11" t="s">
        <v>1720</v>
      </c>
      <c r="B653" s="11">
        <v>3346329459</v>
      </c>
      <c r="C653" s="11">
        <v>1350</v>
      </c>
      <c r="D653" s="11" t="s">
        <v>1721</v>
      </c>
      <c r="E653" s="11" t="s">
        <v>1497</v>
      </c>
      <c r="F653" s="11" t="s">
        <v>45</v>
      </c>
      <c r="G653" s="11" t="s">
        <v>736</v>
      </c>
      <c r="H653" s="11" t="s">
        <v>15</v>
      </c>
      <c r="I653" s="11" t="s">
        <v>16</v>
      </c>
      <c r="J653" s="47" t="s">
        <v>1712</v>
      </c>
      <c r="K653">
        <f>150*4</f>
        <v>600</v>
      </c>
      <c r="L653" t="str">
        <f t="shared" si="26"/>
        <v>250</v>
      </c>
      <c r="M653" t="e">
        <f>C653-K653-L653-#REF!</f>
        <v>#REF!</v>
      </c>
      <c r="N653" t="e">
        <f t="shared" si="28"/>
        <v>#REF!</v>
      </c>
    </row>
    <row r="654" spans="1:14">
      <c r="A654" s="11" t="s">
        <v>1747</v>
      </c>
      <c r="B654" s="11">
        <v>3349032535</v>
      </c>
      <c r="C654" s="11">
        <v>1150</v>
      </c>
      <c r="D654" s="11" t="s">
        <v>1748</v>
      </c>
      <c r="E654" s="11" t="s">
        <v>35</v>
      </c>
      <c r="F654" s="11" t="s">
        <v>1745</v>
      </c>
      <c r="G654" s="11" t="s">
        <v>1746</v>
      </c>
      <c r="H654" s="11" t="s">
        <v>41</v>
      </c>
      <c r="I654" s="11" t="s">
        <v>16</v>
      </c>
      <c r="J654" s="47" t="s">
        <v>1744</v>
      </c>
      <c r="K654">
        <f>500</f>
        <v>500</v>
      </c>
      <c r="L654" t="str">
        <f t="shared" si="26"/>
        <v>250</v>
      </c>
      <c r="M654" t="e">
        <f>C654-K654-L654-#REF!</f>
        <v>#REF!</v>
      </c>
      <c r="N654" t="e">
        <f t="shared" si="28"/>
        <v>#REF!</v>
      </c>
    </row>
    <row r="655" spans="1:14">
      <c r="A655" s="11" t="s">
        <v>1749</v>
      </c>
      <c r="B655" s="11">
        <v>0</v>
      </c>
      <c r="C655" s="11">
        <v>1150</v>
      </c>
      <c r="D655" s="11" t="s">
        <v>1755</v>
      </c>
      <c r="E655" s="11" t="s">
        <v>50</v>
      </c>
      <c r="F655" s="11" t="s">
        <v>1745</v>
      </c>
      <c r="G655" s="11" t="s">
        <v>1750</v>
      </c>
      <c r="H655" s="11" t="s">
        <v>41</v>
      </c>
      <c r="I655" s="11" t="s">
        <v>16</v>
      </c>
      <c r="J655" s="47" t="s">
        <v>1744</v>
      </c>
      <c r="K655">
        <f>500</f>
        <v>500</v>
      </c>
      <c r="L655" t="str">
        <f t="shared" si="26"/>
        <v>150</v>
      </c>
      <c r="M655" t="e">
        <f>C655-K655-L655-#REF!</f>
        <v>#REF!</v>
      </c>
      <c r="N655" t="e">
        <f t="shared" si="28"/>
        <v>#REF!</v>
      </c>
    </row>
    <row r="656" spans="1:14">
      <c r="A656" s="11" t="s">
        <v>1754</v>
      </c>
      <c r="B656" s="11">
        <v>3363480170</v>
      </c>
      <c r="C656" s="11">
        <v>2600</v>
      </c>
      <c r="D656" s="11" t="s">
        <v>1753</v>
      </c>
      <c r="E656" s="11" t="s">
        <v>50</v>
      </c>
      <c r="F656" s="11" t="s">
        <v>1752</v>
      </c>
      <c r="G656" s="11" t="s">
        <v>1751</v>
      </c>
      <c r="H656" s="11" t="s">
        <v>41</v>
      </c>
      <c r="I656" s="11" t="s">
        <v>16</v>
      </c>
      <c r="J656" s="47" t="s">
        <v>1744</v>
      </c>
      <c r="K656">
        <f>2200</f>
        <v>2200</v>
      </c>
      <c r="L656">
        <v>0</v>
      </c>
      <c r="M656" t="e">
        <f>C656-K656-L656-#REF!</f>
        <v>#REF!</v>
      </c>
      <c r="N656" t="e">
        <f t="shared" si="28"/>
        <v>#REF!</v>
      </c>
    </row>
    <row r="657" spans="1:14">
      <c r="A657" s="11" t="s">
        <v>1756</v>
      </c>
      <c r="B657" s="11">
        <v>3312302971</v>
      </c>
      <c r="C657" s="11">
        <v>1300</v>
      </c>
      <c r="D657" s="11" t="s">
        <v>1757</v>
      </c>
      <c r="E657" s="11" t="s">
        <v>50</v>
      </c>
      <c r="F657" s="11" t="s">
        <v>45</v>
      </c>
      <c r="G657" s="11" t="s">
        <v>736</v>
      </c>
      <c r="H657" s="11" t="s">
        <v>15</v>
      </c>
      <c r="I657" s="11" t="s">
        <v>16</v>
      </c>
      <c r="J657" s="47" t="s">
        <v>1758</v>
      </c>
      <c r="K657">
        <f>155*4</f>
        <v>620</v>
      </c>
      <c r="L657" t="str">
        <f t="shared" si="26"/>
        <v>150</v>
      </c>
      <c r="M657" t="e">
        <f>C657-K657-L657-#REF!</f>
        <v>#REF!</v>
      </c>
      <c r="N657" t="e">
        <f t="shared" si="28"/>
        <v>#REF!</v>
      </c>
    </row>
    <row r="658" spans="1:14">
      <c r="A658" t="s">
        <v>1766</v>
      </c>
      <c r="B658">
        <v>3215033870</v>
      </c>
      <c r="C658" s="11">
        <v>830</v>
      </c>
      <c r="D658" t="s">
        <v>1767</v>
      </c>
      <c r="E658" s="11" t="s">
        <v>1768</v>
      </c>
      <c r="F658" s="11" t="s">
        <v>24</v>
      </c>
      <c r="G658" s="11" t="s">
        <v>1769</v>
      </c>
      <c r="H658" s="11" t="s">
        <v>15</v>
      </c>
      <c r="I658" s="11" t="s">
        <v>16</v>
      </c>
      <c r="J658" s="47" t="s">
        <v>1758</v>
      </c>
      <c r="K658">
        <f>200+25</f>
        <v>225</v>
      </c>
      <c r="L658" t="str">
        <f t="shared" ref="L658:L661" si="31">IF(E658="karachi","150","250")</f>
        <v>250</v>
      </c>
      <c r="M658" t="e">
        <f>C658-K658-L658-#REF!</f>
        <v>#REF!</v>
      </c>
      <c r="N658" t="e">
        <f t="shared" si="28"/>
        <v>#REF!</v>
      </c>
    </row>
    <row r="659" spans="1:14">
      <c r="A659" s="11" t="s">
        <v>1770</v>
      </c>
      <c r="B659" s="11">
        <v>3033388588</v>
      </c>
      <c r="C659" s="11">
        <v>1150</v>
      </c>
      <c r="D659" s="11" t="s">
        <v>1771</v>
      </c>
      <c r="E659" s="11" t="s">
        <v>1772</v>
      </c>
      <c r="F659" s="11" t="s">
        <v>24</v>
      </c>
      <c r="G659" s="11" t="s">
        <v>303</v>
      </c>
      <c r="H659" s="11" t="s">
        <v>15</v>
      </c>
      <c r="I659" s="11" t="s">
        <v>16</v>
      </c>
      <c r="J659" s="47" t="s">
        <v>1758</v>
      </c>
      <c r="K659">
        <f>400</f>
        <v>400</v>
      </c>
      <c r="L659" t="str">
        <f t="shared" si="31"/>
        <v>250</v>
      </c>
      <c r="M659" t="e">
        <f>C659-K659-L659-#REF!</f>
        <v>#REF!</v>
      </c>
      <c r="N659" t="e">
        <f t="shared" si="28"/>
        <v>#REF!</v>
      </c>
    </row>
    <row r="660" spans="1:14">
      <c r="A660" s="11" t="s">
        <v>1773</v>
      </c>
      <c r="B660" s="11">
        <v>3338646161</v>
      </c>
      <c r="C660" s="11">
        <v>1120</v>
      </c>
      <c r="D660" s="11" t="s">
        <v>1774</v>
      </c>
      <c r="E660" s="11" t="s">
        <v>280</v>
      </c>
      <c r="F660" s="11"/>
      <c r="G660" s="11"/>
      <c r="H660" s="11"/>
      <c r="I660" s="11" t="s">
        <v>16</v>
      </c>
      <c r="J660" s="47" t="s">
        <v>1758</v>
      </c>
      <c r="L660" t="str">
        <f t="shared" si="31"/>
        <v>250</v>
      </c>
      <c r="M660" t="e">
        <f>C660-K660-L660-#REF!</f>
        <v>#REF!</v>
      </c>
      <c r="N660" t="e">
        <f t="shared" si="28"/>
        <v>#REF!</v>
      </c>
    </row>
    <row r="661" spans="1:14">
      <c r="A661" s="11" t="s">
        <v>1775</v>
      </c>
      <c r="B661" s="11">
        <v>3150757000</v>
      </c>
      <c r="C661" s="11">
        <v>1800</v>
      </c>
      <c r="D661" s="11" t="s">
        <v>1776</v>
      </c>
      <c r="E661" s="11" t="s">
        <v>30</v>
      </c>
      <c r="F661" s="11" t="s">
        <v>45</v>
      </c>
      <c r="G661" s="11" t="s">
        <v>1777</v>
      </c>
      <c r="H661" s="11" t="s">
        <v>41</v>
      </c>
      <c r="I661" s="11" t="s">
        <v>16</v>
      </c>
      <c r="J661" s="47" t="s">
        <v>1758</v>
      </c>
      <c r="K661">
        <f>280*5</f>
        <v>1400</v>
      </c>
      <c r="L661" t="str">
        <f t="shared" si="31"/>
        <v>250</v>
      </c>
      <c r="M661" t="e">
        <f>C661-K661-L661-#REF!</f>
        <v>#REF!</v>
      </c>
      <c r="N661" t="e">
        <f t="shared" si="28"/>
        <v>#REF!</v>
      </c>
    </row>
    <row r="662" spans="1:14">
      <c r="A662" s="11" t="s">
        <v>1762</v>
      </c>
      <c r="B662" s="11">
        <v>3002936283</v>
      </c>
      <c r="C662" s="11">
        <v>1100</v>
      </c>
      <c r="D662" s="11" t="s">
        <v>1763</v>
      </c>
      <c r="E662" s="11" t="s">
        <v>125</v>
      </c>
      <c r="F662" s="11" t="s">
        <v>24</v>
      </c>
      <c r="G662" s="11" t="s">
        <v>303</v>
      </c>
      <c r="H662" s="11" t="s">
        <v>15</v>
      </c>
      <c r="I662" s="11" t="s">
        <v>16</v>
      </c>
      <c r="J662" s="47" t="s">
        <v>1761</v>
      </c>
      <c r="K662">
        <f>400</f>
        <v>400</v>
      </c>
      <c r="L662" t="str">
        <f t="shared" si="26"/>
        <v>250</v>
      </c>
      <c r="M662" t="e">
        <f>C662-K662-L662-#REF!</f>
        <v>#REF!</v>
      </c>
      <c r="N662" t="e">
        <f t="shared" si="28"/>
        <v>#REF!</v>
      </c>
    </row>
    <row r="663" spans="1:14">
      <c r="A663" s="11" t="s">
        <v>1764</v>
      </c>
      <c r="B663" s="59">
        <v>3112612853</v>
      </c>
      <c r="C663" s="11">
        <v>1050</v>
      </c>
      <c r="D663" s="11" t="s">
        <v>1765</v>
      </c>
      <c r="E663" s="11" t="s">
        <v>713</v>
      </c>
      <c r="F663" s="11" t="s">
        <v>24</v>
      </c>
      <c r="G663" s="11" t="s">
        <v>303</v>
      </c>
      <c r="H663" s="11" t="s">
        <v>15</v>
      </c>
      <c r="I663" s="11" t="s">
        <v>16</v>
      </c>
      <c r="J663" s="47" t="s">
        <v>1761</v>
      </c>
      <c r="K663">
        <f>400</f>
        <v>400</v>
      </c>
      <c r="L663" t="str">
        <f t="shared" si="26"/>
        <v>150</v>
      </c>
      <c r="M663" t="e">
        <f>C663-K663-L663-#REF!</f>
        <v>#REF!</v>
      </c>
      <c r="N663" t="e">
        <f t="shared" si="28"/>
        <v>#REF!</v>
      </c>
    </row>
    <row r="664" spans="1:14">
      <c r="A664" s="11" t="s">
        <v>1778</v>
      </c>
      <c r="B664" s="11">
        <v>3115067543</v>
      </c>
      <c r="C664" s="11">
        <v>1190</v>
      </c>
      <c r="D664" s="11" t="s">
        <v>1779</v>
      </c>
      <c r="E664" s="11" t="s">
        <v>12</v>
      </c>
      <c r="F664" s="11" t="s">
        <v>45</v>
      </c>
      <c r="G664" s="11" t="s">
        <v>348</v>
      </c>
      <c r="H664" s="11" t="s">
        <v>15</v>
      </c>
      <c r="I664" s="11" t="s">
        <v>16</v>
      </c>
      <c r="J664" s="47" t="s">
        <v>1761</v>
      </c>
      <c r="K664">
        <f>(125*4)+160</f>
        <v>660</v>
      </c>
      <c r="L664" t="str">
        <f t="shared" ref="L664" si="32">IF(E664="karachi","150","250")</f>
        <v>250</v>
      </c>
      <c r="M664" t="e">
        <f>C664-K664-L664-#REF!</f>
        <v>#REF!</v>
      </c>
      <c r="N664" t="e">
        <f t="shared" si="28"/>
        <v>#REF!</v>
      </c>
    </row>
    <row r="665" spans="1:14">
      <c r="A665" s="57" t="s">
        <v>1783</v>
      </c>
      <c r="B665" s="57">
        <v>3364501822</v>
      </c>
      <c r="C665" s="57">
        <v>950</v>
      </c>
      <c r="D665" s="57" t="s">
        <v>1782</v>
      </c>
      <c r="E665" s="57" t="s">
        <v>148</v>
      </c>
      <c r="F665" s="57" t="s">
        <v>1781</v>
      </c>
      <c r="G665" s="57" t="s">
        <v>1780</v>
      </c>
      <c r="H665" s="57" t="s">
        <v>41</v>
      </c>
      <c r="I665" s="57" t="s">
        <v>122</v>
      </c>
      <c r="J665" s="75" t="s">
        <v>1761</v>
      </c>
      <c r="K665">
        <v>200</v>
      </c>
      <c r="L665" t="str">
        <f t="shared" si="26"/>
        <v>250</v>
      </c>
      <c r="M665" t="e">
        <f>C665-K665-L665-#REF!</f>
        <v>#REF!</v>
      </c>
      <c r="N665" t="str">
        <f t="shared" si="28"/>
        <v>Waiting For Deliver</v>
      </c>
    </row>
    <row r="666" spans="1:14">
      <c r="A666" s="11" t="s">
        <v>1794</v>
      </c>
      <c r="B666" s="11">
        <v>3088676655</v>
      </c>
      <c r="C666" s="11">
        <v>920</v>
      </c>
      <c r="D666" s="11" t="s">
        <v>1795</v>
      </c>
      <c r="E666" s="11" t="s">
        <v>30</v>
      </c>
      <c r="F666" s="11" t="s">
        <v>24</v>
      </c>
      <c r="G666" s="11" t="s">
        <v>303</v>
      </c>
      <c r="H666" s="11" t="s">
        <v>15</v>
      </c>
      <c r="I666" s="11" t="s">
        <v>16</v>
      </c>
      <c r="J666" s="47" t="s">
        <v>1796</v>
      </c>
      <c r="K666">
        <f>400</f>
        <v>400</v>
      </c>
      <c r="L666" t="str">
        <f t="shared" si="26"/>
        <v>250</v>
      </c>
      <c r="M666" t="e">
        <f>C666-K666-L666-#REF!</f>
        <v>#REF!</v>
      </c>
      <c r="N666" t="e">
        <f t="shared" si="28"/>
        <v>#REF!</v>
      </c>
    </row>
    <row r="667" spans="1:14">
      <c r="A667" s="11" t="s">
        <v>1784</v>
      </c>
      <c r="B667" s="48">
        <v>3323636764</v>
      </c>
      <c r="C667" s="11">
        <v>1310</v>
      </c>
      <c r="D667" s="11" t="s">
        <v>1785</v>
      </c>
      <c r="E667" s="11" t="s">
        <v>50</v>
      </c>
      <c r="F667" s="11" t="s">
        <v>45</v>
      </c>
      <c r="G667" s="11" t="s">
        <v>736</v>
      </c>
      <c r="H667" s="11" t="s">
        <v>15</v>
      </c>
      <c r="I667" s="11" t="s">
        <v>16</v>
      </c>
      <c r="J667" s="47" t="s">
        <v>1786</v>
      </c>
      <c r="K667">
        <f>150*4</f>
        <v>600</v>
      </c>
      <c r="L667" t="str">
        <f t="shared" si="26"/>
        <v>150</v>
      </c>
      <c r="M667" t="e">
        <f>C667-K667-L667-#REF!</f>
        <v>#REF!</v>
      </c>
      <c r="N667" t="e">
        <f t="shared" si="28"/>
        <v>#REF!</v>
      </c>
    </row>
    <row r="668" spans="1:14">
      <c r="A668" s="11" t="s">
        <v>1787</v>
      </c>
      <c r="B668" s="11">
        <v>3035684039</v>
      </c>
      <c r="C668" s="11">
        <v>1260</v>
      </c>
      <c r="D668" s="11" t="s">
        <v>1788</v>
      </c>
      <c r="E668" s="11" t="s">
        <v>1789</v>
      </c>
      <c r="F668" s="11" t="s">
        <v>515</v>
      </c>
      <c r="G668" s="11" t="s">
        <v>1790</v>
      </c>
      <c r="H668" s="11" t="s">
        <v>15</v>
      </c>
      <c r="I668" s="11" t="s">
        <v>16</v>
      </c>
      <c r="J668" s="47" t="s">
        <v>1786</v>
      </c>
      <c r="K668">
        <f>500</f>
        <v>500</v>
      </c>
      <c r="L668" t="str">
        <f t="shared" si="26"/>
        <v>250</v>
      </c>
      <c r="M668" t="e">
        <f>C668-K668-L668-#REF!</f>
        <v>#REF!</v>
      </c>
      <c r="N668" t="e">
        <f t="shared" si="28"/>
        <v>#REF!</v>
      </c>
    </row>
    <row r="669" spans="1:14">
      <c r="A669" s="11" t="s">
        <v>1791</v>
      </c>
      <c r="B669" s="11">
        <v>3324545458</v>
      </c>
      <c r="C669" s="11">
        <v>850</v>
      </c>
      <c r="D669" s="11" t="s">
        <v>1792</v>
      </c>
      <c r="E669" s="11" t="s">
        <v>1793</v>
      </c>
      <c r="F669" s="11" t="s">
        <v>24</v>
      </c>
      <c r="G669" s="11" t="s">
        <v>1769</v>
      </c>
      <c r="H669" s="11" t="s">
        <v>15</v>
      </c>
      <c r="I669" s="11" t="s">
        <v>16</v>
      </c>
      <c r="J669" s="47" t="s">
        <v>1786</v>
      </c>
      <c r="K669">
        <f>200+25</f>
        <v>225</v>
      </c>
      <c r="L669" t="str">
        <f t="shared" si="26"/>
        <v>250</v>
      </c>
      <c r="M669" t="e">
        <f>C669-K669-L669-#REF!</f>
        <v>#REF!</v>
      </c>
      <c r="N669" t="e">
        <f t="shared" si="28"/>
        <v>#REF!</v>
      </c>
    </row>
    <row r="670" spans="1:14">
      <c r="A670" s="11" t="s">
        <v>1800</v>
      </c>
      <c r="B670" s="11">
        <v>3321323232</v>
      </c>
      <c r="C670" s="11">
        <v>850</v>
      </c>
      <c r="D670" s="11" t="s">
        <v>1799</v>
      </c>
      <c r="E670" s="11" t="s">
        <v>1798</v>
      </c>
      <c r="F670" s="11" t="s">
        <v>24</v>
      </c>
      <c r="G670" s="11" t="s">
        <v>1769</v>
      </c>
      <c r="H670" s="11" t="s">
        <v>15</v>
      </c>
      <c r="I670" s="11" t="s">
        <v>16</v>
      </c>
      <c r="J670" s="47" t="s">
        <v>1797</v>
      </c>
      <c r="K670">
        <f>200+25</f>
        <v>225</v>
      </c>
      <c r="L670" t="str">
        <f t="shared" si="26"/>
        <v>250</v>
      </c>
      <c r="M670" t="e">
        <f>C670-K670-L670-#REF!</f>
        <v>#REF!</v>
      </c>
      <c r="N670" t="e">
        <f t="shared" si="28"/>
        <v>#REF!</v>
      </c>
    </row>
    <row r="671" spans="1:14">
      <c r="A671" s="11" t="s">
        <v>819</v>
      </c>
      <c r="B671" s="11">
        <v>3432363727</v>
      </c>
      <c r="C671" s="11">
        <v>1800</v>
      </c>
      <c r="D671" s="11" t="s">
        <v>1802</v>
      </c>
      <c r="E671" s="11" t="s">
        <v>50</v>
      </c>
      <c r="F671" s="11" t="s">
        <v>45</v>
      </c>
      <c r="G671" s="11" t="s">
        <v>1777</v>
      </c>
      <c r="H671" s="11" t="s">
        <v>41</v>
      </c>
      <c r="I671" s="11" t="s">
        <v>16</v>
      </c>
      <c r="J671" s="47" t="s">
        <v>1801</v>
      </c>
      <c r="K671">
        <v>1100</v>
      </c>
      <c r="L671" t="str">
        <f t="shared" si="26"/>
        <v>150</v>
      </c>
      <c r="M671" t="e">
        <f>C671-K671-L671-#REF!</f>
        <v>#REF!</v>
      </c>
      <c r="N671" t="e">
        <f t="shared" si="28"/>
        <v>#REF!</v>
      </c>
    </row>
    <row r="672" spans="1:14">
      <c r="A672" s="11" t="s">
        <v>1805</v>
      </c>
      <c r="B672" s="11">
        <v>3216061942</v>
      </c>
      <c r="C672" s="11">
        <v>1200</v>
      </c>
      <c r="D672" s="11" t="s">
        <v>1804</v>
      </c>
      <c r="E672" s="11" t="s">
        <v>50</v>
      </c>
      <c r="F672" s="11" t="s">
        <v>24</v>
      </c>
      <c r="G672" s="11" t="s">
        <v>1340</v>
      </c>
      <c r="H672" s="11" t="s">
        <v>15</v>
      </c>
      <c r="I672" s="11" t="s">
        <v>16</v>
      </c>
      <c r="J672" s="47" t="s">
        <v>1803</v>
      </c>
      <c r="K672">
        <f>370</f>
        <v>370</v>
      </c>
      <c r="L672" t="str">
        <f t="shared" si="26"/>
        <v>150</v>
      </c>
      <c r="M672" t="e">
        <f>C672-K672-L672-#REF!</f>
        <v>#REF!</v>
      </c>
      <c r="N672" t="e">
        <f t="shared" si="28"/>
        <v>#REF!</v>
      </c>
    </row>
    <row r="673" spans="1:14">
      <c r="A673" s="11" t="s">
        <v>1806</v>
      </c>
      <c r="B673" s="11">
        <v>3014995001</v>
      </c>
      <c r="C673" s="11">
        <v>1130</v>
      </c>
      <c r="D673" s="11" t="s">
        <v>1807</v>
      </c>
      <c r="E673" s="11" t="s">
        <v>23</v>
      </c>
      <c r="F673" s="11" t="s">
        <v>45</v>
      </c>
      <c r="G673" s="11" t="s">
        <v>736</v>
      </c>
      <c r="H673" s="11" t="s">
        <v>15</v>
      </c>
      <c r="I673" s="11" t="s">
        <v>16</v>
      </c>
      <c r="J673" s="47" t="s">
        <v>1803</v>
      </c>
      <c r="K673">
        <f>600</f>
        <v>600</v>
      </c>
      <c r="L673" t="str">
        <f t="shared" si="26"/>
        <v>250</v>
      </c>
      <c r="M673" t="e">
        <f>C673-K673-L673-#REF!</f>
        <v>#REF!</v>
      </c>
      <c r="N673" t="e">
        <f t="shared" si="28"/>
        <v>#REF!</v>
      </c>
    </row>
    <row r="674" spans="1:14">
      <c r="A674" s="11" t="s">
        <v>1808</v>
      </c>
      <c r="B674" s="11">
        <v>3088074457</v>
      </c>
      <c r="C674" s="11">
        <v>1370</v>
      </c>
      <c r="D674" s="11" t="s">
        <v>1809</v>
      </c>
      <c r="E674" s="11" t="s">
        <v>174</v>
      </c>
      <c r="F674" s="11" t="s">
        <v>45</v>
      </c>
      <c r="G674" s="11" t="s">
        <v>736</v>
      </c>
      <c r="H674" s="11" t="s">
        <v>15</v>
      </c>
      <c r="I674" s="11" t="s">
        <v>16</v>
      </c>
      <c r="J674" s="47" t="s">
        <v>1803</v>
      </c>
      <c r="K674">
        <f>600</f>
        <v>600</v>
      </c>
      <c r="L674" t="str">
        <f t="shared" si="26"/>
        <v>250</v>
      </c>
      <c r="M674" t="e">
        <f>C674-K674-L674-#REF!</f>
        <v>#REF!</v>
      </c>
      <c r="N674" t="e">
        <f t="shared" si="28"/>
        <v>#REF!</v>
      </c>
    </row>
    <row r="675" spans="1:14">
      <c r="A675" s="11" t="s">
        <v>1810</v>
      </c>
      <c r="B675" s="11">
        <v>3364354519</v>
      </c>
      <c r="C675" s="11">
        <v>1350</v>
      </c>
      <c r="D675" s="11" t="s">
        <v>1811</v>
      </c>
      <c r="E675" s="11" t="s">
        <v>23</v>
      </c>
      <c r="F675" s="11" t="s">
        <v>24</v>
      </c>
      <c r="G675" s="11" t="s">
        <v>303</v>
      </c>
      <c r="H675" s="11" t="s">
        <v>15</v>
      </c>
      <c r="I675" s="11" t="s">
        <v>16</v>
      </c>
      <c r="J675" s="47" t="s">
        <v>1803</v>
      </c>
      <c r="K675">
        <v>400</v>
      </c>
      <c r="L675" t="str">
        <f t="shared" si="26"/>
        <v>250</v>
      </c>
      <c r="M675" t="e">
        <f>C675-K675-L675-#REF!</f>
        <v>#REF!</v>
      </c>
      <c r="N675" t="e">
        <f t="shared" si="28"/>
        <v>#REF!</v>
      </c>
    </row>
    <row r="676" spans="1:14">
      <c r="A676" s="11" t="s">
        <v>1814</v>
      </c>
      <c r="B676" s="59">
        <v>3350133886</v>
      </c>
      <c r="C676" s="11">
        <v>1270</v>
      </c>
      <c r="D676" s="11" t="s">
        <v>1813</v>
      </c>
      <c r="E676" s="11" t="s">
        <v>50</v>
      </c>
      <c r="F676" s="11" t="s">
        <v>45</v>
      </c>
      <c r="G676" s="11" t="s">
        <v>736</v>
      </c>
      <c r="H676" s="11" t="s">
        <v>15</v>
      </c>
      <c r="I676" s="11" t="s">
        <v>16</v>
      </c>
      <c r="J676" s="47" t="s">
        <v>1812</v>
      </c>
      <c r="K676">
        <v>600</v>
      </c>
      <c r="L676" t="str">
        <f t="shared" si="26"/>
        <v>150</v>
      </c>
      <c r="M676" t="e">
        <f>C676-K676-L676-#REF!</f>
        <v>#REF!</v>
      </c>
      <c r="N676" t="e">
        <f t="shared" si="28"/>
        <v>#REF!</v>
      </c>
    </row>
    <row r="677" spans="1:14">
      <c r="A677" s="11" t="s">
        <v>1818</v>
      </c>
      <c r="B677" s="11">
        <v>3455886396</v>
      </c>
      <c r="C677" s="11">
        <v>1130</v>
      </c>
      <c r="D677" s="11" t="s">
        <v>1819</v>
      </c>
      <c r="E677" s="11" t="s">
        <v>12</v>
      </c>
      <c r="F677" s="11" t="s">
        <v>24</v>
      </c>
      <c r="G677" s="11" t="s">
        <v>303</v>
      </c>
      <c r="H677" s="11" t="s">
        <v>15</v>
      </c>
      <c r="I677" s="11" t="s">
        <v>16</v>
      </c>
      <c r="J677" s="47" t="s">
        <v>1812</v>
      </c>
      <c r="K677">
        <f>400</f>
        <v>400</v>
      </c>
      <c r="L677" t="str">
        <f t="shared" si="26"/>
        <v>250</v>
      </c>
      <c r="M677" t="e">
        <f>C677-K677-L677-#REF!</f>
        <v>#REF!</v>
      </c>
      <c r="N677" t="e">
        <f t="shared" si="28"/>
        <v>#REF!</v>
      </c>
    </row>
    <row r="678" spans="1:14">
      <c r="A678" s="11" t="s">
        <v>1815</v>
      </c>
      <c r="B678" s="11">
        <v>3000788684</v>
      </c>
      <c r="C678" s="11">
        <v>1150</v>
      </c>
      <c r="D678" s="11" t="s">
        <v>1816</v>
      </c>
      <c r="E678" s="11" t="s">
        <v>1817</v>
      </c>
      <c r="F678" s="11" t="s">
        <v>24</v>
      </c>
      <c r="G678" s="11" t="s">
        <v>303</v>
      </c>
      <c r="H678" s="11" t="s">
        <v>15</v>
      </c>
      <c r="I678" s="11" t="s">
        <v>16</v>
      </c>
      <c r="J678" s="47" t="s">
        <v>1812</v>
      </c>
      <c r="K678">
        <f>400</f>
        <v>400</v>
      </c>
      <c r="L678" t="str">
        <f t="shared" si="26"/>
        <v>250</v>
      </c>
      <c r="M678" t="e">
        <f>C678-K678-L678-#REF!</f>
        <v>#REF!</v>
      </c>
      <c r="N678" t="e">
        <f t="shared" si="28"/>
        <v>#REF!</v>
      </c>
    </row>
    <row r="679" spans="1:14">
      <c r="A679" s="11" t="s">
        <v>1823</v>
      </c>
      <c r="B679" s="11">
        <v>3332115471</v>
      </c>
      <c r="C679" s="11">
        <v>2000</v>
      </c>
      <c r="D679" s="11" t="s">
        <v>1820</v>
      </c>
      <c r="E679" s="11" t="s">
        <v>50</v>
      </c>
      <c r="F679" s="11" t="s">
        <v>1745</v>
      </c>
      <c r="G679" s="11" t="s">
        <v>1821</v>
      </c>
      <c r="H679" s="11" t="s">
        <v>41</v>
      </c>
      <c r="I679" s="11" t="s">
        <v>16</v>
      </c>
      <c r="J679" s="47" t="s">
        <v>1822</v>
      </c>
      <c r="K679">
        <f>1100</f>
        <v>1100</v>
      </c>
      <c r="L679">
        <v>200</v>
      </c>
      <c r="M679" t="e">
        <f>C679-K679-L679-#REF!</f>
        <v>#REF!</v>
      </c>
      <c r="N679" t="e">
        <f t="shared" si="28"/>
        <v>#REF!</v>
      </c>
    </row>
    <row r="680" spans="1:14">
      <c r="A680" s="11" t="s">
        <v>1824</v>
      </c>
      <c r="B680" s="11">
        <v>3112795026</v>
      </c>
      <c r="C680" s="11">
        <v>1270</v>
      </c>
      <c r="D680" s="11" t="s">
        <v>1617</v>
      </c>
      <c r="E680" s="11" t="s">
        <v>50</v>
      </c>
      <c r="F680" s="11" t="s">
        <v>45</v>
      </c>
      <c r="G680" s="11" t="s">
        <v>736</v>
      </c>
      <c r="H680" s="11" t="s">
        <v>15</v>
      </c>
      <c r="I680" s="11" t="s">
        <v>16</v>
      </c>
      <c r="J680" s="47" t="s">
        <v>1822</v>
      </c>
      <c r="K680">
        <f>600</f>
        <v>600</v>
      </c>
      <c r="L680" t="str">
        <f t="shared" si="26"/>
        <v>150</v>
      </c>
      <c r="M680" t="e">
        <f>C680-K680-L680-#REF!</f>
        <v>#REF!</v>
      </c>
      <c r="N680" t="e">
        <f t="shared" si="28"/>
        <v>#REF!</v>
      </c>
    </row>
    <row r="681" spans="1:14">
      <c r="A681" s="11" t="s">
        <v>1825</v>
      </c>
      <c r="B681" s="11">
        <v>3339101293</v>
      </c>
      <c r="C681" s="11">
        <v>1190</v>
      </c>
      <c r="D681" s="11" t="s">
        <v>1826</v>
      </c>
      <c r="E681" s="11" t="s">
        <v>35</v>
      </c>
      <c r="F681" s="11" t="s">
        <v>45</v>
      </c>
      <c r="G681" s="11" t="s">
        <v>348</v>
      </c>
      <c r="H681" s="11" t="s">
        <v>15</v>
      </c>
      <c r="I681" s="11" t="s">
        <v>16</v>
      </c>
      <c r="J681" s="39">
        <v>42404</v>
      </c>
      <c r="K681">
        <f>(120*4)+120</f>
        <v>600</v>
      </c>
      <c r="L681" t="str">
        <f t="shared" ref="L681:L744" si="33">IF(E681="karachi","150","250")</f>
        <v>250</v>
      </c>
      <c r="M681" t="e">
        <f>C681-K681-L681-#REF!</f>
        <v>#REF!</v>
      </c>
      <c r="N681" t="e">
        <f t="shared" si="28"/>
        <v>#REF!</v>
      </c>
    </row>
    <row r="682" spans="1:14">
      <c r="A682" s="55" t="s">
        <v>1827</v>
      </c>
      <c r="B682" s="55">
        <v>3350456292</v>
      </c>
      <c r="C682" s="55">
        <v>1260</v>
      </c>
      <c r="D682" s="55" t="s">
        <v>1828</v>
      </c>
      <c r="E682" s="55" t="s">
        <v>120</v>
      </c>
      <c r="F682" s="55" t="s">
        <v>45</v>
      </c>
      <c r="G682" s="55" t="s">
        <v>1829</v>
      </c>
      <c r="H682" s="55" t="s">
        <v>15</v>
      </c>
      <c r="I682" s="55" t="s">
        <v>122</v>
      </c>
      <c r="J682" s="56">
        <v>42404</v>
      </c>
      <c r="K682">
        <f>(125*4)+(15*4)</f>
        <v>560</v>
      </c>
      <c r="L682" t="str">
        <f t="shared" si="33"/>
        <v>250</v>
      </c>
      <c r="M682" t="e">
        <f>C682-K682-L682-#REF!</f>
        <v>#REF!</v>
      </c>
      <c r="N682" t="str">
        <f t="shared" si="28"/>
        <v>Waiting For Deliver</v>
      </c>
    </row>
    <row r="683" spans="1:14">
      <c r="A683" s="11" t="s">
        <v>1693</v>
      </c>
      <c r="B683" s="11">
        <v>3006854906</v>
      </c>
      <c r="C683" s="11">
        <v>800</v>
      </c>
      <c r="D683" s="11" t="s">
        <v>1694</v>
      </c>
      <c r="E683" s="11" t="s">
        <v>272</v>
      </c>
      <c r="F683" s="11" t="s">
        <v>24</v>
      </c>
      <c r="G683" s="11" t="s">
        <v>1611</v>
      </c>
      <c r="H683" s="11" t="s">
        <v>15</v>
      </c>
      <c r="I683" s="11" t="s">
        <v>16</v>
      </c>
      <c r="J683" s="39">
        <v>42404</v>
      </c>
      <c r="K683">
        <f>300</f>
        <v>300</v>
      </c>
      <c r="L683" t="str">
        <f t="shared" si="33"/>
        <v>250</v>
      </c>
      <c r="M683" t="e">
        <f>C683-K683-L683-#REF!</f>
        <v>#REF!</v>
      </c>
      <c r="N683" t="e">
        <f t="shared" si="28"/>
        <v>#REF!</v>
      </c>
    </row>
    <row r="684" spans="1:14">
      <c r="A684" s="11" t="s">
        <v>1830</v>
      </c>
      <c r="B684" s="11">
        <v>3009457722</v>
      </c>
      <c r="C684" s="11">
        <v>1130</v>
      </c>
      <c r="D684" s="11" t="s">
        <v>1831</v>
      </c>
      <c r="E684" s="11" t="s">
        <v>23</v>
      </c>
      <c r="F684" s="11" t="s">
        <v>24</v>
      </c>
      <c r="G684" s="11" t="s">
        <v>303</v>
      </c>
      <c r="H684" s="11" t="s">
        <v>15</v>
      </c>
      <c r="I684" s="11" t="s">
        <v>16</v>
      </c>
      <c r="J684" s="39">
        <v>42404</v>
      </c>
      <c r="K684">
        <f>400</f>
        <v>400</v>
      </c>
      <c r="L684" t="str">
        <f t="shared" si="33"/>
        <v>250</v>
      </c>
      <c r="M684" t="e">
        <f>C684-K684-L684-#REF!</f>
        <v>#REF!</v>
      </c>
      <c r="N684" t="e">
        <f t="shared" si="28"/>
        <v>#REF!</v>
      </c>
    </row>
    <row r="685" spans="1:14">
      <c r="A685" s="11" t="s">
        <v>1832</v>
      </c>
      <c r="B685" s="11">
        <v>3135825865</v>
      </c>
      <c r="C685" s="11">
        <v>1150</v>
      </c>
      <c r="D685" s="11" t="s">
        <v>1833</v>
      </c>
      <c r="E685" s="11" t="s">
        <v>1789</v>
      </c>
      <c r="F685" s="11" t="s">
        <v>24</v>
      </c>
      <c r="G685" s="11" t="s">
        <v>303</v>
      </c>
      <c r="H685" s="11" t="s">
        <v>15</v>
      </c>
      <c r="I685" s="11" t="s">
        <v>16</v>
      </c>
      <c r="J685" s="39">
        <v>42404</v>
      </c>
      <c r="K685">
        <f>400</f>
        <v>400</v>
      </c>
      <c r="L685" t="str">
        <f t="shared" si="33"/>
        <v>250</v>
      </c>
      <c r="M685" t="e">
        <f>C685-K685-L685-#REF!</f>
        <v>#REF!</v>
      </c>
      <c r="N685" t="e">
        <f t="shared" si="28"/>
        <v>#REF!</v>
      </c>
    </row>
    <row r="686" spans="1:14">
      <c r="A686" s="11" t="s">
        <v>1834</v>
      </c>
      <c r="B686" s="59">
        <v>3222243888</v>
      </c>
      <c r="C686" s="11">
        <v>780</v>
      </c>
      <c r="D686" s="11" t="s">
        <v>1835</v>
      </c>
      <c r="E686" s="11" t="s">
        <v>50</v>
      </c>
      <c r="F686" s="11" t="s">
        <v>24</v>
      </c>
      <c r="G686" s="11" t="s">
        <v>1769</v>
      </c>
      <c r="H686" s="11" t="s">
        <v>15</v>
      </c>
      <c r="I686" s="11" t="s">
        <v>16</v>
      </c>
      <c r="J686" s="39">
        <v>42404</v>
      </c>
      <c r="K686">
        <f>225</f>
        <v>225</v>
      </c>
      <c r="L686" t="str">
        <f t="shared" si="33"/>
        <v>150</v>
      </c>
      <c r="M686" t="e">
        <f>C686-K686-L686-#REF!</f>
        <v>#REF!</v>
      </c>
      <c r="N686" t="e">
        <f t="shared" si="28"/>
        <v>#REF!</v>
      </c>
    </row>
    <row r="687" spans="1:14">
      <c r="A687" s="11" t="s">
        <v>1836</v>
      </c>
      <c r="B687" s="11">
        <v>3361847076</v>
      </c>
      <c r="C687" s="11">
        <v>1190</v>
      </c>
      <c r="D687" s="11" t="s">
        <v>1837</v>
      </c>
      <c r="E687" s="11" t="s">
        <v>50</v>
      </c>
      <c r="F687" s="11" t="s">
        <v>45</v>
      </c>
      <c r="G687" s="11" t="s">
        <v>1829</v>
      </c>
      <c r="H687" s="11" t="s">
        <v>15</v>
      </c>
      <c r="I687" s="11" t="s">
        <v>16</v>
      </c>
      <c r="J687" s="39">
        <v>42404</v>
      </c>
      <c r="K687">
        <f>(125*4)+(15*4)</f>
        <v>560</v>
      </c>
      <c r="L687" t="str">
        <f t="shared" si="33"/>
        <v>150</v>
      </c>
      <c r="M687" t="e">
        <f>C687-K687-L687-#REF!</f>
        <v>#REF!</v>
      </c>
      <c r="N687" t="e">
        <f t="shared" ref="N687:N750" si="34">IF(I687="deliver",M687,"Waiting For Deliver")</f>
        <v>#REF!</v>
      </c>
    </row>
    <row r="688" spans="1:14">
      <c r="A688" s="11" t="s">
        <v>1838</v>
      </c>
      <c r="B688" s="59">
        <v>3343682694</v>
      </c>
      <c r="C688" s="11">
        <v>1310</v>
      </c>
      <c r="D688" s="11" t="s">
        <v>1839</v>
      </c>
      <c r="E688" s="11" t="s">
        <v>50</v>
      </c>
      <c r="F688" s="11" t="s">
        <v>45</v>
      </c>
      <c r="G688" s="11" t="s">
        <v>736</v>
      </c>
      <c r="H688" s="11" t="s">
        <v>15</v>
      </c>
      <c r="I688" s="11" t="s">
        <v>16</v>
      </c>
      <c r="J688" s="39">
        <v>42404</v>
      </c>
      <c r="K688">
        <f>620</f>
        <v>620</v>
      </c>
      <c r="L688" t="str">
        <f t="shared" si="33"/>
        <v>150</v>
      </c>
      <c r="M688" t="e">
        <f>C688-K688-L688-#REF!</f>
        <v>#REF!</v>
      </c>
      <c r="N688" t="e">
        <f t="shared" si="34"/>
        <v>#REF!</v>
      </c>
    </row>
    <row r="689" spans="1:14">
      <c r="A689" s="11" t="s">
        <v>1840</v>
      </c>
      <c r="B689" s="11">
        <v>3042602038</v>
      </c>
      <c r="C689" s="11">
        <v>1150</v>
      </c>
      <c r="D689" s="11" t="s">
        <v>1841</v>
      </c>
      <c r="E689" s="11" t="s">
        <v>50</v>
      </c>
      <c r="F689" s="11" t="s">
        <v>24</v>
      </c>
      <c r="G689" s="11" t="s">
        <v>303</v>
      </c>
      <c r="H689" s="11" t="s">
        <v>15</v>
      </c>
      <c r="I689" s="11" t="s">
        <v>16</v>
      </c>
      <c r="J689" s="39">
        <v>42495</v>
      </c>
      <c r="K689">
        <f>400</f>
        <v>400</v>
      </c>
      <c r="L689" t="str">
        <f t="shared" si="33"/>
        <v>150</v>
      </c>
      <c r="M689" t="e">
        <f>C689-K689-L689-#REF!</f>
        <v>#REF!</v>
      </c>
      <c r="N689" t="e">
        <f t="shared" si="34"/>
        <v>#REF!</v>
      </c>
    </row>
    <row r="690" spans="1:14">
      <c r="A690" s="11" t="s">
        <v>1842</v>
      </c>
      <c r="B690" s="11">
        <v>3137342090</v>
      </c>
      <c r="C690" s="11">
        <v>1130</v>
      </c>
      <c r="D690" s="11" t="s">
        <v>1845</v>
      </c>
      <c r="E690" s="11" t="s">
        <v>57</v>
      </c>
      <c r="F690" s="11" t="s">
        <v>24</v>
      </c>
      <c r="G690" s="11" t="s">
        <v>303</v>
      </c>
      <c r="H690" s="11" t="s">
        <v>15</v>
      </c>
      <c r="I690" s="11" t="s">
        <v>16</v>
      </c>
      <c r="J690" s="39">
        <v>42526</v>
      </c>
      <c r="K690">
        <f>400</f>
        <v>400</v>
      </c>
      <c r="L690" t="str">
        <f t="shared" si="33"/>
        <v>250</v>
      </c>
      <c r="M690" t="e">
        <f>C690-K690-L690-#REF!</f>
        <v>#REF!</v>
      </c>
      <c r="N690" t="e">
        <f t="shared" si="34"/>
        <v>#REF!</v>
      </c>
    </row>
    <row r="691" spans="1:14">
      <c r="A691" s="11" t="s">
        <v>1847</v>
      </c>
      <c r="B691" s="11">
        <v>3214451743</v>
      </c>
      <c r="C691" s="11">
        <v>1130</v>
      </c>
      <c r="D691" s="11" t="s">
        <v>1848</v>
      </c>
      <c r="E691" s="11" t="s">
        <v>23</v>
      </c>
      <c r="F691" s="11" t="s">
        <v>24</v>
      </c>
      <c r="G691" s="11" t="s">
        <v>303</v>
      </c>
      <c r="H691" s="11" t="s">
        <v>15</v>
      </c>
      <c r="I691" s="11" t="s">
        <v>16</v>
      </c>
      <c r="J691" s="39">
        <v>42526</v>
      </c>
      <c r="K691">
        <f>400</f>
        <v>400</v>
      </c>
      <c r="L691" t="str">
        <f t="shared" si="33"/>
        <v>250</v>
      </c>
      <c r="M691" t="e">
        <f>C691-K691-L691-#REF!</f>
        <v>#REF!</v>
      </c>
      <c r="N691" t="e">
        <f t="shared" si="34"/>
        <v>#REF!</v>
      </c>
    </row>
    <row r="692" spans="1:14">
      <c r="A692" s="11" t="s">
        <v>1849</v>
      </c>
      <c r="B692" s="11">
        <v>3317057150</v>
      </c>
      <c r="C692" s="11">
        <v>1130</v>
      </c>
      <c r="D692" s="11" t="s">
        <v>1850</v>
      </c>
      <c r="E692" s="11" t="s">
        <v>1497</v>
      </c>
      <c r="F692" s="11" t="s">
        <v>24</v>
      </c>
      <c r="G692" s="11" t="s">
        <v>303</v>
      </c>
      <c r="H692" s="11" t="s">
        <v>15</v>
      </c>
      <c r="I692" s="11" t="s">
        <v>16</v>
      </c>
      <c r="J692" s="39">
        <v>42526</v>
      </c>
      <c r="K692">
        <f>400</f>
        <v>400</v>
      </c>
      <c r="L692" t="str">
        <f t="shared" si="33"/>
        <v>250</v>
      </c>
      <c r="M692" t="e">
        <f>C692-K692-L692-#REF!</f>
        <v>#REF!</v>
      </c>
      <c r="N692" t="e">
        <f t="shared" si="34"/>
        <v>#REF!</v>
      </c>
    </row>
    <row r="693" spans="1:14">
      <c r="A693" s="11" t="s">
        <v>1851</v>
      </c>
      <c r="B693" s="11">
        <v>3006339266</v>
      </c>
      <c r="C693" s="11">
        <v>1130</v>
      </c>
      <c r="D693" s="11" t="s">
        <v>1852</v>
      </c>
      <c r="E693" s="11" t="s">
        <v>1497</v>
      </c>
      <c r="F693" s="11" t="s">
        <v>24</v>
      </c>
      <c r="G693" s="11" t="s">
        <v>303</v>
      </c>
      <c r="H693" s="11" t="s">
        <v>15</v>
      </c>
      <c r="I693" s="11" t="s">
        <v>16</v>
      </c>
      <c r="J693" s="39">
        <v>42526</v>
      </c>
      <c r="K693">
        <f>400</f>
        <v>400</v>
      </c>
      <c r="L693" t="str">
        <f t="shared" si="33"/>
        <v>250</v>
      </c>
      <c r="M693" t="e">
        <f>C693-K693-L693-#REF!</f>
        <v>#REF!</v>
      </c>
      <c r="N693" t="e">
        <f t="shared" si="34"/>
        <v>#REF!</v>
      </c>
    </row>
    <row r="694" spans="1:14">
      <c r="A694" s="40" t="s">
        <v>1843</v>
      </c>
      <c r="B694" s="40">
        <v>3376332626</v>
      </c>
      <c r="C694" s="40">
        <v>1210</v>
      </c>
      <c r="D694" s="40" t="s">
        <v>1846</v>
      </c>
      <c r="E694" s="40" t="s">
        <v>1844</v>
      </c>
      <c r="F694" s="40" t="s">
        <v>45</v>
      </c>
      <c r="G694" s="40" t="s">
        <v>348</v>
      </c>
      <c r="H694" s="40" t="s">
        <v>15</v>
      </c>
      <c r="I694" s="40" t="s">
        <v>122</v>
      </c>
      <c r="J694" s="42">
        <v>42526</v>
      </c>
      <c r="K694" s="18">
        <f>(125*4)+120</f>
        <v>620</v>
      </c>
      <c r="L694" t="str">
        <f t="shared" si="33"/>
        <v>250</v>
      </c>
      <c r="M694" t="e">
        <f>C694-K694-L694-#REF!</f>
        <v>#REF!</v>
      </c>
      <c r="N694" t="str">
        <f t="shared" si="34"/>
        <v>Waiting For Deliver</v>
      </c>
    </row>
    <row r="695" spans="1:14">
      <c r="A695" s="11" t="s">
        <v>1853</v>
      </c>
      <c r="B695" s="11">
        <v>3033854690</v>
      </c>
      <c r="C695" s="11">
        <v>1370</v>
      </c>
      <c r="D695" s="11" t="s">
        <v>1854</v>
      </c>
      <c r="E695" s="11" t="s">
        <v>148</v>
      </c>
      <c r="F695" s="11" t="s">
        <v>45</v>
      </c>
      <c r="G695" s="11" t="s">
        <v>736</v>
      </c>
      <c r="H695" s="11" t="s">
        <v>15</v>
      </c>
      <c r="I695" s="11" t="s">
        <v>16</v>
      </c>
      <c r="J695" s="39">
        <v>42526</v>
      </c>
      <c r="K695">
        <f>(155*4)</f>
        <v>620</v>
      </c>
      <c r="L695" t="str">
        <f t="shared" si="33"/>
        <v>250</v>
      </c>
      <c r="M695" t="e">
        <f>C695-K695-L695-#REF!</f>
        <v>#REF!</v>
      </c>
      <c r="N695" t="e">
        <f t="shared" si="34"/>
        <v>#REF!</v>
      </c>
    </row>
    <row r="696" spans="1:14">
      <c r="A696" s="11" t="s">
        <v>1855</v>
      </c>
      <c r="B696" s="11">
        <v>3456000097</v>
      </c>
      <c r="C696" s="11">
        <v>1240</v>
      </c>
      <c r="D696" s="11" t="s">
        <v>1856</v>
      </c>
      <c r="E696" s="11" t="s">
        <v>23</v>
      </c>
      <c r="F696" s="11" t="s">
        <v>45</v>
      </c>
      <c r="G696" s="11" t="s">
        <v>1863</v>
      </c>
      <c r="H696" s="11" t="s">
        <v>15</v>
      </c>
      <c r="I696" s="11" t="s">
        <v>16</v>
      </c>
      <c r="J696" s="39">
        <v>42526</v>
      </c>
      <c r="K696">
        <f>(130*4)+60</f>
        <v>580</v>
      </c>
      <c r="L696" t="str">
        <f t="shared" si="33"/>
        <v>250</v>
      </c>
      <c r="M696" t="e">
        <f>C696-K696-L696-#REF!</f>
        <v>#REF!</v>
      </c>
      <c r="N696" t="e">
        <f t="shared" si="34"/>
        <v>#REF!</v>
      </c>
    </row>
    <row r="697" spans="1:14">
      <c r="A697" s="11" t="s">
        <v>1857</v>
      </c>
      <c r="B697" s="11">
        <v>3344716212</v>
      </c>
      <c r="C697" s="11">
        <v>1210</v>
      </c>
      <c r="D697" s="11" t="s">
        <v>1858</v>
      </c>
      <c r="E697" s="11" t="s">
        <v>485</v>
      </c>
      <c r="F697" s="11" t="s">
        <v>45</v>
      </c>
      <c r="G697" s="11" t="s">
        <v>348</v>
      </c>
      <c r="H697" s="11" t="s">
        <v>15</v>
      </c>
      <c r="I697" s="11" t="s">
        <v>16</v>
      </c>
      <c r="J697" s="39">
        <v>42526</v>
      </c>
      <c r="K697" s="18">
        <f>(125*4)+120</f>
        <v>620</v>
      </c>
      <c r="L697" t="str">
        <f t="shared" si="33"/>
        <v>250</v>
      </c>
      <c r="M697" t="e">
        <f>C697-K697-L697-#REF!</f>
        <v>#REF!</v>
      </c>
      <c r="N697" t="e">
        <f t="shared" si="34"/>
        <v>#REF!</v>
      </c>
    </row>
    <row r="698" spans="1:14">
      <c r="A698" s="11" t="s">
        <v>1859</v>
      </c>
      <c r="B698" s="11">
        <v>3334423914</v>
      </c>
      <c r="C698" s="11">
        <v>620</v>
      </c>
      <c r="D698" s="11" t="s">
        <v>1860</v>
      </c>
      <c r="E698" s="11" t="s">
        <v>23</v>
      </c>
      <c r="F698" s="11" t="s">
        <v>45</v>
      </c>
      <c r="G698" s="11" t="s">
        <v>1314</v>
      </c>
      <c r="H698" s="11" t="s">
        <v>15</v>
      </c>
      <c r="I698" s="11" t="s">
        <v>16</v>
      </c>
      <c r="J698" s="39">
        <v>42526</v>
      </c>
      <c r="K698">
        <f>125+100</f>
        <v>225</v>
      </c>
      <c r="L698" t="str">
        <f t="shared" si="33"/>
        <v>250</v>
      </c>
      <c r="M698" t="e">
        <f>C698-K698-L698-#REF!</f>
        <v>#REF!</v>
      </c>
      <c r="N698" t="e">
        <f t="shared" si="34"/>
        <v>#REF!</v>
      </c>
    </row>
    <row r="699" spans="1:14">
      <c r="A699" s="11" t="s">
        <v>1861</v>
      </c>
      <c r="B699" s="11">
        <v>3067766449</v>
      </c>
      <c r="C699" s="11">
        <v>1370</v>
      </c>
      <c r="D699" s="11" t="s">
        <v>1862</v>
      </c>
      <c r="E699" s="11" t="s">
        <v>1132</v>
      </c>
      <c r="F699" s="11" t="s">
        <v>45</v>
      </c>
      <c r="G699" s="11" t="s">
        <v>736</v>
      </c>
      <c r="H699" s="11" t="s">
        <v>15</v>
      </c>
      <c r="I699" s="11" t="s">
        <v>16</v>
      </c>
      <c r="J699" s="39">
        <v>42526</v>
      </c>
      <c r="K699">
        <f>620</f>
        <v>620</v>
      </c>
      <c r="L699" t="str">
        <f t="shared" si="33"/>
        <v>250</v>
      </c>
      <c r="M699" t="e">
        <f>C699-K699-L699-#REF!</f>
        <v>#REF!</v>
      </c>
      <c r="N699" t="e">
        <f t="shared" si="34"/>
        <v>#REF!</v>
      </c>
    </row>
    <row r="700" spans="1:14">
      <c r="A700" s="11" t="s">
        <v>1864</v>
      </c>
      <c r="B700" s="11">
        <v>3206212007</v>
      </c>
      <c r="C700" s="11">
        <v>4500</v>
      </c>
      <c r="D700" s="11" t="s">
        <v>1865</v>
      </c>
      <c r="E700" s="11" t="s">
        <v>120</v>
      </c>
      <c r="F700" s="11" t="s">
        <v>24</v>
      </c>
      <c r="G700" s="11" t="s">
        <v>1866</v>
      </c>
      <c r="H700" s="11" t="s">
        <v>15</v>
      </c>
      <c r="I700" s="11" t="s">
        <v>16</v>
      </c>
      <c r="J700" s="39">
        <v>42556</v>
      </c>
      <c r="K700">
        <f>(1450*2)+50</f>
        <v>2950</v>
      </c>
      <c r="L700" t="str">
        <f t="shared" si="33"/>
        <v>250</v>
      </c>
      <c r="M700" t="e">
        <f>C700-K700-L700-#REF!</f>
        <v>#REF!</v>
      </c>
      <c r="N700" t="e">
        <f t="shared" si="34"/>
        <v>#REF!</v>
      </c>
    </row>
    <row r="701" spans="1:14">
      <c r="A701" s="11" t="s">
        <v>1867</v>
      </c>
      <c r="B701" s="11">
        <v>3431751277</v>
      </c>
      <c r="C701" s="11">
        <v>1130</v>
      </c>
      <c r="D701" s="11" t="s">
        <v>1868</v>
      </c>
      <c r="E701" s="11" t="s">
        <v>1768</v>
      </c>
      <c r="F701" s="11" t="s">
        <v>24</v>
      </c>
      <c r="G701" s="11" t="s">
        <v>303</v>
      </c>
      <c r="H701" s="11" t="s">
        <v>15</v>
      </c>
      <c r="I701" s="11" t="s">
        <v>16</v>
      </c>
      <c r="J701" s="39">
        <v>42556</v>
      </c>
      <c r="K701">
        <f>400</f>
        <v>400</v>
      </c>
      <c r="L701" t="str">
        <f t="shared" si="33"/>
        <v>250</v>
      </c>
      <c r="M701" t="e">
        <f>C701-K701-L701-#REF!</f>
        <v>#REF!</v>
      </c>
      <c r="N701" t="e">
        <f t="shared" si="34"/>
        <v>#REF!</v>
      </c>
    </row>
    <row r="702" spans="1:14">
      <c r="A702" s="11" t="s">
        <v>1869</v>
      </c>
      <c r="B702" s="11">
        <v>3144607042</v>
      </c>
      <c r="C702" s="11">
        <v>1350</v>
      </c>
      <c r="D702" s="11" t="s">
        <v>1870</v>
      </c>
      <c r="E702" s="11" t="s">
        <v>1768</v>
      </c>
      <c r="F702" s="11" t="s">
        <v>45</v>
      </c>
      <c r="G702" s="11" t="s">
        <v>736</v>
      </c>
      <c r="H702" s="11" t="s">
        <v>15</v>
      </c>
      <c r="I702" s="11" t="s">
        <v>16</v>
      </c>
      <c r="J702" s="39">
        <v>42556</v>
      </c>
      <c r="K702">
        <f>620</f>
        <v>620</v>
      </c>
      <c r="L702" t="str">
        <f t="shared" si="33"/>
        <v>250</v>
      </c>
      <c r="M702" t="e">
        <f>C702-K702-L702-#REF!</f>
        <v>#REF!</v>
      </c>
      <c r="N702" t="e">
        <f t="shared" si="34"/>
        <v>#REF!</v>
      </c>
    </row>
    <row r="703" spans="1:14">
      <c r="A703" s="11" t="s">
        <v>1871</v>
      </c>
      <c r="B703" s="11">
        <v>3459520009</v>
      </c>
      <c r="C703" s="11">
        <v>1130</v>
      </c>
      <c r="D703" s="11" t="s">
        <v>1872</v>
      </c>
      <c r="E703" s="11" t="s">
        <v>1768</v>
      </c>
      <c r="F703" s="11" t="s">
        <v>24</v>
      </c>
      <c r="G703" s="11" t="s">
        <v>303</v>
      </c>
      <c r="H703" s="11" t="s">
        <v>15</v>
      </c>
      <c r="I703" s="11" t="s">
        <v>16</v>
      </c>
      <c r="J703" s="39">
        <v>42556</v>
      </c>
      <c r="K703">
        <f>400</f>
        <v>400</v>
      </c>
      <c r="L703" t="str">
        <f t="shared" si="33"/>
        <v>250</v>
      </c>
      <c r="M703" t="e">
        <f>C703-K703-L703-#REF!</f>
        <v>#REF!</v>
      </c>
      <c r="N703" t="e">
        <f t="shared" si="34"/>
        <v>#REF!</v>
      </c>
    </row>
    <row r="704" spans="1:14">
      <c r="A704" s="11" t="s">
        <v>1879</v>
      </c>
      <c r="B704" s="11">
        <v>3025378788</v>
      </c>
      <c r="C704" s="11">
        <v>1370</v>
      </c>
      <c r="D704" s="11" t="s">
        <v>1880</v>
      </c>
      <c r="E704" s="11" t="s">
        <v>1789</v>
      </c>
      <c r="F704" s="11" t="s">
        <v>45</v>
      </c>
      <c r="G704" s="11" t="s">
        <v>1875</v>
      </c>
      <c r="H704" s="11" t="s">
        <v>15</v>
      </c>
      <c r="I704" s="11" t="s">
        <v>16</v>
      </c>
      <c r="J704" s="39">
        <v>42556</v>
      </c>
      <c r="K704">
        <f>600</f>
        <v>600</v>
      </c>
      <c r="L704" t="str">
        <f t="shared" si="33"/>
        <v>250</v>
      </c>
      <c r="M704" t="e">
        <f>C704-K704-L704-#REF!</f>
        <v>#REF!</v>
      </c>
      <c r="N704" t="e">
        <f t="shared" si="34"/>
        <v>#REF!</v>
      </c>
    </row>
    <row r="705" spans="1:14">
      <c r="A705" s="11" t="s">
        <v>1881</v>
      </c>
      <c r="B705" s="11">
        <v>3218511822</v>
      </c>
      <c r="C705" s="11">
        <v>810</v>
      </c>
      <c r="D705" s="11" t="s">
        <v>1882</v>
      </c>
      <c r="E705" s="11" t="s">
        <v>1768</v>
      </c>
      <c r="F705" s="11" t="s">
        <v>45</v>
      </c>
      <c r="G705" s="11" t="s">
        <v>353</v>
      </c>
      <c r="H705" s="11" t="s">
        <v>15</v>
      </c>
      <c r="I705" s="11" t="s">
        <v>16</v>
      </c>
      <c r="J705" s="39">
        <v>42556</v>
      </c>
      <c r="K705">
        <f>(260*2)+80</f>
        <v>600</v>
      </c>
      <c r="L705" t="str">
        <f t="shared" si="33"/>
        <v>250</v>
      </c>
      <c r="M705" t="e">
        <f>C705-K705-L705-#REF!</f>
        <v>#REF!</v>
      </c>
      <c r="N705" t="e">
        <f t="shared" si="34"/>
        <v>#REF!</v>
      </c>
    </row>
    <row r="706" spans="1:14">
      <c r="A706" s="11" t="s">
        <v>1883</v>
      </c>
      <c r="B706" s="11">
        <v>3459636320</v>
      </c>
      <c r="C706" s="11">
        <v>1370</v>
      </c>
      <c r="D706" s="11" t="s">
        <v>1884</v>
      </c>
      <c r="E706" s="11" t="s">
        <v>1789</v>
      </c>
      <c r="F706" s="11" t="s">
        <v>45</v>
      </c>
      <c r="G706" s="11" t="s">
        <v>1875</v>
      </c>
      <c r="H706" s="11" t="s">
        <v>15</v>
      </c>
      <c r="I706" s="11" t="s">
        <v>16</v>
      </c>
      <c r="J706" s="76">
        <v>42556</v>
      </c>
      <c r="K706">
        <f>600</f>
        <v>600</v>
      </c>
      <c r="L706" t="str">
        <f t="shared" si="33"/>
        <v>250</v>
      </c>
      <c r="M706" t="e">
        <f>C706-K706-L706-#REF!</f>
        <v>#REF!</v>
      </c>
      <c r="N706" t="e">
        <f t="shared" si="34"/>
        <v>#REF!</v>
      </c>
    </row>
    <row r="707" spans="1:14">
      <c r="A707" s="11" t="s">
        <v>1885</v>
      </c>
      <c r="B707" s="11">
        <v>3046310415</v>
      </c>
      <c r="C707" s="11">
        <v>1350</v>
      </c>
      <c r="D707" s="11" t="s">
        <v>1886</v>
      </c>
      <c r="E707" s="11" t="s">
        <v>1768</v>
      </c>
      <c r="F707" s="11" t="s">
        <v>45</v>
      </c>
      <c r="G707" s="11" t="s">
        <v>1875</v>
      </c>
      <c r="H707" s="11" t="s">
        <v>15</v>
      </c>
      <c r="I707" s="11" t="s">
        <v>16</v>
      </c>
      <c r="J707" s="76">
        <v>42556</v>
      </c>
      <c r="K707">
        <f>600</f>
        <v>600</v>
      </c>
      <c r="L707" t="str">
        <f t="shared" si="33"/>
        <v>250</v>
      </c>
      <c r="M707" t="e">
        <f>C707-K707-L707-#REF!</f>
        <v>#REF!</v>
      </c>
      <c r="N707" t="e">
        <f t="shared" si="34"/>
        <v>#REF!</v>
      </c>
    </row>
    <row r="708" spans="1:14">
      <c r="A708" s="11" t="s">
        <v>1890</v>
      </c>
      <c r="B708" s="11">
        <v>3244498994</v>
      </c>
      <c r="C708" s="11">
        <v>1700</v>
      </c>
      <c r="D708" s="11" t="s">
        <v>1891</v>
      </c>
      <c r="E708" s="11" t="s">
        <v>23</v>
      </c>
      <c r="F708" s="11" t="s">
        <v>24</v>
      </c>
      <c r="G708" s="11" t="s">
        <v>1892</v>
      </c>
      <c r="H708" s="11" t="s">
        <v>15</v>
      </c>
      <c r="I708" s="11" t="s">
        <v>16</v>
      </c>
      <c r="J708" s="76">
        <v>42648</v>
      </c>
      <c r="K708">
        <f>950</f>
        <v>950</v>
      </c>
      <c r="L708" t="str">
        <f t="shared" si="33"/>
        <v>250</v>
      </c>
      <c r="M708" t="e">
        <f>C708-K708-L708-#REF!</f>
        <v>#REF!</v>
      </c>
      <c r="N708" t="e">
        <f t="shared" si="34"/>
        <v>#REF!</v>
      </c>
    </row>
    <row r="709" spans="1:14">
      <c r="A709" s="11" t="s">
        <v>1893</v>
      </c>
      <c r="B709" s="11">
        <v>915255287</v>
      </c>
      <c r="C709" s="11">
        <v>1250</v>
      </c>
      <c r="D709" s="11" t="s">
        <v>1894</v>
      </c>
      <c r="E709" s="11" t="s">
        <v>35</v>
      </c>
      <c r="F709" s="11" t="s">
        <v>1895</v>
      </c>
      <c r="G709" s="11" t="s">
        <v>1896</v>
      </c>
      <c r="H709" s="11" t="s">
        <v>150</v>
      </c>
      <c r="I709" s="11" t="s">
        <v>16</v>
      </c>
      <c r="J709" s="76">
        <v>42648</v>
      </c>
      <c r="K709">
        <f>200</f>
        <v>200</v>
      </c>
      <c r="L709" t="str">
        <f t="shared" si="33"/>
        <v>250</v>
      </c>
      <c r="M709" t="e">
        <f>C709-K709-L709-#REF!</f>
        <v>#REF!</v>
      </c>
      <c r="N709" t="e">
        <f t="shared" si="34"/>
        <v>#REF!</v>
      </c>
    </row>
    <row r="710" spans="1:14">
      <c r="A710" s="11" t="s">
        <v>1897</v>
      </c>
      <c r="B710" s="11">
        <v>3365191685</v>
      </c>
      <c r="C710" s="11">
        <v>1300</v>
      </c>
      <c r="D710" s="11" t="s">
        <v>1898</v>
      </c>
      <c r="E710" s="11" t="s">
        <v>12</v>
      </c>
      <c r="F710" s="11" t="s">
        <v>45</v>
      </c>
      <c r="G710" s="11" t="s">
        <v>1875</v>
      </c>
      <c r="H710" s="11" t="s">
        <v>15</v>
      </c>
      <c r="I710" s="11" t="s">
        <v>16</v>
      </c>
      <c r="J710" s="76">
        <v>42648</v>
      </c>
      <c r="K710">
        <f>600</f>
        <v>600</v>
      </c>
      <c r="L710" t="str">
        <f t="shared" si="33"/>
        <v>250</v>
      </c>
      <c r="M710" t="e">
        <f>C710-K710-L710-#REF!</f>
        <v>#REF!</v>
      </c>
      <c r="N710" t="e">
        <f t="shared" si="34"/>
        <v>#REF!</v>
      </c>
    </row>
    <row r="711" spans="1:14">
      <c r="A711" s="11" t="s">
        <v>1873</v>
      </c>
      <c r="B711" s="11">
        <v>3015115543</v>
      </c>
      <c r="C711" s="11">
        <v>1350</v>
      </c>
      <c r="D711" s="11" t="s">
        <v>1874</v>
      </c>
      <c r="E711" s="11" t="s">
        <v>19</v>
      </c>
      <c r="F711" s="11" t="s">
        <v>45</v>
      </c>
      <c r="G711" s="11" t="s">
        <v>1875</v>
      </c>
      <c r="H711" s="11" t="s">
        <v>716</v>
      </c>
      <c r="I711" s="11" t="s">
        <v>16</v>
      </c>
      <c r="J711" s="47" t="s">
        <v>1876</v>
      </c>
      <c r="K711">
        <f>600</f>
        <v>600</v>
      </c>
      <c r="L711" t="str">
        <f t="shared" si="33"/>
        <v>250</v>
      </c>
      <c r="M711" t="e">
        <f>C711-K711-L711-#REF!</f>
        <v>#REF!</v>
      </c>
      <c r="N711" t="e">
        <f t="shared" si="34"/>
        <v>#REF!</v>
      </c>
    </row>
    <row r="712" spans="1:14">
      <c r="A712" s="11" t="s">
        <v>1877</v>
      </c>
      <c r="B712" s="11">
        <v>3154304925</v>
      </c>
      <c r="C712" s="11">
        <v>950</v>
      </c>
      <c r="D712" s="11" t="s">
        <v>1878</v>
      </c>
      <c r="E712" s="11" t="s">
        <v>23</v>
      </c>
      <c r="F712" s="11" t="s">
        <v>24</v>
      </c>
      <c r="G712" s="11" t="s">
        <v>303</v>
      </c>
      <c r="H712" s="11" t="s">
        <v>15</v>
      </c>
      <c r="I712" s="11" t="s">
        <v>16</v>
      </c>
      <c r="J712" s="47" t="s">
        <v>1876</v>
      </c>
      <c r="K712">
        <f>420</f>
        <v>420</v>
      </c>
      <c r="L712" t="str">
        <f t="shared" si="33"/>
        <v>250</v>
      </c>
      <c r="M712" t="e">
        <f>C712-K712-L712-#REF!</f>
        <v>#REF!</v>
      </c>
      <c r="N712" t="e">
        <f t="shared" si="34"/>
        <v>#REF!</v>
      </c>
    </row>
    <row r="713" spans="1:14">
      <c r="A713" s="44" t="s">
        <v>1627</v>
      </c>
      <c r="B713" s="44">
        <v>3409583449</v>
      </c>
      <c r="C713" s="44">
        <v>1200</v>
      </c>
      <c r="D713" s="44" t="s">
        <v>1628</v>
      </c>
      <c r="E713" s="44" t="s">
        <v>12</v>
      </c>
      <c r="F713" s="44" t="s">
        <v>45</v>
      </c>
      <c r="G713" s="44" t="s">
        <v>348</v>
      </c>
      <c r="H713" s="44" t="s">
        <v>413</v>
      </c>
      <c r="I713" s="44" t="s">
        <v>16</v>
      </c>
      <c r="J713" s="19" t="s">
        <v>1876</v>
      </c>
      <c r="K713">
        <f>(130*4)+(25*4)</f>
        <v>620</v>
      </c>
      <c r="L713" t="str">
        <f t="shared" si="33"/>
        <v>250</v>
      </c>
      <c r="M713" t="e">
        <f>C713-K713-L713-#REF!</f>
        <v>#REF!</v>
      </c>
      <c r="N713" t="e">
        <f t="shared" si="34"/>
        <v>#REF!</v>
      </c>
    </row>
    <row r="714" spans="1:14">
      <c r="A714" s="11" t="s">
        <v>1887</v>
      </c>
      <c r="B714" s="11">
        <v>3113516997</v>
      </c>
      <c r="C714" s="11">
        <v>1600</v>
      </c>
      <c r="D714" s="11" t="s">
        <v>1888</v>
      </c>
      <c r="E714" s="11" t="s">
        <v>50</v>
      </c>
      <c r="F714" s="11" t="s">
        <v>45</v>
      </c>
      <c r="G714" s="11" t="s">
        <v>1889</v>
      </c>
      <c r="H714" s="11" t="s">
        <v>413</v>
      </c>
      <c r="I714" s="11" t="s">
        <v>16</v>
      </c>
      <c r="J714" s="47" t="s">
        <v>1876</v>
      </c>
      <c r="K714">
        <f>(270*4)+100</f>
        <v>1180</v>
      </c>
      <c r="L714">
        <v>100</v>
      </c>
      <c r="M714" t="e">
        <f>C714-K714-L714-#REF!</f>
        <v>#REF!</v>
      </c>
      <c r="N714" t="e">
        <f t="shared" si="34"/>
        <v>#REF!</v>
      </c>
    </row>
    <row r="715" spans="1:14">
      <c r="A715" s="11" t="s">
        <v>1899</v>
      </c>
      <c r="B715" s="11">
        <v>3453195759</v>
      </c>
      <c r="C715" s="11">
        <v>1080</v>
      </c>
      <c r="D715" s="11" t="s">
        <v>1900</v>
      </c>
      <c r="E715" s="11" t="s">
        <v>50</v>
      </c>
      <c r="F715" s="11" t="s">
        <v>24</v>
      </c>
      <c r="G715" s="11" t="s">
        <v>303</v>
      </c>
      <c r="H715" s="11" t="s">
        <v>15</v>
      </c>
      <c r="I715" s="11" t="s">
        <v>16</v>
      </c>
      <c r="J715" s="47" t="s">
        <v>1876</v>
      </c>
      <c r="K715">
        <f>400</f>
        <v>400</v>
      </c>
      <c r="L715" t="str">
        <f t="shared" si="33"/>
        <v>150</v>
      </c>
      <c r="M715" t="e">
        <f>C715-K715-L715-#REF!</f>
        <v>#REF!</v>
      </c>
      <c r="N715" t="e">
        <f t="shared" si="34"/>
        <v>#REF!</v>
      </c>
    </row>
    <row r="716" spans="1:14">
      <c r="A716" s="11" t="s">
        <v>1887</v>
      </c>
      <c r="B716" s="11">
        <v>3113516997</v>
      </c>
      <c r="C716" s="11">
        <v>800</v>
      </c>
      <c r="D716" s="11" t="s">
        <v>1888</v>
      </c>
      <c r="E716" s="11" t="s">
        <v>50</v>
      </c>
      <c r="F716" s="11" t="s">
        <v>45</v>
      </c>
      <c r="G716" s="11" t="s">
        <v>1901</v>
      </c>
      <c r="H716" s="11" t="s">
        <v>413</v>
      </c>
      <c r="I716" s="11" t="s">
        <v>16</v>
      </c>
      <c r="J716" s="47" t="s">
        <v>1902</v>
      </c>
      <c r="K716">
        <f>(550+50)</f>
        <v>600</v>
      </c>
      <c r="L716">
        <v>0</v>
      </c>
      <c r="M716" t="e">
        <f>C716-K716-L716-#REF!</f>
        <v>#REF!</v>
      </c>
      <c r="N716" t="e">
        <f t="shared" si="34"/>
        <v>#REF!</v>
      </c>
    </row>
    <row r="717" spans="1:14">
      <c r="A717" s="77" t="s">
        <v>1903</v>
      </c>
      <c r="B717">
        <v>3432509858</v>
      </c>
      <c r="C717" s="11">
        <v>780</v>
      </c>
      <c r="D717" t="s">
        <v>1904</v>
      </c>
      <c r="E717" s="11" t="s">
        <v>50</v>
      </c>
      <c r="F717" s="11" t="s">
        <v>45</v>
      </c>
      <c r="G717" s="11" t="s">
        <v>1905</v>
      </c>
      <c r="H717" s="11" t="s">
        <v>15</v>
      </c>
      <c r="I717" s="11" t="s">
        <v>16</v>
      </c>
      <c r="J717" s="47" t="s">
        <v>1902</v>
      </c>
      <c r="K717">
        <f>250+220</f>
        <v>470</v>
      </c>
      <c r="L717" t="str">
        <f t="shared" si="33"/>
        <v>150</v>
      </c>
      <c r="M717" t="e">
        <f>C717-K717-L717-#REF!</f>
        <v>#REF!</v>
      </c>
      <c r="N717" t="e">
        <f t="shared" si="34"/>
        <v>#REF!</v>
      </c>
    </row>
    <row r="718" spans="1:14">
      <c r="A718" s="11" t="s">
        <v>1906</v>
      </c>
      <c r="B718" s="11">
        <v>3456486805</v>
      </c>
      <c r="C718" s="11">
        <v>1630</v>
      </c>
      <c r="D718" s="11" t="s">
        <v>1907</v>
      </c>
      <c r="E718" s="11" t="s">
        <v>207</v>
      </c>
      <c r="F718" s="11" t="s">
        <v>45</v>
      </c>
      <c r="G718" s="11" t="s">
        <v>1908</v>
      </c>
      <c r="H718" s="11" t="s">
        <v>15</v>
      </c>
      <c r="I718" s="11" t="s">
        <v>16</v>
      </c>
      <c r="J718" s="47" t="s">
        <v>1902</v>
      </c>
      <c r="K718">
        <f>(130*5)+(15*5)</f>
        <v>725</v>
      </c>
      <c r="L718" t="str">
        <f t="shared" si="33"/>
        <v>250</v>
      </c>
      <c r="M718" t="e">
        <f>C718-K718-L718-#REF!</f>
        <v>#REF!</v>
      </c>
      <c r="N718" t="e">
        <f t="shared" si="34"/>
        <v>#REF!</v>
      </c>
    </row>
    <row r="719" spans="1:14">
      <c r="A719" s="11" t="s">
        <v>1909</v>
      </c>
      <c r="B719" s="11">
        <v>3169632526</v>
      </c>
      <c r="C719" s="11">
        <v>1260</v>
      </c>
      <c r="D719" s="11" t="s">
        <v>1910</v>
      </c>
      <c r="E719" s="11" t="s">
        <v>199</v>
      </c>
      <c r="F719" s="11" t="s">
        <v>45</v>
      </c>
      <c r="G719" s="11" t="s">
        <v>1829</v>
      </c>
      <c r="H719" s="11" t="s">
        <v>15</v>
      </c>
      <c r="I719" s="11" t="s">
        <v>16</v>
      </c>
      <c r="J719" s="47" t="s">
        <v>1902</v>
      </c>
      <c r="K719">
        <f>(130*4)+(15*4)</f>
        <v>580</v>
      </c>
      <c r="L719" t="str">
        <f t="shared" si="33"/>
        <v>250</v>
      </c>
      <c r="M719" t="e">
        <f>C719-K719-L719-#REF!</f>
        <v>#REF!</v>
      </c>
      <c r="N719" t="e">
        <f t="shared" si="34"/>
        <v>#REF!</v>
      </c>
    </row>
    <row r="720" spans="1:14">
      <c r="A720" s="11" t="s">
        <v>1911</v>
      </c>
      <c r="B720" s="11">
        <v>3206557287</v>
      </c>
      <c r="C720" s="11">
        <v>1190</v>
      </c>
      <c r="D720" s="11" t="s">
        <v>1912</v>
      </c>
      <c r="E720" s="11" t="s">
        <v>57</v>
      </c>
      <c r="F720" s="11" t="s">
        <v>45</v>
      </c>
      <c r="G720" s="11" t="s">
        <v>348</v>
      </c>
      <c r="H720" s="11" t="s">
        <v>15</v>
      </c>
      <c r="I720" s="11" t="s">
        <v>16</v>
      </c>
      <c r="J720" s="47" t="s">
        <v>1902</v>
      </c>
      <c r="K720">
        <f>(125*4)+120</f>
        <v>620</v>
      </c>
      <c r="L720" t="str">
        <f t="shared" si="33"/>
        <v>250</v>
      </c>
      <c r="M720" t="e">
        <f>C720-K720-L720-#REF!</f>
        <v>#REF!</v>
      </c>
      <c r="N720" t="e">
        <f t="shared" si="34"/>
        <v>#REF!</v>
      </c>
    </row>
    <row r="721" spans="1:14">
      <c r="A721" s="11" t="s">
        <v>1913</v>
      </c>
      <c r="B721" s="11">
        <v>3033120687</v>
      </c>
      <c r="C721" s="11">
        <v>2340</v>
      </c>
      <c r="D721" s="11" t="s">
        <v>1914</v>
      </c>
      <c r="E721" s="11" t="s">
        <v>1915</v>
      </c>
      <c r="F721" s="11" t="s">
        <v>24</v>
      </c>
      <c r="G721" s="11" t="s">
        <v>1916</v>
      </c>
      <c r="H721" s="11" t="s">
        <v>15</v>
      </c>
      <c r="I721" s="11" t="s">
        <v>16</v>
      </c>
      <c r="J721" s="47" t="s">
        <v>1917</v>
      </c>
      <c r="K721">
        <f>1450</f>
        <v>1450</v>
      </c>
      <c r="L721" t="str">
        <f t="shared" si="33"/>
        <v>250</v>
      </c>
      <c r="M721" t="e">
        <f>C721-K721-L721-#REF!</f>
        <v>#REF!</v>
      </c>
      <c r="N721" t="e">
        <f t="shared" si="34"/>
        <v>#REF!</v>
      </c>
    </row>
    <row r="722" spans="1:14">
      <c r="A722" s="11" t="s">
        <v>1918</v>
      </c>
      <c r="B722" s="11">
        <v>3337922469</v>
      </c>
      <c r="C722" s="11">
        <v>1460</v>
      </c>
      <c r="D722" s="11" t="s">
        <v>1919</v>
      </c>
      <c r="E722" s="11" t="s">
        <v>148</v>
      </c>
      <c r="F722" s="11" t="s">
        <v>45</v>
      </c>
      <c r="G722" s="11" t="s">
        <v>1920</v>
      </c>
      <c r="H722" s="11" t="s">
        <v>15</v>
      </c>
      <c r="I722" s="11" t="s">
        <v>16</v>
      </c>
      <c r="J722" s="47" t="s">
        <v>1917</v>
      </c>
      <c r="K722">
        <f>(140*3)+(120*3)</f>
        <v>780</v>
      </c>
      <c r="L722" t="str">
        <f t="shared" si="33"/>
        <v>250</v>
      </c>
      <c r="M722" t="e">
        <f>C722-K722-L722-#REF!</f>
        <v>#REF!</v>
      </c>
      <c r="N722" t="e">
        <f t="shared" si="34"/>
        <v>#REF!</v>
      </c>
    </row>
    <row r="723" spans="1:14">
      <c r="A723" s="11" t="s">
        <v>1921</v>
      </c>
      <c r="B723" s="11">
        <v>3368705540</v>
      </c>
      <c r="C723" s="11">
        <v>1190</v>
      </c>
      <c r="D723" s="11" t="s">
        <v>1922</v>
      </c>
      <c r="E723" s="11" t="s">
        <v>1197</v>
      </c>
      <c r="F723" s="11" t="s">
        <v>45</v>
      </c>
      <c r="G723" s="11" t="s">
        <v>348</v>
      </c>
      <c r="H723" s="11" t="s">
        <v>15</v>
      </c>
      <c r="I723" s="11" t="s">
        <v>16</v>
      </c>
      <c r="J723" s="47" t="s">
        <v>1917</v>
      </c>
      <c r="K723">
        <f>(130*4)+(30*4)</f>
        <v>640</v>
      </c>
      <c r="L723" t="str">
        <f t="shared" si="33"/>
        <v>250</v>
      </c>
      <c r="M723" t="e">
        <f>C723-K723-L723-#REF!</f>
        <v>#REF!</v>
      </c>
      <c r="N723" t="e">
        <f t="shared" si="34"/>
        <v>#REF!</v>
      </c>
    </row>
    <row r="724" spans="1:14">
      <c r="A724" s="11" t="s">
        <v>1923</v>
      </c>
      <c r="B724" s="11">
        <v>3235306118</v>
      </c>
      <c r="C724" s="11">
        <v>1240</v>
      </c>
      <c r="D724" s="11" t="s">
        <v>1924</v>
      </c>
      <c r="E724" s="11" t="s">
        <v>12</v>
      </c>
      <c r="F724" s="11" t="s">
        <v>515</v>
      </c>
      <c r="G724" s="11" t="s">
        <v>1790</v>
      </c>
      <c r="H724" s="11" t="s">
        <v>15</v>
      </c>
      <c r="I724" s="11" t="s">
        <v>16</v>
      </c>
      <c r="J724" s="47" t="s">
        <v>1917</v>
      </c>
      <c r="K724">
        <f>500</f>
        <v>500</v>
      </c>
      <c r="L724" t="str">
        <f t="shared" si="33"/>
        <v>250</v>
      </c>
      <c r="M724" t="e">
        <f>C724-K724-L724-#REF!</f>
        <v>#REF!</v>
      </c>
      <c r="N724" t="e">
        <f t="shared" si="34"/>
        <v>#REF!</v>
      </c>
    </row>
    <row r="725" spans="1:14">
      <c r="A725" s="11" t="s">
        <v>1925</v>
      </c>
      <c r="B725" s="11">
        <v>3226454851</v>
      </c>
      <c r="C725" s="11">
        <v>1350</v>
      </c>
      <c r="D725" s="11" t="s">
        <v>1926</v>
      </c>
      <c r="E725" s="11" t="s">
        <v>1927</v>
      </c>
      <c r="F725" s="11" t="s">
        <v>45</v>
      </c>
      <c r="G725" s="11" t="s">
        <v>1928</v>
      </c>
      <c r="H725" s="11" t="s">
        <v>15</v>
      </c>
      <c r="I725" s="11" t="s">
        <v>16</v>
      </c>
      <c r="J725" s="47" t="s">
        <v>1917</v>
      </c>
      <c r="K725">
        <f>(130*5)+(30*5)</f>
        <v>800</v>
      </c>
      <c r="L725" t="str">
        <f t="shared" si="33"/>
        <v>250</v>
      </c>
      <c r="M725" t="e">
        <f>C725-K725-L725-#REF!</f>
        <v>#REF!</v>
      </c>
      <c r="N725" t="e">
        <f t="shared" si="34"/>
        <v>#REF!</v>
      </c>
    </row>
    <row r="726" spans="1:14">
      <c r="A726" s="11" t="s">
        <v>1929</v>
      </c>
      <c r="B726" s="11">
        <v>3344393178</v>
      </c>
      <c r="C726" s="11">
        <v>1200</v>
      </c>
      <c r="D726" s="11" t="s">
        <v>1930</v>
      </c>
      <c r="E726" s="11" t="s">
        <v>23</v>
      </c>
      <c r="F726" s="11" t="s">
        <v>45</v>
      </c>
      <c r="G726" s="11" t="s">
        <v>1931</v>
      </c>
      <c r="H726" s="11" t="s">
        <v>15</v>
      </c>
      <c r="I726" s="11" t="s">
        <v>16</v>
      </c>
      <c r="J726" s="47" t="s">
        <v>1917</v>
      </c>
      <c r="K726">
        <f>(130*5)+(30*5)</f>
        <v>800</v>
      </c>
      <c r="L726" t="str">
        <f t="shared" si="33"/>
        <v>250</v>
      </c>
      <c r="M726" t="e">
        <f>C726-K726-L726-#REF!</f>
        <v>#REF!</v>
      </c>
      <c r="N726" t="e">
        <f t="shared" si="34"/>
        <v>#REF!</v>
      </c>
    </row>
    <row r="727" spans="1:14">
      <c r="A727" s="11" t="s">
        <v>1932</v>
      </c>
      <c r="B727" s="11">
        <v>3219084614</v>
      </c>
      <c r="C727" s="11">
        <v>1180</v>
      </c>
      <c r="D727" s="11" t="s">
        <v>1933</v>
      </c>
      <c r="E727" s="11" t="s">
        <v>35</v>
      </c>
      <c r="F727" s="11" t="s">
        <v>24</v>
      </c>
      <c r="G727" s="11" t="s">
        <v>1340</v>
      </c>
      <c r="H727" s="11" t="s">
        <v>15</v>
      </c>
      <c r="I727" s="11" t="s">
        <v>16</v>
      </c>
      <c r="J727" s="47" t="s">
        <v>1917</v>
      </c>
      <c r="K727">
        <f>400</f>
        <v>400</v>
      </c>
      <c r="L727" t="str">
        <f t="shared" si="33"/>
        <v>250</v>
      </c>
      <c r="M727" t="e">
        <f>C727-K727-L727-#REF!</f>
        <v>#REF!</v>
      </c>
      <c r="N727" t="e">
        <f t="shared" si="34"/>
        <v>#REF!</v>
      </c>
    </row>
    <row r="728" spans="1:14">
      <c r="A728" s="11" t="s">
        <v>1935</v>
      </c>
      <c r="B728" s="11">
        <v>3222721051</v>
      </c>
      <c r="C728" s="11">
        <v>1200</v>
      </c>
      <c r="D728" s="11" t="s">
        <v>1934</v>
      </c>
      <c r="E728" s="11" t="s">
        <v>50</v>
      </c>
      <c r="F728" s="11" t="s">
        <v>515</v>
      </c>
      <c r="G728" s="11" t="s">
        <v>1790</v>
      </c>
      <c r="H728" s="11" t="s">
        <v>15</v>
      </c>
      <c r="I728" s="11" t="s">
        <v>16</v>
      </c>
      <c r="J728" s="47" t="s">
        <v>1902</v>
      </c>
      <c r="K728">
        <f>500</f>
        <v>500</v>
      </c>
      <c r="L728" t="str">
        <f t="shared" si="33"/>
        <v>150</v>
      </c>
      <c r="M728" t="e">
        <f>C728-K728-L728-#REF!</f>
        <v>#REF!</v>
      </c>
      <c r="N728" t="e">
        <f t="shared" si="34"/>
        <v>#REF!</v>
      </c>
    </row>
    <row r="729" spans="1:14">
      <c r="A729" s="11" t="s">
        <v>1936</v>
      </c>
      <c r="B729" s="11">
        <v>3332831141</v>
      </c>
      <c r="C729" s="11">
        <v>1150</v>
      </c>
      <c r="D729" s="11" t="s">
        <v>1937</v>
      </c>
      <c r="E729" s="11" t="s">
        <v>50</v>
      </c>
      <c r="F729" s="11" t="s">
        <v>24</v>
      </c>
      <c r="G729" s="11" t="s">
        <v>1938</v>
      </c>
      <c r="H729" s="11" t="s">
        <v>15</v>
      </c>
      <c r="I729" s="11" t="s">
        <v>16</v>
      </c>
      <c r="J729" s="47" t="s">
        <v>1939</v>
      </c>
      <c r="K729">
        <f>320+400+50</f>
        <v>770</v>
      </c>
      <c r="L729" t="str">
        <f t="shared" si="33"/>
        <v>150</v>
      </c>
      <c r="M729" t="e">
        <f>C729-K729-L729-#REF!</f>
        <v>#REF!</v>
      </c>
      <c r="N729" t="e">
        <f t="shared" si="34"/>
        <v>#REF!</v>
      </c>
    </row>
    <row r="730" spans="1:14">
      <c r="A730" s="11" t="s">
        <v>1367</v>
      </c>
      <c r="B730" s="11">
        <v>3052032306</v>
      </c>
      <c r="C730" s="11">
        <v>1100</v>
      </c>
      <c r="D730" s="11" t="s">
        <v>1368</v>
      </c>
      <c r="E730" s="11" t="s">
        <v>50</v>
      </c>
      <c r="F730" s="11" t="s">
        <v>24</v>
      </c>
      <c r="G730" s="11" t="s">
        <v>1940</v>
      </c>
      <c r="H730" s="11" t="s">
        <v>15</v>
      </c>
      <c r="I730" s="11" t="s">
        <v>16</v>
      </c>
      <c r="J730" s="47" t="s">
        <v>1939</v>
      </c>
      <c r="K730">
        <f>500+25</f>
        <v>525</v>
      </c>
      <c r="L730" t="str">
        <f t="shared" si="33"/>
        <v>150</v>
      </c>
      <c r="M730" t="e">
        <f>C730-K730-L730-#REF!</f>
        <v>#REF!</v>
      </c>
      <c r="N730" t="e">
        <f t="shared" si="34"/>
        <v>#REF!</v>
      </c>
    </row>
    <row r="731" spans="1:14">
      <c r="A731" s="11" t="s">
        <v>1941</v>
      </c>
      <c r="B731" s="59">
        <v>3139778828</v>
      </c>
      <c r="C731" s="11">
        <v>1050</v>
      </c>
      <c r="D731" s="11" t="s">
        <v>1942</v>
      </c>
      <c r="E731" s="11" t="s">
        <v>35</v>
      </c>
      <c r="F731" s="11" t="s">
        <v>24</v>
      </c>
      <c r="G731" s="11" t="s">
        <v>1943</v>
      </c>
      <c r="H731" s="11" t="s">
        <v>15</v>
      </c>
      <c r="I731" s="11" t="s">
        <v>16</v>
      </c>
      <c r="J731" s="47" t="s">
        <v>1939</v>
      </c>
      <c r="K731">
        <f>550</f>
        <v>550</v>
      </c>
      <c r="L731" t="str">
        <f t="shared" si="33"/>
        <v>250</v>
      </c>
      <c r="M731" t="e">
        <f>C731-K731-L731-#REF!</f>
        <v>#REF!</v>
      </c>
      <c r="N731" t="e">
        <f t="shared" si="34"/>
        <v>#REF!</v>
      </c>
    </row>
    <row r="732" spans="1:14">
      <c r="A732" s="11" t="s">
        <v>1944</v>
      </c>
      <c r="B732" s="11">
        <v>3213502861</v>
      </c>
      <c r="C732" s="11">
        <v>600</v>
      </c>
      <c r="D732" s="11" t="s">
        <v>1945</v>
      </c>
      <c r="E732" s="11" t="s">
        <v>85</v>
      </c>
      <c r="F732" s="11" t="s">
        <v>24</v>
      </c>
      <c r="G732" s="11" t="s">
        <v>1946</v>
      </c>
      <c r="H732" s="11" t="s">
        <v>15</v>
      </c>
      <c r="I732" s="11" t="s">
        <v>16</v>
      </c>
      <c r="J732" s="47" t="s">
        <v>1939</v>
      </c>
      <c r="K732">
        <f>250</f>
        <v>250</v>
      </c>
      <c r="L732" t="str">
        <f t="shared" si="33"/>
        <v>250</v>
      </c>
      <c r="M732" t="e">
        <f>C732-K732-L732-#REF!</f>
        <v>#REF!</v>
      </c>
      <c r="N732" t="e">
        <f t="shared" si="34"/>
        <v>#REF!</v>
      </c>
    </row>
    <row r="733" spans="1:14">
      <c r="A733" s="40" t="s">
        <v>1947</v>
      </c>
      <c r="B733" s="40">
        <v>3060452293</v>
      </c>
      <c r="C733" s="40">
        <v>1190</v>
      </c>
      <c r="D733" s="40" t="s">
        <v>1948</v>
      </c>
      <c r="E733" s="40" t="s">
        <v>35</v>
      </c>
      <c r="F733" s="40" t="s">
        <v>45</v>
      </c>
      <c r="G733" s="40" t="s">
        <v>348</v>
      </c>
      <c r="H733" s="40" t="s">
        <v>15</v>
      </c>
      <c r="I733" s="40" t="s">
        <v>122</v>
      </c>
      <c r="J733" s="37" t="s">
        <v>1939</v>
      </c>
      <c r="K733">
        <f>(130*4)+(30*4)</f>
        <v>640</v>
      </c>
      <c r="L733" t="str">
        <f t="shared" si="33"/>
        <v>250</v>
      </c>
      <c r="M733" t="e">
        <f>C733-K733-L733-#REF!</f>
        <v>#REF!</v>
      </c>
      <c r="N733" t="str">
        <f t="shared" si="34"/>
        <v>Waiting For Deliver</v>
      </c>
    </row>
    <row r="734" spans="1:14">
      <c r="A734" s="11" t="s">
        <v>1949</v>
      </c>
      <c r="B734" s="78">
        <v>3212008213</v>
      </c>
      <c r="C734" s="11">
        <v>1500</v>
      </c>
      <c r="D734" s="11" t="s">
        <v>1950</v>
      </c>
      <c r="E734" s="11" t="s">
        <v>50</v>
      </c>
      <c r="F734" s="11" t="s">
        <v>45</v>
      </c>
      <c r="G734" s="11" t="s">
        <v>1951</v>
      </c>
      <c r="H734" s="11" t="s">
        <v>41</v>
      </c>
      <c r="I734" s="11" t="s">
        <v>16</v>
      </c>
      <c r="J734" s="47" t="s">
        <v>1952</v>
      </c>
      <c r="K734">
        <f>(125*3)+(45)+300</f>
        <v>720</v>
      </c>
      <c r="L734" t="str">
        <f t="shared" si="33"/>
        <v>150</v>
      </c>
      <c r="M734" t="e">
        <f>C734-K734-L734-#REF!</f>
        <v>#REF!</v>
      </c>
      <c r="N734" t="e">
        <f t="shared" si="34"/>
        <v>#REF!</v>
      </c>
    </row>
    <row r="735" spans="1:14">
      <c r="A735" s="11" t="s">
        <v>1954</v>
      </c>
      <c r="B735" s="11">
        <v>3433058898</v>
      </c>
      <c r="C735" s="11">
        <v>1150</v>
      </c>
      <c r="D735" s="11" t="s">
        <v>1953</v>
      </c>
      <c r="E735" s="11" t="s">
        <v>50</v>
      </c>
      <c r="F735" s="11" t="s">
        <v>45</v>
      </c>
      <c r="G735" s="11" t="s">
        <v>1829</v>
      </c>
      <c r="H735" s="11" t="s">
        <v>41</v>
      </c>
      <c r="I735" s="11" t="s">
        <v>16</v>
      </c>
      <c r="J735" s="47" t="s">
        <v>1952</v>
      </c>
      <c r="K735">
        <f>(130*4)+(15*4)</f>
        <v>580</v>
      </c>
      <c r="L735" t="str">
        <f t="shared" si="33"/>
        <v>150</v>
      </c>
      <c r="M735" t="e">
        <f>C735-K735-L735-#REF!</f>
        <v>#REF!</v>
      </c>
      <c r="N735" t="e">
        <f t="shared" si="34"/>
        <v>#REF!</v>
      </c>
    </row>
    <row r="736" spans="1:14">
      <c r="A736" s="11" t="s">
        <v>1956</v>
      </c>
      <c r="B736" s="11">
        <v>3333761855</v>
      </c>
      <c r="C736" s="11">
        <v>750</v>
      </c>
      <c r="D736" s="11" t="s">
        <v>1957</v>
      </c>
      <c r="E736" s="11" t="s">
        <v>1958</v>
      </c>
      <c r="F736" s="11" t="s">
        <v>24</v>
      </c>
      <c r="G736" s="11" t="s">
        <v>1959</v>
      </c>
      <c r="H736" s="11" t="s">
        <v>41</v>
      </c>
      <c r="I736" s="11" t="s">
        <v>16</v>
      </c>
      <c r="J736" s="47" t="s">
        <v>1955</v>
      </c>
      <c r="K736">
        <f>200</f>
        <v>200</v>
      </c>
      <c r="L736" t="str">
        <f t="shared" si="33"/>
        <v>250</v>
      </c>
      <c r="M736" t="e">
        <f>C736-K736-L736-#REF!</f>
        <v>#REF!</v>
      </c>
      <c r="N736" t="e">
        <f t="shared" si="34"/>
        <v>#REF!</v>
      </c>
    </row>
    <row r="737" spans="1:14">
      <c r="A737" s="11" t="s">
        <v>1960</v>
      </c>
      <c r="B737" s="11">
        <v>3422288288</v>
      </c>
      <c r="C737" s="11">
        <v>1460</v>
      </c>
      <c r="D737" s="11" t="s">
        <v>1961</v>
      </c>
      <c r="E737" s="11" t="s">
        <v>174</v>
      </c>
      <c r="F737" s="11" t="s">
        <v>45</v>
      </c>
      <c r="G737" s="11" t="s">
        <v>1962</v>
      </c>
      <c r="H737" s="11" t="s">
        <v>15</v>
      </c>
      <c r="I737" s="11" t="s">
        <v>16</v>
      </c>
      <c r="J737" s="47" t="s">
        <v>1955</v>
      </c>
      <c r="K737">
        <f>(120*3)+(130*3)</f>
        <v>750</v>
      </c>
      <c r="L737" t="str">
        <f t="shared" si="33"/>
        <v>250</v>
      </c>
      <c r="M737" t="e">
        <f>C737-K737-L737-#REF!</f>
        <v>#REF!</v>
      </c>
      <c r="N737" t="e">
        <f t="shared" si="34"/>
        <v>#REF!</v>
      </c>
    </row>
    <row r="738" spans="1:14">
      <c r="A738" s="11" t="s">
        <v>1963</v>
      </c>
      <c r="B738" s="11">
        <v>3008510093</v>
      </c>
      <c r="C738" s="11">
        <v>2320</v>
      </c>
      <c r="D738" s="11" t="s">
        <v>1964</v>
      </c>
      <c r="E738" s="11" t="s">
        <v>1768</v>
      </c>
      <c r="F738" s="11" t="s">
        <v>24</v>
      </c>
      <c r="G738" s="11" t="s">
        <v>1916</v>
      </c>
      <c r="H738" s="11" t="s">
        <v>15</v>
      </c>
      <c r="I738" s="11" t="s">
        <v>16</v>
      </c>
      <c r="J738" s="47" t="s">
        <v>1955</v>
      </c>
      <c r="K738">
        <f>1470</f>
        <v>1470</v>
      </c>
      <c r="L738" t="str">
        <f t="shared" si="33"/>
        <v>250</v>
      </c>
      <c r="M738" t="e">
        <f>C738-K738-L738-#REF!</f>
        <v>#REF!</v>
      </c>
      <c r="N738" t="e">
        <f t="shared" si="34"/>
        <v>#REF!</v>
      </c>
    </row>
    <row r="739" spans="1:14">
      <c r="A739" s="11" t="s">
        <v>1965</v>
      </c>
      <c r="B739" s="11">
        <v>3334430734</v>
      </c>
      <c r="C739" s="11">
        <v>1050</v>
      </c>
      <c r="D739" s="11" t="s">
        <v>1966</v>
      </c>
      <c r="E739" s="11" t="s">
        <v>23</v>
      </c>
      <c r="F739" s="11" t="s">
        <v>24</v>
      </c>
      <c r="G739" s="11" t="s">
        <v>303</v>
      </c>
      <c r="H739" s="11" t="s">
        <v>15</v>
      </c>
      <c r="I739" s="11" t="s">
        <v>16</v>
      </c>
      <c r="J739" s="47" t="s">
        <v>1967</v>
      </c>
      <c r="K739">
        <f>420</f>
        <v>420</v>
      </c>
      <c r="L739" t="str">
        <f t="shared" si="33"/>
        <v>250</v>
      </c>
      <c r="M739" t="e">
        <f>C739-K739-L739-#REF!</f>
        <v>#REF!</v>
      </c>
      <c r="N739" t="e">
        <f t="shared" si="34"/>
        <v>#REF!</v>
      </c>
    </row>
    <row r="740" spans="1:14">
      <c r="A740" s="11" t="s">
        <v>1968</v>
      </c>
      <c r="B740" s="11">
        <v>3329784782</v>
      </c>
      <c r="C740" s="11">
        <v>1000</v>
      </c>
      <c r="D740" s="11" t="s">
        <v>990</v>
      </c>
      <c r="E740" s="11" t="s">
        <v>153</v>
      </c>
      <c r="F740" s="11" t="s">
        <v>45</v>
      </c>
      <c r="G740" s="11" t="s">
        <v>1969</v>
      </c>
      <c r="H740" s="11" t="s">
        <v>41</v>
      </c>
      <c r="I740" s="11" t="s">
        <v>16</v>
      </c>
      <c r="J740" s="47" t="s">
        <v>1917</v>
      </c>
      <c r="K740">
        <f>(125*2)+200</f>
        <v>450</v>
      </c>
      <c r="L740" t="str">
        <f t="shared" si="33"/>
        <v>250</v>
      </c>
      <c r="M740" t="e">
        <f>C740-K740-L740-#REF!</f>
        <v>#REF!</v>
      </c>
      <c r="N740" t="e">
        <f t="shared" si="34"/>
        <v>#REF!</v>
      </c>
    </row>
    <row r="741" spans="1:14">
      <c r="A741" s="11" t="s">
        <v>1971</v>
      </c>
      <c r="B741" s="11">
        <v>3218413711</v>
      </c>
      <c r="C741" s="11">
        <v>1240</v>
      </c>
      <c r="D741" s="11" t="s">
        <v>1972</v>
      </c>
      <c r="E741" s="11" t="s">
        <v>23</v>
      </c>
      <c r="F741" s="11" t="s">
        <v>45</v>
      </c>
      <c r="G741" s="11" t="s">
        <v>1829</v>
      </c>
      <c r="H741" s="11" t="s">
        <v>15</v>
      </c>
      <c r="I741" s="11" t="s">
        <v>16</v>
      </c>
      <c r="J741" s="47" t="s">
        <v>1970</v>
      </c>
      <c r="K741">
        <f>(130*4)+60</f>
        <v>580</v>
      </c>
      <c r="L741" t="str">
        <f t="shared" si="33"/>
        <v>250</v>
      </c>
      <c r="M741" t="e">
        <f>C741-K741-L741-#REF!</f>
        <v>#REF!</v>
      </c>
      <c r="N741" t="e">
        <f t="shared" si="34"/>
        <v>#REF!</v>
      </c>
    </row>
    <row r="742" spans="1:14">
      <c r="A742" s="11" t="s">
        <v>1973</v>
      </c>
      <c r="B742" s="11">
        <v>3073433933</v>
      </c>
      <c r="C742" s="11">
        <v>1210</v>
      </c>
      <c r="D742" s="11" t="s">
        <v>1974</v>
      </c>
      <c r="E742" s="11" t="s">
        <v>1772</v>
      </c>
      <c r="F742" s="11" t="s">
        <v>45</v>
      </c>
      <c r="G742" s="11" t="s">
        <v>348</v>
      </c>
      <c r="H742" s="11" t="s">
        <v>15</v>
      </c>
      <c r="I742" s="11" t="s">
        <v>16</v>
      </c>
      <c r="J742" s="47" t="s">
        <v>1970</v>
      </c>
      <c r="K742">
        <f>(125*4)+100</f>
        <v>600</v>
      </c>
      <c r="L742" t="str">
        <f t="shared" si="33"/>
        <v>250</v>
      </c>
      <c r="M742" t="e">
        <f>C742-K742-L742-#REF!</f>
        <v>#REF!</v>
      </c>
      <c r="N742" t="e">
        <f t="shared" si="34"/>
        <v>#REF!</v>
      </c>
    </row>
    <row r="743" spans="1:14">
      <c r="A743" s="11" t="s">
        <v>1975</v>
      </c>
      <c r="B743" s="11">
        <v>3438118161</v>
      </c>
      <c r="C743" s="11">
        <v>2340</v>
      </c>
      <c r="D743" s="11" t="s">
        <v>1976</v>
      </c>
      <c r="E743" s="11" t="s">
        <v>148</v>
      </c>
      <c r="F743" s="11" t="s">
        <v>24</v>
      </c>
      <c r="G743" s="11" t="s">
        <v>1916</v>
      </c>
      <c r="H743" s="11" t="s">
        <v>15</v>
      </c>
      <c r="I743" s="11" t="s">
        <v>16</v>
      </c>
      <c r="J743" s="47" t="s">
        <v>1970</v>
      </c>
      <c r="K743">
        <v>1450</v>
      </c>
      <c r="L743" t="str">
        <f t="shared" si="33"/>
        <v>250</v>
      </c>
      <c r="M743" t="e">
        <f>C743-K743-L743-#REF!</f>
        <v>#REF!</v>
      </c>
      <c r="N743" t="e">
        <f t="shared" si="34"/>
        <v>#REF!</v>
      </c>
    </row>
    <row r="744" spans="1:14">
      <c r="A744" s="11" t="s">
        <v>1977</v>
      </c>
      <c r="B744" s="11">
        <v>3060518701</v>
      </c>
      <c r="C744" s="11">
        <v>2320</v>
      </c>
      <c r="D744" s="11" t="s">
        <v>1978</v>
      </c>
      <c r="E744" s="11" t="s">
        <v>1768</v>
      </c>
      <c r="F744" s="11" t="s">
        <v>24</v>
      </c>
      <c r="G744" s="11" t="s">
        <v>1916</v>
      </c>
      <c r="H744" s="11" t="s">
        <v>15</v>
      </c>
      <c r="I744" s="11" t="s">
        <v>16</v>
      </c>
      <c r="J744" s="47" t="s">
        <v>1970</v>
      </c>
      <c r="K744">
        <v>1450</v>
      </c>
      <c r="L744" t="str">
        <f t="shared" si="33"/>
        <v>250</v>
      </c>
      <c r="M744" t="e">
        <f>C744-K744-L744-#REF!</f>
        <v>#REF!</v>
      </c>
      <c r="N744" t="e">
        <f t="shared" si="34"/>
        <v>#REF!</v>
      </c>
    </row>
    <row r="745" spans="1:14">
      <c r="A745" s="11" t="s">
        <v>1980</v>
      </c>
      <c r="B745" s="11">
        <v>3226586009</v>
      </c>
      <c r="C745" s="11">
        <v>1000</v>
      </c>
      <c r="D745" s="11" t="s">
        <v>1979</v>
      </c>
      <c r="E745" s="11" t="s">
        <v>67</v>
      </c>
      <c r="F745" s="11" t="s">
        <v>45</v>
      </c>
      <c r="G745" s="11" t="s">
        <v>348</v>
      </c>
      <c r="H745" s="11" t="s">
        <v>15</v>
      </c>
      <c r="I745" s="11" t="s">
        <v>16</v>
      </c>
      <c r="J745" s="47" t="s">
        <v>1970</v>
      </c>
      <c r="K745">
        <f>(125*4)+100</f>
        <v>600</v>
      </c>
      <c r="L745" t="str">
        <f t="shared" ref="L745:L808" si="35">IF(E745="karachi","150","250")</f>
        <v>250</v>
      </c>
      <c r="M745" t="e">
        <f>C745-K745-L745-#REF!</f>
        <v>#REF!</v>
      </c>
      <c r="N745" t="e">
        <f t="shared" si="34"/>
        <v>#REF!</v>
      </c>
    </row>
    <row r="746" spans="1:14">
      <c r="A746" s="11" t="s">
        <v>1981</v>
      </c>
      <c r="B746" s="11">
        <v>3075308650</v>
      </c>
      <c r="C746" s="11">
        <v>1190</v>
      </c>
      <c r="D746" s="11" t="s">
        <v>1982</v>
      </c>
      <c r="E746" s="11" t="s">
        <v>12</v>
      </c>
      <c r="F746" s="11" t="s">
        <v>45</v>
      </c>
      <c r="G746" s="11" t="s">
        <v>348</v>
      </c>
      <c r="H746" s="11" t="s">
        <v>15</v>
      </c>
      <c r="I746" s="11" t="s">
        <v>16</v>
      </c>
      <c r="J746" s="47" t="s">
        <v>1970</v>
      </c>
      <c r="K746">
        <f>(125*4)+100</f>
        <v>600</v>
      </c>
      <c r="L746" t="str">
        <f t="shared" si="35"/>
        <v>250</v>
      </c>
      <c r="M746" t="e">
        <f>C746-K746-L746-#REF!</f>
        <v>#REF!</v>
      </c>
      <c r="N746" t="e">
        <f t="shared" si="34"/>
        <v>#REF!</v>
      </c>
    </row>
    <row r="747" spans="1:14">
      <c r="A747" s="11" t="s">
        <v>1983</v>
      </c>
      <c r="B747" s="59">
        <v>3452824966</v>
      </c>
      <c r="C747" s="11">
        <v>1000</v>
      </c>
      <c r="D747" s="11" t="s">
        <v>1984</v>
      </c>
      <c r="E747" s="11" t="s">
        <v>50</v>
      </c>
      <c r="F747" s="11" t="s">
        <v>45</v>
      </c>
      <c r="G747" s="11" t="s">
        <v>1302</v>
      </c>
      <c r="H747" s="11" t="s">
        <v>15</v>
      </c>
      <c r="I747" s="11" t="s">
        <v>16</v>
      </c>
      <c r="J747" s="47" t="s">
        <v>1970</v>
      </c>
      <c r="K747">
        <f>660</f>
        <v>660</v>
      </c>
      <c r="L747" t="str">
        <f t="shared" si="35"/>
        <v>150</v>
      </c>
      <c r="M747" t="e">
        <f>C747-K747-L747-#REF!</f>
        <v>#REF!</v>
      </c>
      <c r="N747" t="e">
        <f t="shared" si="34"/>
        <v>#REF!</v>
      </c>
    </row>
    <row r="748" spans="1:14">
      <c r="A748" s="40" t="s">
        <v>1985</v>
      </c>
      <c r="B748" s="40">
        <v>3153411370</v>
      </c>
      <c r="C748" s="40">
        <v>1110</v>
      </c>
      <c r="D748" s="40" t="s">
        <v>1986</v>
      </c>
      <c r="E748" s="40" t="s">
        <v>50</v>
      </c>
      <c r="F748" s="40" t="s">
        <v>45</v>
      </c>
      <c r="G748" s="40" t="s">
        <v>1875</v>
      </c>
      <c r="H748" s="40" t="s">
        <v>15</v>
      </c>
      <c r="I748" s="40" t="s">
        <v>122</v>
      </c>
      <c r="J748" s="37" t="s">
        <v>1970</v>
      </c>
      <c r="K748" s="11">
        <f>155*4</f>
        <v>620</v>
      </c>
      <c r="L748" t="str">
        <f t="shared" si="35"/>
        <v>150</v>
      </c>
      <c r="M748" t="e">
        <f>C748-K748-L748-#REF!</f>
        <v>#REF!</v>
      </c>
      <c r="N748" t="str">
        <f t="shared" si="34"/>
        <v>Waiting For Deliver</v>
      </c>
    </row>
    <row r="749" spans="1:14">
      <c r="A749" s="40" t="s">
        <v>1987</v>
      </c>
      <c r="B749" s="40">
        <v>3005648647</v>
      </c>
      <c r="C749" s="40">
        <v>1370</v>
      </c>
      <c r="D749" s="40" t="s">
        <v>1988</v>
      </c>
      <c r="E749" s="40" t="s">
        <v>686</v>
      </c>
      <c r="F749" s="40" t="s">
        <v>45</v>
      </c>
      <c r="G749" s="40" t="s">
        <v>1875</v>
      </c>
      <c r="H749" s="40" t="s">
        <v>15</v>
      </c>
      <c r="I749" s="40" t="s">
        <v>122</v>
      </c>
      <c r="J749" s="37" t="s">
        <v>1970</v>
      </c>
      <c r="K749">
        <f>155*4</f>
        <v>620</v>
      </c>
      <c r="L749" t="str">
        <f t="shared" si="35"/>
        <v>250</v>
      </c>
      <c r="M749" t="e">
        <f>C749-K749-L749-#REF!</f>
        <v>#REF!</v>
      </c>
      <c r="N749" t="str">
        <f t="shared" si="34"/>
        <v>Waiting For Deliver</v>
      </c>
    </row>
    <row r="750" spans="1:14">
      <c r="A750" s="40" t="s">
        <v>1989</v>
      </c>
      <c r="B750" s="40">
        <v>3229321640</v>
      </c>
      <c r="C750" s="40">
        <v>3200</v>
      </c>
      <c r="D750" s="40" t="s">
        <v>1990</v>
      </c>
      <c r="E750" s="40" t="s">
        <v>57</v>
      </c>
      <c r="F750" s="40" t="s">
        <v>45</v>
      </c>
      <c r="G750" s="40" t="s">
        <v>1991</v>
      </c>
      <c r="H750" s="40" t="s">
        <v>41</v>
      </c>
      <c r="I750" s="40" t="s">
        <v>122</v>
      </c>
      <c r="J750" s="37" t="s">
        <v>1992</v>
      </c>
      <c r="K750">
        <f>(220*8)+50</f>
        <v>1810</v>
      </c>
      <c r="L750" t="str">
        <f t="shared" si="35"/>
        <v>250</v>
      </c>
      <c r="M750" t="e">
        <f>C750-K750-L750-#REF!</f>
        <v>#REF!</v>
      </c>
      <c r="N750" t="str">
        <f t="shared" si="34"/>
        <v>Waiting For Deliver</v>
      </c>
    </row>
    <row r="751" spans="1:14">
      <c r="A751" s="11" t="s">
        <v>1993</v>
      </c>
      <c r="B751" s="11">
        <v>3203213250</v>
      </c>
      <c r="C751" s="11">
        <v>1500</v>
      </c>
      <c r="D751" s="11" t="s">
        <v>1994</v>
      </c>
      <c r="E751" s="11" t="s">
        <v>50</v>
      </c>
      <c r="F751" s="11" t="s">
        <v>45</v>
      </c>
      <c r="G751" s="11" t="s">
        <v>1995</v>
      </c>
      <c r="H751" s="11" t="s">
        <v>41</v>
      </c>
      <c r="I751" s="11" t="s">
        <v>16</v>
      </c>
      <c r="J751" s="19" t="s">
        <v>1992</v>
      </c>
      <c r="K751">
        <f>155*5</f>
        <v>775</v>
      </c>
      <c r="L751" t="str">
        <f t="shared" si="35"/>
        <v>150</v>
      </c>
      <c r="M751" t="e">
        <f>C751-K751-L751-#REF!</f>
        <v>#REF!</v>
      </c>
      <c r="N751" t="e">
        <f t="shared" ref="N751:N814" si="36">IF(I751="deliver",M751,"Waiting For Deliver")</f>
        <v>#REF!</v>
      </c>
    </row>
    <row r="752" spans="1:14">
      <c r="A752" t="s">
        <v>1996</v>
      </c>
      <c r="B752">
        <v>3120343914</v>
      </c>
      <c r="C752">
        <v>950</v>
      </c>
      <c r="D752" t="s">
        <v>1997</v>
      </c>
      <c r="E752" t="s">
        <v>50</v>
      </c>
      <c r="F752" t="s">
        <v>45</v>
      </c>
      <c r="G752" t="s">
        <v>1445</v>
      </c>
      <c r="H752" t="s">
        <v>413</v>
      </c>
      <c r="I752" t="s">
        <v>16</v>
      </c>
      <c r="J752" s="19" t="s">
        <v>1992</v>
      </c>
      <c r="K752">
        <f>650</f>
        <v>650</v>
      </c>
      <c r="L752" t="str">
        <f t="shared" si="35"/>
        <v>150</v>
      </c>
      <c r="M752" t="e">
        <f>C752-K752-L752-#REF!</f>
        <v>#REF!</v>
      </c>
      <c r="N752" t="e">
        <f t="shared" si="36"/>
        <v>#REF!</v>
      </c>
    </row>
    <row r="753" spans="1:17">
      <c r="A753" s="11" t="s">
        <v>1998</v>
      </c>
      <c r="B753" s="11">
        <v>3459344772</v>
      </c>
      <c r="C753" s="11">
        <v>820</v>
      </c>
      <c r="D753" s="11" t="s">
        <v>1999</v>
      </c>
      <c r="E753" s="11" t="s">
        <v>539</v>
      </c>
      <c r="F753" s="11" t="s">
        <v>24</v>
      </c>
      <c r="G753" s="11" t="s">
        <v>1611</v>
      </c>
      <c r="H753" s="11" t="s">
        <v>15</v>
      </c>
      <c r="I753" s="11" t="s">
        <v>16</v>
      </c>
      <c r="J753" s="47" t="s">
        <v>2000</v>
      </c>
      <c r="K753">
        <f>330+40</f>
        <v>370</v>
      </c>
      <c r="L753" t="str">
        <f t="shared" si="35"/>
        <v>250</v>
      </c>
      <c r="M753" t="e">
        <f>C753-K753-L753-#REF!</f>
        <v>#REF!</v>
      </c>
      <c r="N753" t="e">
        <f t="shared" si="36"/>
        <v>#REF!</v>
      </c>
    </row>
    <row r="754" spans="1:17">
      <c r="A754" s="11" t="s">
        <v>2001</v>
      </c>
      <c r="B754" s="11">
        <v>3445085164</v>
      </c>
      <c r="C754" s="11">
        <v>1130</v>
      </c>
      <c r="D754" s="11" t="s">
        <v>2002</v>
      </c>
      <c r="E754" s="11" t="s">
        <v>1768</v>
      </c>
      <c r="F754" s="11" t="s">
        <v>45</v>
      </c>
      <c r="G754" s="11" t="s">
        <v>348</v>
      </c>
      <c r="H754" s="11" t="s">
        <v>15</v>
      </c>
      <c r="I754" s="11" t="s">
        <v>16</v>
      </c>
      <c r="J754" s="47" t="s">
        <v>2000</v>
      </c>
      <c r="K754">
        <f>(125*4)+120</f>
        <v>620</v>
      </c>
      <c r="L754" t="str">
        <f t="shared" si="35"/>
        <v>250</v>
      </c>
      <c r="M754" t="e">
        <f>C754-K754-L754-#REF!</f>
        <v>#REF!</v>
      </c>
      <c r="N754" t="e">
        <f t="shared" si="36"/>
        <v>#REF!</v>
      </c>
    </row>
    <row r="755" spans="1:17">
      <c r="A755" s="11" t="s">
        <v>2003</v>
      </c>
      <c r="B755" s="11">
        <v>3155509718</v>
      </c>
      <c r="C755" s="11">
        <v>1200</v>
      </c>
      <c r="D755" s="11" t="s">
        <v>2004</v>
      </c>
      <c r="E755" s="11" t="s">
        <v>1768</v>
      </c>
      <c r="F755" s="11" t="s">
        <v>45</v>
      </c>
      <c r="G755" s="11" t="s">
        <v>1931</v>
      </c>
      <c r="H755" s="11" t="s">
        <v>15</v>
      </c>
      <c r="I755" s="11" t="s">
        <v>16</v>
      </c>
      <c r="J755" s="47" t="s">
        <v>2000</v>
      </c>
      <c r="K755">
        <f>(125*5)+160</f>
        <v>785</v>
      </c>
      <c r="L755" t="str">
        <f t="shared" si="35"/>
        <v>250</v>
      </c>
      <c r="M755" t="e">
        <f>C755-K755-L755-#REF!</f>
        <v>#REF!</v>
      </c>
      <c r="N755" t="e">
        <f t="shared" si="36"/>
        <v>#REF!</v>
      </c>
    </row>
    <row r="756" spans="1:17">
      <c r="A756" s="11" t="s">
        <v>2006</v>
      </c>
      <c r="B756" s="11">
        <v>3103839616</v>
      </c>
      <c r="C756" s="11">
        <v>1080</v>
      </c>
      <c r="D756" s="11" t="s">
        <v>2007</v>
      </c>
      <c r="E756" s="11" t="s">
        <v>125</v>
      </c>
      <c r="F756" s="11" t="s">
        <v>24</v>
      </c>
      <c r="G756" s="11" t="s">
        <v>2005</v>
      </c>
      <c r="H756" s="11" t="s">
        <v>15</v>
      </c>
      <c r="I756" s="11" t="s">
        <v>16</v>
      </c>
      <c r="J756" s="47" t="s">
        <v>2000</v>
      </c>
      <c r="K756">
        <f>120+150+40</f>
        <v>310</v>
      </c>
      <c r="L756" t="str">
        <f t="shared" si="35"/>
        <v>250</v>
      </c>
      <c r="M756" t="e">
        <f>C756-K756-L756-#REF!</f>
        <v>#REF!</v>
      </c>
      <c r="N756" t="e">
        <f t="shared" si="36"/>
        <v>#REF!</v>
      </c>
      <c r="Q756" t="s">
        <v>1759</v>
      </c>
    </row>
    <row r="757" spans="1:17">
      <c r="A757" s="11" t="s">
        <v>2008</v>
      </c>
      <c r="B757" s="11">
        <v>3442800005</v>
      </c>
      <c r="C757" s="11">
        <v>970</v>
      </c>
      <c r="D757" s="11" t="s">
        <v>2009</v>
      </c>
      <c r="E757" s="11" t="s">
        <v>2010</v>
      </c>
      <c r="F757" s="11" t="s">
        <v>45</v>
      </c>
      <c r="G757" s="11" t="s">
        <v>1445</v>
      </c>
      <c r="H757" s="11" t="s">
        <v>15</v>
      </c>
      <c r="I757" s="11" t="s">
        <v>16</v>
      </c>
      <c r="J757" s="39">
        <v>42375</v>
      </c>
      <c r="K757">
        <f>660</f>
        <v>660</v>
      </c>
      <c r="L757">
        <v>200</v>
      </c>
      <c r="M757" t="e">
        <f>C757-K757-L757-#REF!</f>
        <v>#REF!</v>
      </c>
      <c r="N757" t="e">
        <f t="shared" si="36"/>
        <v>#REF!</v>
      </c>
    </row>
    <row r="758" spans="1:17">
      <c r="A758" s="11" t="s">
        <v>2011</v>
      </c>
      <c r="B758" s="11">
        <v>3313819752</v>
      </c>
      <c r="C758" s="11">
        <v>1300</v>
      </c>
      <c r="D758" s="11" t="s">
        <v>2012</v>
      </c>
      <c r="E758" s="11" t="s">
        <v>593</v>
      </c>
      <c r="F758" s="11" t="s">
        <v>515</v>
      </c>
      <c r="G758" s="11" t="s">
        <v>1296</v>
      </c>
      <c r="H758" s="11" t="s">
        <v>15</v>
      </c>
      <c r="I758" s="11" t="s">
        <v>16</v>
      </c>
      <c r="J758" s="39">
        <v>42375</v>
      </c>
      <c r="K758">
        <v>800</v>
      </c>
      <c r="L758" t="str">
        <f t="shared" si="35"/>
        <v>250</v>
      </c>
      <c r="M758" t="e">
        <f>C758-K758-L758-#REF!</f>
        <v>#REF!</v>
      </c>
      <c r="N758" t="e">
        <f t="shared" si="36"/>
        <v>#REF!</v>
      </c>
    </row>
    <row r="759" spans="1:17">
      <c r="A759" s="11" t="s">
        <v>2013</v>
      </c>
      <c r="B759" s="11">
        <v>3219669900</v>
      </c>
      <c r="C759" s="11">
        <v>1070</v>
      </c>
      <c r="D759" s="11" t="s">
        <v>2014</v>
      </c>
      <c r="E759" s="11" t="s">
        <v>57</v>
      </c>
      <c r="F759" s="11" t="s">
        <v>24</v>
      </c>
      <c r="G759" s="11" t="s">
        <v>1302</v>
      </c>
      <c r="H759" s="11" t="s">
        <v>15</v>
      </c>
      <c r="I759" s="11" t="s">
        <v>16</v>
      </c>
      <c r="J759" s="39">
        <v>42375</v>
      </c>
      <c r="K759">
        <f>660</f>
        <v>660</v>
      </c>
      <c r="L759" t="str">
        <f t="shared" si="35"/>
        <v>250</v>
      </c>
      <c r="M759" t="e">
        <f>C759-K759-L759-#REF!</f>
        <v>#REF!</v>
      </c>
      <c r="N759" t="e">
        <f t="shared" si="36"/>
        <v>#REF!</v>
      </c>
    </row>
    <row r="760" spans="1:17">
      <c r="A760" s="11" t="s">
        <v>2015</v>
      </c>
      <c r="B760" s="11">
        <v>3248543074</v>
      </c>
      <c r="C760" s="11">
        <v>1340</v>
      </c>
      <c r="D760" s="11" t="s">
        <v>2016</v>
      </c>
      <c r="E760" s="11" t="s">
        <v>19</v>
      </c>
      <c r="F760" s="11" t="s">
        <v>24</v>
      </c>
      <c r="G760" s="11" t="s">
        <v>2038</v>
      </c>
      <c r="H760" s="11" t="s">
        <v>15</v>
      </c>
      <c r="I760" s="11" t="s">
        <v>16</v>
      </c>
      <c r="J760" s="39">
        <v>42375</v>
      </c>
      <c r="K760">
        <f>700</f>
        <v>700</v>
      </c>
      <c r="L760" t="str">
        <f t="shared" si="35"/>
        <v>250</v>
      </c>
      <c r="M760" t="e">
        <f>C760-K760-L760-#REF!</f>
        <v>#REF!</v>
      </c>
      <c r="N760" t="e">
        <f t="shared" si="36"/>
        <v>#REF!</v>
      </c>
    </row>
    <row r="761" spans="1:17">
      <c r="A761" s="11" t="s">
        <v>2017</v>
      </c>
      <c r="B761" s="11">
        <v>3016480283</v>
      </c>
      <c r="C761" s="11">
        <v>1370</v>
      </c>
      <c r="D761" s="11" t="s">
        <v>2018</v>
      </c>
      <c r="E761" s="11" t="s">
        <v>2019</v>
      </c>
      <c r="F761" s="11" t="s">
        <v>45</v>
      </c>
      <c r="G761" s="11" t="s">
        <v>1875</v>
      </c>
      <c r="H761" s="11" t="s">
        <v>15</v>
      </c>
      <c r="I761" s="11" t="s">
        <v>16</v>
      </c>
      <c r="J761" s="39">
        <v>42375</v>
      </c>
      <c r="K761">
        <f>155*4</f>
        <v>620</v>
      </c>
      <c r="L761" t="str">
        <f t="shared" si="35"/>
        <v>250</v>
      </c>
      <c r="M761" t="e">
        <f>C761-K761-L761-#REF!</f>
        <v>#REF!</v>
      </c>
      <c r="N761" t="e">
        <f t="shared" si="36"/>
        <v>#REF!</v>
      </c>
    </row>
    <row r="762" spans="1:17">
      <c r="A762" s="11" t="s">
        <v>2020</v>
      </c>
      <c r="B762" s="11">
        <v>3312641360</v>
      </c>
      <c r="C762" s="11">
        <v>899</v>
      </c>
      <c r="D762" s="11" t="s">
        <v>2021</v>
      </c>
      <c r="E762" s="11" t="s">
        <v>50</v>
      </c>
      <c r="F762" s="11" t="s">
        <v>45</v>
      </c>
      <c r="G762" s="11" t="s">
        <v>1445</v>
      </c>
      <c r="H762" s="11" t="s">
        <v>413</v>
      </c>
      <c r="I762" s="11" t="s">
        <v>16</v>
      </c>
      <c r="J762" s="39">
        <v>42435</v>
      </c>
      <c r="K762">
        <f>660</f>
        <v>660</v>
      </c>
      <c r="L762" t="str">
        <f t="shared" si="35"/>
        <v>150</v>
      </c>
      <c r="M762" t="e">
        <f>C762-K762-L762-#REF!</f>
        <v>#REF!</v>
      </c>
      <c r="N762" t="e">
        <f t="shared" si="36"/>
        <v>#REF!</v>
      </c>
    </row>
    <row r="763" spans="1:17">
      <c r="A763" s="11" t="s">
        <v>2025</v>
      </c>
      <c r="B763" s="11">
        <v>3242512020</v>
      </c>
      <c r="C763" s="11">
        <v>1350</v>
      </c>
      <c r="D763" s="11" t="s">
        <v>2026</v>
      </c>
      <c r="E763" s="11" t="s">
        <v>50</v>
      </c>
      <c r="F763" s="11" t="s">
        <v>45</v>
      </c>
      <c r="G763" s="11" t="s">
        <v>1445</v>
      </c>
      <c r="H763" s="11" t="s">
        <v>41</v>
      </c>
      <c r="I763" s="11" t="s">
        <v>16</v>
      </c>
      <c r="J763" s="39">
        <v>42435</v>
      </c>
      <c r="K763">
        <f>660</f>
        <v>660</v>
      </c>
      <c r="L763" t="str">
        <f t="shared" si="35"/>
        <v>150</v>
      </c>
      <c r="M763" t="e">
        <f>C763-K763-L763-#REF!</f>
        <v>#REF!</v>
      </c>
      <c r="N763" t="e">
        <f t="shared" si="36"/>
        <v>#REF!</v>
      </c>
    </row>
    <row r="764" spans="1:17">
      <c r="A764" s="11" t="s">
        <v>2022</v>
      </c>
      <c r="B764" s="11">
        <v>3012283334</v>
      </c>
      <c r="C764" s="11">
        <v>1240</v>
      </c>
      <c r="D764" s="11" t="s">
        <v>2023</v>
      </c>
      <c r="E764" s="11" t="s">
        <v>865</v>
      </c>
      <c r="F764" s="11" t="s">
        <v>45</v>
      </c>
      <c r="G764" s="11" t="s">
        <v>2024</v>
      </c>
      <c r="H764" s="11" t="s">
        <v>716</v>
      </c>
      <c r="I764" s="11" t="s">
        <v>16</v>
      </c>
      <c r="J764" s="39">
        <v>42435</v>
      </c>
      <c r="K764">
        <f>(130*4)+60</f>
        <v>580</v>
      </c>
      <c r="L764" t="str">
        <f t="shared" si="35"/>
        <v>250</v>
      </c>
      <c r="M764" t="e">
        <f>C764-K764-L764-#REF!</f>
        <v>#REF!</v>
      </c>
      <c r="N764" t="e">
        <f t="shared" si="36"/>
        <v>#REF!</v>
      </c>
    </row>
    <row r="765" spans="1:17">
      <c r="A765" s="11" t="s">
        <v>2027</v>
      </c>
      <c r="B765" s="11">
        <v>3447701877</v>
      </c>
      <c r="C765" s="11">
        <v>700</v>
      </c>
      <c r="D765" s="11" t="s">
        <v>2028</v>
      </c>
      <c r="E765" s="11" t="s">
        <v>57</v>
      </c>
      <c r="F765" s="11" t="s">
        <v>24</v>
      </c>
      <c r="G765" s="11" t="s">
        <v>1959</v>
      </c>
      <c r="H765" s="11" t="s">
        <v>15</v>
      </c>
      <c r="I765" s="11" t="s">
        <v>16</v>
      </c>
      <c r="J765" s="39">
        <v>42435</v>
      </c>
      <c r="K765">
        <f>210+25</f>
        <v>235</v>
      </c>
      <c r="L765" t="str">
        <f t="shared" si="35"/>
        <v>250</v>
      </c>
      <c r="M765" t="e">
        <f>C765-K765-L765-#REF!</f>
        <v>#REF!</v>
      </c>
      <c r="N765" t="e">
        <f t="shared" si="36"/>
        <v>#REF!</v>
      </c>
    </row>
    <row r="766" spans="1:17">
      <c r="A766" s="11" t="s">
        <v>2029</v>
      </c>
      <c r="B766" s="11">
        <v>3334289855</v>
      </c>
      <c r="C766" s="11">
        <v>1160</v>
      </c>
      <c r="D766" s="11" t="s">
        <v>2030</v>
      </c>
      <c r="E766" s="11" t="s">
        <v>23</v>
      </c>
      <c r="F766" s="11" t="s">
        <v>24</v>
      </c>
      <c r="G766" s="11" t="s">
        <v>1340</v>
      </c>
      <c r="H766" s="11" t="s">
        <v>15</v>
      </c>
      <c r="I766" s="11" t="s">
        <v>16</v>
      </c>
      <c r="J766" s="39">
        <v>42435</v>
      </c>
      <c r="K766">
        <f>490+25</f>
        <v>515</v>
      </c>
      <c r="L766" t="str">
        <f t="shared" si="35"/>
        <v>250</v>
      </c>
      <c r="M766" t="e">
        <f>C766-K766-L766-#REF!</f>
        <v>#REF!</v>
      </c>
      <c r="N766" t="e">
        <f t="shared" si="36"/>
        <v>#REF!</v>
      </c>
    </row>
    <row r="767" spans="1:17">
      <c r="A767" s="40" t="s">
        <v>2031</v>
      </c>
      <c r="B767" s="40">
        <v>3204569380</v>
      </c>
      <c r="C767" s="40">
        <v>1080</v>
      </c>
      <c r="D767" s="40" t="s">
        <v>2032</v>
      </c>
      <c r="E767" s="40" t="s">
        <v>23</v>
      </c>
      <c r="F767" s="40" t="s">
        <v>45</v>
      </c>
      <c r="G767" s="40" t="s">
        <v>2033</v>
      </c>
      <c r="H767" s="40" t="s">
        <v>15</v>
      </c>
      <c r="I767" s="40" t="s">
        <v>122</v>
      </c>
      <c r="J767" s="42">
        <v>42527</v>
      </c>
      <c r="K767" s="18">
        <f>140+375</f>
        <v>515</v>
      </c>
      <c r="L767" t="str">
        <f t="shared" si="35"/>
        <v>250</v>
      </c>
      <c r="M767" t="e">
        <f>C767-K767-L767-#REF!</f>
        <v>#REF!</v>
      </c>
      <c r="N767" t="str">
        <f t="shared" si="36"/>
        <v>Waiting For Deliver</v>
      </c>
    </row>
    <row r="768" spans="1:17">
      <c r="A768" s="40" t="s">
        <v>2034</v>
      </c>
      <c r="B768" s="40">
        <v>3359335779</v>
      </c>
      <c r="C768" s="40">
        <v>1350</v>
      </c>
      <c r="D768" s="40" t="s">
        <v>2035</v>
      </c>
      <c r="E768" s="40" t="s">
        <v>35</v>
      </c>
      <c r="F768" s="40" t="s">
        <v>45</v>
      </c>
      <c r="G768" s="40" t="s">
        <v>1875</v>
      </c>
      <c r="H768" s="40" t="s">
        <v>15</v>
      </c>
      <c r="I768" s="40" t="s">
        <v>122</v>
      </c>
      <c r="J768" s="42">
        <v>42527</v>
      </c>
      <c r="K768">
        <f>155*4</f>
        <v>620</v>
      </c>
      <c r="L768" t="str">
        <f t="shared" si="35"/>
        <v>250</v>
      </c>
      <c r="M768" t="e">
        <f>C768-K768-L768-#REF!</f>
        <v>#REF!</v>
      </c>
      <c r="N768" t="str">
        <f t="shared" si="36"/>
        <v>Waiting For Deliver</v>
      </c>
    </row>
    <row r="769" spans="1:14">
      <c r="A769" s="40" t="s">
        <v>2036</v>
      </c>
      <c r="B769" s="40">
        <v>3006328424</v>
      </c>
      <c r="C769" s="40">
        <v>1080</v>
      </c>
      <c r="D769" s="40" t="s">
        <v>2037</v>
      </c>
      <c r="E769" s="40" t="s">
        <v>23</v>
      </c>
      <c r="F769" s="40" t="s">
        <v>45</v>
      </c>
      <c r="G769" s="40" t="s">
        <v>2033</v>
      </c>
      <c r="H769" s="40" t="s">
        <v>15</v>
      </c>
      <c r="I769" s="40" t="s">
        <v>122</v>
      </c>
      <c r="J769" s="42">
        <v>42527</v>
      </c>
      <c r="K769" s="18">
        <f>140+375</f>
        <v>515</v>
      </c>
      <c r="L769" t="str">
        <f t="shared" si="35"/>
        <v>250</v>
      </c>
      <c r="M769" t="e">
        <f>C769-K769-L769-#REF!</f>
        <v>#REF!</v>
      </c>
      <c r="N769" t="str">
        <f t="shared" si="36"/>
        <v>Waiting For Deliver</v>
      </c>
    </row>
    <row r="770" spans="1:14">
      <c r="A770" s="11" t="s">
        <v>2039</v>
      </c>
      <c r="B770" s="11">
        <v>3312850590</v>
      </c>
      <c r="C770" s="11">
        <v>930</v>
      </c>
      <c r="D770" s="11" t="s">
        <v>2040</v>
      </c>
      <c r="E770" s="11" t="s">
        <v>50</v>
      </c>
      <c r="F770" s="11" t="s">
        <v>24</v>
      </c>
      <c r="G770" s="11" t="s">
        <v>303</v>
      </c>
      <c r="H770" s="11" t="s">
        <v>15</v>
      </c>
      <c r="I770" s="11" t="s">
        <v>16</v>
      </c>
      <c r="J770" s="39">
        <v>42527</v>
      </c>
      <c r="K770">
        <f>420</f>
        <v>420</v>
      </c>
      <c r="L770" t="str">
        <f t="shared" si="35"/>
        <v>150</v>
      </c>
      <c r="M770" t="e">
        <f>C770-K770-L770-#REF!</f>
        <v>#REF!</v>
      </c>
      <c r="N770" t="e">
        <f t="shared" si="36"/>
        <v>#REF!</v>
      </c>
    </row>
    <row r="771" spans="1:14">
      <c r="A771" s="11" t="s">
        <v>1370</v>
      </c>
      <c r="B771" s="11">
        <v>3212129330</v>
      </c>
      <c r="C771" s="11">
        <v>1000</v>
      </c>
      <c r="D771" s="11" t="s">
        <v>2041</v>
      </c>
      <c r="E771" s="11" t="s">
        <v>50</v>
      </c>
      <c r="F771" s="11" t="s">
        <v>45</v>
      </c>
      <c r="G771" s="11" t="s">
        <v>1875</v>
      </c>
      <c r="H771" s="11" t="s">
        <v>41</v>
      </c>
      <c r="I771" s="11" t="s">
        <v>16</v>
      </c>
      <c r="J771" s="39">
        <v>42527</v>
      </c>
      <c r="K771">
        <f>155*4</f>
        <v>620</v>
      </c>
      <c r="L771" t="str">
        <f t="shared" si="35"/>
        <v>150</v>
      </c>
      <c r="M771" t="e">
        <f>C771-K771-L771-#REF!</f>
        <v>#REF!</v>
      </c>
      <c r="N771" t="e">
        <f t="shared" si="36"/>
        <v>#REF!</v>
      </c>
    </row>
    <row r="772" spans="1:14">
      <c r="A772" s="2" t="s">
        <v>1370</v>
      </c>
      <c r="B772" s="2">
        <v>3452820133</v>
      </c>
      <c r="C772" s="5">
        <v>800</v>
      </c>
      <c r="D772" s="2" t="s">
        <v>433</v>
      </c>
      <c r="E772" s="5" t="s">
        <v>50</v>
      </c>
      <c r="F772" s="5" t="s">
        <v>24</v>
      </c>
      <c r="G772" s="11" t="s">
        <v>303</v>
      </c>
      <c r="H772" s="11" t="s">
        <v>413</v>
      </c>
      <c r="I772" s="11" t="s">
        <v>16</v>
      </c>
      <c r="J772" s="39">
        <v>42527</v>
      </c>
      <c r="K772">
        <f>400</f>
        <v>400</v>
      </c>
      <c r="L772" t="str">
        <f t="shared" si="35"/>
        <v>150</v>
      </c>
      <c r="M772" t="e">
        <f>C772-K772-L772-#REF!</f>
        <v>#REF!</v>
      </c>
      <c r="N772" t="e">
        <f t="shared" si="36"/>
        <v>#REF!</v>
      </c>
    </row>
    <row r="773" spans="1:14">
      <c r="A773" s="11" t="s">
        <v>2042</v>
      </c>
      <c r="B773" s="59">
        <v>3122714928</v>
      </c>
      <c r="C773" s="11">
        <v>1140</v>
      </c>
      <c r="D773" s="11" t="s">
        <v>2043</v>
      </c>
      <c r="E773" s="11" t="s">
        <v>50</v>
      </c>
      <c r="F773" s="11" t="s">
        <v>45</v>
      </c>
      <c r="G773" s="11" t="s">
        <v>348</v>
      </c>
      <c r="H773" s="11" t="s">
        <v>15</v>
      </c>
      <c r="I773" s="11" t="s">
        <v>16</v>
      </c>
      <c r="J773" s="39">
        <v>42557</v>
      </c>
      <c r="K773">
        <f>(125*4)+100</f>
        <v>600</v>
      </c>
      <c r="L773" t="str">
        <f t="shared" ref="L773" si="37">IF(E773="karachi","150","250")</f>
        <v>150</v>
      </c>
      <c r="M773" t="e">
        <f>C773-K773-L773-#REF!</f>
        <v>#REF!</v>
      </c>
      <c r="N773" t="e">
        <f t="shared" si="36"/>
        <v>#REF!</v>
      </c>
    </row>
    <row r="774" spans="1:14">
      <c r="A774" s="66" t="s">
        <v>2044</v>
      </c>
      <c r="B774" s="11">
        <v>3343878349</v>
      </c>
      <c r="C774" s="11">
        <v>1020</v>
      </c>
      <c r="D774" s="11" t="s">
        <v>2045</v>
      </c>
      <c r="E774" s="11" t="s">
        <v>50</v>
      </c>
      <c r="F774" s="11" t="s">
        <v>45</v>
      </c>
      <c r="G774" s="11" t="s">
        <v>1302</v>
      </c>
      <c r="H774" s="11" t="s">
        <v>15</v>
      </c>
      <c r="I774" s="11" t="s">
        <v>16</v>
      </c>
      <c r="J774" s="39">
        <v>42557</v>
      </c>
      <c r="K774">
        <v>650</v>
      </c>
      <c r="L774" t="str">
        <f t="shared" si="35"/>
        <v>150</v>
      </c>
      <c r="M774" t="e">
        <f>C774-K774-L774-#REF!</f>
        <v>#REF!</v>
      </c>
      <c r="N774" t="e">
        <f t="shared" si="36"/>
        <v>#REF!</v>
      </c>
    </row>
    <row r="775" spans="1:14">
      <c r="A775" s="11" t="s">
        <v>2046</v>
      </c>
      <c r="B775" s="11">
        <v>3214886486</v>
      </c>
      <c r="C775" s="11">
        <v>1050</v>
      </c>
      <c r="D775" s="59" t="s">
        <v>2047</v>
      </c>
      <c r="E775" s="11" t="s">
        <v>23</v>
      </c>
      <c r="F775" s="11" t="s">
        <v>45</v>
      </c>
      <c r="G775" s="11" t="s">
        <v>2048</v>
      </c>
      <c r="H775" s="11" t="s">
        <v>15</v>
      </c>
      <c r="I775" s="11" t="s">
        <v>16</v>
      </c>
      <c r="J775" s="39">
        <v>42619</v>
      </c>
      <c r="K775">
        <f>155*4</f>
        <v>620</v>
      </c>
      <c r="L775" t="str">
        <f t="shared" si="35"/>
        <v>250</v>
      </c>
      <c r="M775" t="e">
        <f>C775-K775-L775-#REF!</f>
        <v>#REF!</v>
      </c>
      <c r="N775" t="e">
        <f t="shared" si="36"/>
        <v>#REF!</v>
      </c>
    </row>
    <row r="776" spans="1:14">
      <c r="A776" s="11" t="s">
        <v>2050</v>
      </c>
      <c r="B776" s="11">
        <v>3022222063</v>
      </c>
      <c r="C776" s="11">
        <v>2200</v>
      </c>
      <c r="D776" s="11" t="s">
        <v>2051</v>
      </c>
      <c r="E776" s="11" t="s">
        <v>1768</v>
      </c>
      <c r="F776" s="11" t="s">
        <v>24</v>
      </c>
      <c r="G776" s="11" t="s">
        <v>2049</v>
      </c>
      <c r="H776" s="11" t="s">
        <v>41</v>
      </c>
      <c r="I776" s="11" t="s">
        <v>16</v>
      </c>
      <c r="J776" s="39">
        <v>42619</v>
      </c>
      <c r="K776">
        <f>1150</f>
        <v>1150</v>
      </c>
      <c r="L776" t="str">
        <f t="shared" si="35"/>
        <v>250</v>
      </c>
      <c r="M776" t="e">
        <f>C776-K776-L776-#REF!</f>
        <v>#REF!</v>
      </c>
      <c r="N776" t="e">
        <f t="shared" si="36"/>
        <v>#REF!</v>
      </c>
    </row>
    <row r="777" spans="1:14">
      <c r="A777" s="11" t="s">
        <v>2054</v>
      </c>
      <c r="C777" s="11">
        <v>1200</v>
      </c>
      <c r="D777" s="11" t="s">
        <v>2053</v>
      </c>
      <c r="E777" s="11" t="s">
        <v>50</v>
      </c>
      <c r="F777" s="11" t="s">
        <v>515</v>
      </c>
      <c r="G777" s="11" t="s">
        <v>2052</v>
      </c>
      <c r="H777" s="11" t="s">
        <v>41</v>
      </c>
      <c r="I777" s="11" t="s">
        <v>16</v>
      </c>
      <c r="J777" s="38">
        <v>42680</v>
      </c>
      <c r="K777">
        <f>400</f>
        <v>400</v>
      </c>
      <c r="L777" t="str">
        <f t="shared" si="35"/>
        <v>150</v>
      </c>
      <c r="M777" t="e">
        <f>C777-K777-L777-#REF!</f>
        <v>#REF!</v>
      </c>
      <c r="N777" t="e">
        <f t="shared" si="36"/>
        <v>#REF!</v>
      </c>
    </row>
    <row r="778" spans="1:14">
      <c r="A778" s="11" t="s">
        <v>2055</v>
      </c>
      <c r="B778" s="11">
        <v>3064177293</v>
      </c>
      <c r="C778" s="11">
        <v>2320</v>
      </c>
      <c r="D778" s="11" t="s">
        <v>2056</v>
      </c>
      <c r="E778" s="11" t="s">
        <v>23</v>
      </c>
      <c r="F778" s="11" t="s">
        <v>24</v>
      </c>
      <c r="G778" s="11" t="s">
        <v>1916</v>
      </c>
      <c r="H778" s="11" t="s">
        <v>15</v>
      </c>
      <c r="I778" s="11" t="s">
        <v>16</v>
      </c>
      <c r="J778" s="47" t="s">
        <v>2057</v>
      </c>
      <c r="K778">
        <v>1450</v>
      </c>
      <c r="L778" t="str">
        <f t="shared" si="35"/>
        <v>250</v>
      </c>
      <c r="M778" t="e">
        <f>C778-K778-L778-#REF!</f>
        <v>#REF!</v>
      </c>
      <c r="N778" t="e">
        <f t="shared" si="36"/>
        <v>#REF!</v>
      </c>
    </row>
    <row r="779" spans="1:14">
      <c r="A779" s="11" t="s">
        <v>2058</v>
      </c>
      <c r="B779" s="11">
        <v>3425548253</v>
      </c>
      <c r="C779" s="11">
        <v>980</v>
      </c>
      <c r="D779" s="11" t="s">
        <v>2059</v>
      </c>
      <c r="E779" s="11" t="s">
        <v>1640</v>
      </c>
      <c r="F779" s="11" t="s">
        <v>24</v>
      </c>
      <c r="G779" s="11" t="s">
        <v>303</v>
      </c>
      <c r="H779" s="11" t="s">
        <v>15</v>
      </c>
      <c r="I779" s="11" t="s">
        <v>16</v>
      </c>
      <c r="J779" s="47" t="s">
        <v>2057</v>
      </c>
      <c r="K779">
        <v>420</v>
      </c>
      <c r="L779" t="str">
        <f t="shared" si="35"/>
        <v>250</v>
      </c>
      <c r="M779" t="e">
        <f>C779-K779-L779-#REF!</f>
        <v>#REF!</v>
      </c>
      <c r="N779" t="e">
        <f t="shared" si="36"/>
        <v>#REF!</v>
      </c>
    </row>
    <row r="780" spans="1:14">
      <c r="A780" s="11" t="s">
        <v>2060</v>
      </c>
      <c r="B780" s="11">
        <v>3119274380</v>
      </c>
      <c r="C780" s="11">
        <v>1090</v>
      </c>
      <c r="D780" s="11" t="s">
        <v>2061</v>
      </c>
      <c r="E780" s="11" t="s">
        <v>852</v>
      </c>
      <c r="F780" s="11" t="s">
        <v>45</v>
      </c>
      <c r="G780" s="11" t="s">
        <v>2064</v>
      </c>
      <c r="H780" s="11" t="s">
        <v>15</v>
      </c>
      <c r="I780" s="11" t="s">
        <v>16</v>
      </c>
      <c r="J780" s="47" t="s">
        <v>2057</v>
      </c>
      <c r="K780">
        <v>550</v>
      </c>
      <c r="L780" t="str">
        <f t="shared" si="35"/>
        <v>250</v>
      </c>
      <c r="M780" t="e">
        <f>C780-K780-L780-#REF!</f>
        <v>#REF!</v>
      </c>
      <c r="N780" t="e">
        <f t="shared" si="36"/>
        <v>#REF!</v>
      </c>
    </row>
    <row r="781" spans="1:14">
      <c r="A781" s="11" t="s">
        <v>2062</v>
      </c>
      <c r="B781" s="11">
        <v>3138354081</v>
      </c>
      <c r="C781" s="11">
        <v>650</v>
      </c>
      <c r="D781" s="11" t="s">
        <v>2063</v>
      </c>
      <c r="E781" s="11" t="s">
        <v>50</v>
      </c>
      <c r="F781" s="11" t="s">
        <v>24</v>
      </c>
      <c r="G781" s="11" t="s">
        <v>1959</v>
      </c>
      <c r="H781" s="11" t="s">
        <v>15</v>
      </c>
      <c r="I781" s="11" t="s">
        <v>16</v>
      </c>
      <c r="J781" s="47" t="s">
        <v>2057</v>
      </c>
      <c r="K781">
        <v>200</v>
      </c>
      <c r="L781" t="str">
        <f t="shared" si="35"/>
        <v>150</v>
      </c>
      <c r="M781" t="e">
        <f>C781-K781-L781-#REF!</f>
        <v>#REF!</v>
      </c>
      <c r="N781" t="e">
        <f t="shared" si="36"/>
        <v>#REF!</v>
      </c>
    </row>
    <row r="782" spans="1:14">
      <c r="A782" s="11" t="s">
        <v>2065</v>
      </c>
      <c r="B782" s="11">
        <v>3053164608</v>
      </c>
      <c r="C782" s="11">
        <v>780</v>
      </c>
      <c r="D782" s="11" t="s">
        <v>2066</v>
      </c>
      <c r="E782" s="11" t="s">
        <v>85</v>
      </c>
      <c r="F782" s="11" t="s">
        <v>515</v>
      </c>
      <c r="G782" s="11" t="s">
        <v>2067</v>
      </c>
      <c r="H782" s="11" t="s">
        <v>15</v>
      </c>
      <c r="I782" s="11" t="s">
        <v>16</v>
      </c>
      <c r="J782" s="47" t="s">
        <v>2057</v>
      </c>
      <c r="K782">
        <v>400</v>
      </c>
      <c r="L782" t="str">
        <f t="shared" si="35"/>
        <v>250</v>
      </c>
      <c r="M782" t="e">
        <f>C782-K782-L782-#REF!</f>
        <v>#REF!</v>
      </c>
      <c r="N782" t="e">
        <f t="shared" si="36"/>
        <v>#REF!</v>
      </c>
    </row>
    <row r="783" spans="1:14">
      <c r="A783" s="11" t="s">
        <v>2068</v>
      </c>
      <c r="B783" s="11">
        <v>3344446951</v>
      </c>
      <c r="C783" s="11">
        <v>1250</v>
      </c>
      <c r="D783" s="11" t="s">
        <v>2069</v>
      </c>
      <c r="E783" s="11" t="s">
        <v>23</v>
      </c>
      <c r="F783" s="11" t="s">
        <v>45</v>
      </c>
      <c r="G783" s="11" t="s">
        <v>1302</v>
      </c>
      <c r="H783" s="11" t="s">
        <v>41</v>
      </c>
      <c r="I783" s="11" t="s">
        <v>16</v>
      </c>
      <c r="J783" s="47" t="s">
        <v>2057</v>
      </c>
      <c r="K783">
        <f>660</f>
        <v>660</v>
      </c>
      <c r="L783" t="str">
        <f t="shared" si="35"/>
        <v>250</v>
      </c>
      <c r="M783" t="e">
        <f>C783-K783-L783-#REF!</f>
        <v>#REF!</v>
      </c>
      <c r="N783" t="e">
        <f t="shared" si="36"/>
        <v>#REF!</v>
      </c>
    </row>
    <row r="784" spans="1:14">
      <c r="A784" s="11" t="s">
        <v>2070</v>
      </c>
      <c r="B784" s="11">
        <v>3214014600</v>
      </c>
      <c r="C784" s="11">
        <v>5000</v>
      </c>
      <c r="D784" s="11" t="s">
        <v>2071</v>
      </c>
      <c r="E784" s="11" t="s">
        <v>23</v>
      </c>
      <c r="F784" s="11" t="s">
        <v>45</v>
      </c>
      <c r="G784" s="11" t="s">
        <v>2072</v>
      </c>
      <c r="H784" s="11" t="s">
        <v>41</v>
      </c>
      <c r="I784" s="11" t="s">
        <v>16</v>
      </c>
      <c r="J784" s="47" t="s">
        <v>2057</v>
      </c>
      <c r="K784">
        <f>(230*12)+180</f>
        <v>2940</v>
      </c>
      <c r="L784" t="str">
        <f t="shared" si="35"/>
        <v>250</v>
      </c>
      <c r="M784" t="e">
        <f>C784-K784-L784-#REF!</f>
        <v>#REF!</v>
      </c>
      <c r="N784" t="e">
        <f t="shared" si="36"/>
        <v>#REF!</v>
      </c>
    </row>
    <row r="785" spans="1:14">
      <c r="A785" s="11" t="s">
        <v>2073</v>
      </c>
      <c r="B785" s="11">
        <v>3009040858</v>
      </c>
      <c r="C785" s="11">
        <v>960</v>
      </c>
      <c r="D785" s="11" t="s">
        <v>2074</v>
      </c>
      <c r="E785" s="11" t="s">
        <v>1768</v>
      </c>
      <c r="F785" s="11" t="s">
        <v>45</v>
      </c>
      <c r="G785" s="11" t="s">
        <v>303</v>
      </c>
      <c r="H785" s="11" t="s">
        <v>15</v>
      </c>
      <c r="I785" s="11" t="s">
        <v>16</v>
      </c>
      <c r="J785" s="47" t="s">
        <v>2057</v>
      </c>
      <c r="K785">
        <v>420</v>
      </c>
      <c r="L785" t="str">
        <f t="shared" si="35"/>
        <v>250</v>
      </c>
      <c r="M785" t="e">
        <f>C785-K785-L785-#REF!</f>
        <v>#REF!</v>
      </c>
      <c r="N785" t="e">
        <f t="shared" si="36"/>
        <v>#REF!</v>
      </c>
    </row>
    <row r="786" spans="1:14">
      <c r="A786" s="11" t="s">
        <v>2075</v>
      </c>
      <c r="B786" s="11">
        <v>3162223444</v>
      </c>
      <c r="C786" s="11">
        <v>650</v>
      </c>
      <c r="D786" s="11" t="s">
        <v>2076</v>
      </c>
      <c r="E786" s="11" t="s">
        <v>1768</v>
      </c>
      <c r="F786" s="11" t="s">
        <v>515</v>
      </c>
      <c r="G786" s="11" t="s">
        <v>2077</v>
      </c>
      <c r="H786" s="11" t="s">
        <v>15</v>
      </c>
      <c r="I786" s="11" t="s">
        <v>16</v>
      </c>
      <c r="J786" s="47" t="s">
        <v>2078</v>
      </c>
      <c r="K786">
        <f>(230*2)</f>
        <v>460</v>
      </c>
      <c r="L786" t="str">
        <f t="shared" si="35"/>
        <v>250</v>
      </c>
      <c r="M786" t="e">
        <f>C786-K786-L786-#REF!</f>
        <v>#REF!</v>
      </c>
      <c r="N786" t="e">
        <f t="shared" si="36"/>
        <v>#REF!</v>
      </c>
    </row>
    <row r="787" spans="1:14">
      <c r="A787" s="11" t="s">
        <v>2079</v>
      </c>
      <c r="B787" s="11">
        <v>3401621592</v>
      </c>
      <c r="C787" s="11">
        <v>1250</v>
      </c>
      <c r="D787" s="11" t="s">
        <v>2080</v>
      </c>
      <c r="E787" s="11" t="s">
        <v>2081</v>
      </c>
      <c r="F787" s="11" t="s">
        <v>45</v>
      </c>
      <c r="G787" s="11" t="s">
        <v>2082</v>
      </c>
      <c r="H787" s="11" t="s">
        <v>15</v>
      </c>
      <c r="I787" s="11" t="s">
        <v>16</v>
      </c>
      <c r="J787" s="47" t="s">
        <v>2078</v>
      </c>
      <c r="K787">
        <f>(160*4)+60</f>
        <v>700</v>
      </c>
      <c r="L787" t="str">
        <f t="shared" si="35"/>
        <v>250</v>
      </c>
      <c r="M787" t="e">
        <f>C787-K787-L787-#REF!</f>
        <v>#REF!</v>
      </c>
      <c r="N787" t="e">
        <f t="shared" si="36"/>
        <v>#REF!</v>
      </c>
    </row>
    <row r="788" spans="1:14">
      <c r="A788" s="11" t="s">
        <v>2083</v>
      </c>
      <c r="B788" s="11">
        <v>3067862229</v>
      </c>
      <c r="C788" s="11">
        <v>1150</v>
      </c>
      <c r="D788" s="11" t="s">
        <v>2084</v>
      </c>
      <c r="E788" s="11" t="s">
        <v>1538</v>
      </c>
      <c r="F788" s="11" t="s">
        <v>24</v>
      </c>
      <c r="G788" s="11" t="s">
        <v>1340</v>
      </c>
      <c r="H788" s="11" t="s">
        <v>2085</v>
      </c>
      <c r="I788" s="11" t="s">
        <v>16</v>
      </c>
      <c r="J788" s="47" t="s">
        <v>2078</v>
      </c>
      <c r="K788">
        <f>400</f>
        <v>400</v>
      </c>
      <c r="L788" t="str">
        <f t="shared" si="35"/>
        <v>250</v>
      </c>
      <c r="M788" t="e">
        <f>C788-K788-L788-#REF!</f>
        <v>#REF!</v>
      </c>
      <c r="N788" t="e">
        <f t="shared" si="36"/>
        <v>#REF!</v>
      </c>
    </row>
    <row r="789" spans="1:14">
      <c r="A789" s="11" t="s">
        <v>2087</v>
      </c>
      <c r="B789" s="11">
        <v>3118999661</v>
      </c>
      <c r="C789" s="11">
        <v>1250</v>
      </c>
      <c r="D789" s="11" t="s">
        <v>2088</v>
      </c>
      <c r="E789" s="11" t="s">
        <v>35</v>
      </c>
      <c r="F789" s="11" t="s">
        <v>45</v>
      </c>
      <c r="G789" s="11" t="s">
        <v>2086</v>
      </c>
      <c r="H789" s="11" t="s">
        <v>15</v>
      </c>
      <c r="I789" s="11" t="s">
        <v>16</v>
      </c>
      <c r="J789" s="47" t="s">
        <v>2078</v>
      </c>
      <c r="K789">
        <f>550</f>
        <v>550</v>
      </c>
      <c r="L789" t="str">
        <f t="shared" si="35"/>
        <v>250</v>
      </c>
      <c r="M789" t="e">
        <f>C789-K789-L789-#REF!</f>
        <v>#REF!</v>
      </c>
      <c r="N789" t="e">
        <f t="shared" si="36"/>
        <v>#REF!</v>
      </c>
    </row>
    <row r="790" spans="1:14">
      <c r="A790" s="11" t="s">
        <v>2089</v>
      </c>
      <c r="B790" s="11">
        <v>3023993065</v>
      </c>
      <c r="C790" s="11">
        <v>2320</v>
      </c>
      <c r="D790" s="11" t="s">
        <v>2090</v>
      </c>
      <c r="E790" s="11" t="s">
        <v>125</v>
      </c>
      <c r="F790" s="11" t="s">
        <v>24</v>
      </c>
      <c r="G790" s="11" t="s">
        <v>1916</v>
      </c>
      <c r="H790" s="11" t="s">
        <v>15</v>
      </c>
      <c r="I790" s="11" t="s">
        <v>16</v>
      </c>
      <c r="J790" s="47" t="s">
        <v>2105</v>
      </c>
      <c r="K790">
        <f>1450+20</f>
        <v>1470</v>
      </c>
      <c r="L790" t="str">
        <f t="shared" si="35"/>
        <v>250</v>
      </c>
      <c r="M790" t="e">
        <f>C790-K790-L790-#REF!</f>
        <v>#REF!</v>
      </c>
      <c r="N790" t="e">
        <f t="shared" si="36"/>
        <v>#REF!</v>
      </c>
    </row>
    <row r="791" spans="1:14">
      <c r="A791" s="11" t="s">
        <v>2091</v>
      </c>
      <c r="B791" s="11">
        <v>3346522125</v>
      </c>
      <c r="C791" s="11">
        <v>1070</v>
      </c>
      <c r="D791" s="11" t="s">
        <v>2092</v>
      </c>
      <c r="E791" s="11" t="s">
        <v>57</v>
      </c>
      <c r="F791" s="11" t="s">
        <v>515</v>
      </c>
      <c r="G791" s="11" t="s">
        <v>2093</v>
      </c>
      <c r="H791" s="11" t="s">
        <v>15</v>
      </c>
      <c r="I791" s="11" t="s">
        <v>16</v>
      </c>
      <c r="J791" s="47" t="s">
        <v>2105</v>
      </c>
      <c r="K791">
        <f>600</f>
        <v>600</v>
      </c>
      <c r="L791" t="str">
        <f t="shared" si="35"/>
        <v>250</v>
      </c>
      <c r="M791" t="e">
        <f>C791-K791-L791-#REF!</f>
        <v>#REF!</v>
      </c>
      <c r="N791" t="e">
        <f t="shared" si="36"/>
        <v>#REF!</v>
      </c>
    </row>
    <row r="792" spans="1:14">
      <c r="A792" s="11" t="s">
        <v>2094</v>
      </c>
      <c r="B792" s="11">
        <v>3352501300</v>
      </c>
      <c r="C792" s="11">
        <v>2320</v>
      </c>
      <c r="D792" s="11" t="s">
        <v>2095</v>
      </c>
      <c r="E792" s="11" t="s">
        <v>1768</v>
      </c>
      <c r="F792" s="11" t="s">
        <v>24</v>
      </c>
      <c r="G792" s="11" t="s">
        <v>1916</v>
      </c>
      <c r="H792" s="11" t="s">
        <v>15</v>
      </c>
      <c r="I792" s="11" t="s">
        <v>16</v>
      </c>
      <c r="J792" s="47" t="s">
        <v>2105</v>
      </c>
      <c r="K792">
        <f>1450+20</f>
        <v>1470</v>
      </c>
      <c r="L792" t="str">
        <f t="shared" si="35"/>
        <v>250</v>
      </c>
      <c r="M792" t="e">
        <f>C792-K792-L792-#REF!</f>
        <v>#REF!</v>
      </c>
      <c r="N792" t="e">
        <f t="shared" si="36"/>
        <v>#REF!</v>
      </c>
    </row>
    <row r="793" spans="1:14">
      <c r="A793" s="11" t="s">
        <v>2096</v>
      </c>
      <c r="B793" s="11">
        <v>3228667279</v>
      </c>
      <c r="C793" s="11">
        <v>930</v>
      </c>
      <c r="D793" s="11" t="s">
        <v>2097</v>
      </c>
      <c r="E793" s="11" t="s">
        <v>50</v>
      </c>
      <c r="F793" s="11" t="s">
        <v>24</v>
      </c>
      <c r="G793" s="11" t="s">
        <v>303</v>
      </c>
      <c r="H793" s="11" t="s">
        <v>15</v>
      </c>
      <c r="I793" s="11" t="s">
        <v>16</v>
      </c>
      <c r="J793" s="47" t="s">
        <v>2105</v>
      </c>
      <c r="K793">
        <f>400</f>
        <v>400</v>
      </c>
      <c r="L793" t="str">
        <f t="shared" si="35"/>
        <v>150</v>
      </c>
      <c r="M793" t="e">
        <f>C793-K793-L793-#REF!</f>
        <v>#REF!</v>
      </c>
      <c r="N793" t="e">
        <f t="shared" si="36"/>
        <v>#REF!</v>
      </c>
    </row>
    <row r="794" spans="1:14">
      <c r="A794" s="11" t="s">
        <v>2098</v>
      </c>
      <c r="B794" s="11">
        <v>3446669467</v>
      </c>
      <c r="C794" s="11">
        <v>980</v>
      </c>
      <c r="D794" s="11" t="s">
        <v>2099</v>
      </c>
      <c r="E794" s="11" t="s">
        <v>550</v>
      </c>
      <c r="F794" s="11" t="s">
        <v>24</v>
      </c>
      <c r="G794" s="11" t="s">
        <v>303</v>
      </c>
      <c r="H794" s="11" t="s">
        <v>15</v>
      </c>
      <c r="I794" s="11" t="s">
        <v>16</v>
      </c>
      <c r="J794" s="47" t="s">
        <v>2105</v>
      </c>
      <c r="K794">
        <v>420</v>
      </c>
      <c r="L794" t="str">
        <f t="shared" si="35"/>
        <v>250</v>
      </c>
      <c r="M794" t="e">
        <f>C794-K794-L794-#REF!</f>
        <v>#REF!</v>
      </c>
      <c r="N794" t="e">
        <f t="shared" si="36"/>
        <v>#REF!</v>
      </c>
    </row>
    <row r="795" spans="1:14">
      <c r="A795" s="11" t="s">
        <v>2065</v>
      </c>
      <c r="B795" s="11">
        <v>3053164608</v>
      </c>
      <c r="C795" s="11">
        <v>400</v>
      </c>
      <c r="D795" s="11" t="s">
        <v>2066</v>
      </c>
      <c r="E795" s="11" t="s">
        <v>85</v>
      </c>
      <c r="F795" s="11" t="s">
        <v>515</v>
      </c>
      <c r="G795" s="11" t="s">
        <v>2100</v>
      </c>
      <c r="H795" s="11" t="s">
        <v>413</v>
      </c>
      <c r="I795" s="11" t="s">
        <v>16</v>
      </c>
      <c r="J795" s="47" t="s">
        <v>2105</v>
      </c>
      <c r="K795">
        <v>200</v>
      </c>
      <c r="L795" t="str">
        <f t="shared" si="35"/>
        <v>250</v>
      </c>
      <c r="M795" t="e">
        <f>C795-K795-L795-#REF!</f>
        <v>#REF!</v>
      </c>
      <c r="N795" t="e">
        <f t="shared" si="36"/>
        <v>#REF!</v>
      </c>
    </row>
    <row r="796" spans="1:14">
      <c r="A796" s="11" t="s">
        <v>2101</v>
      </c>
      <c r="B796" s="11">
        <v>3204004069</v>
      </c>
      <c r="C796" s="11">
        <v>1500</v>
      </c>
      <c r="D796" s="11" t="s">
        <v>2102</v>
      </c>
      <c r="E796" s="11" t="s">
        <v>865</v>
      </c>
      <c r="F796" s="11" t="s">
        <v>45</v>
      </c>
      <c r="G796" s="11" t="s">
        <v>2103</v>
      </c>
      <c r="H796" s="11" t="s">
        <v>41</v>
      </c>
      <c r="I796" s="11" t="s">
        <v>16</v>
      </c>
      <c r="J796" s="47" t="s">
        <v>2105</v>
      </c>
      <c r="K796">
        <f>(125*5)+130</f>
        <v>755</v>
      </c>
      <c r="L796" t="str">
        <f t="shared" si="35"/>
        <v>250</v>
      </c>
      <c r="M796" t="e">
        <f>C796-K796-L796-#REF!</f>
        <v>#REF!</v>
      </c>
      <c r="N796" t="e">
        <f t="shared" si="36"/>
        <v>#REF!</v>
      </c>
    </row>
    <row r="797" spans="1:14">
      <c r="A797" s="11" t="s">
        <v>2096</v>
      </c>
      <c r="B797" s="11">
        <v>3228667279</v>
      </c>
      <c r="C797" s="11">
        <v>900</v>
      </c>
      <c r="D797" s="11" t="s">
        <v>2097</v>
      </c>
      <c r="E797" s="11" t="s">
        <v>50</v>
      </c>
      <c r="F797" s="11" t="s">
        <v>24</v>
      </c>
      <c r="G797" s="11" t="s">
        <v>1565</v>
      </c>
      <c r="H797" s="11" t="s">
        <v>413</v>
      </c>
      <c r="I797" s="11" t="s">
        <v>16</v>
      </c>
      <c r="J797" s="47" t="s">
        <v>2104</v>
      </c>
      <c r="K797">
        <f>600</f>
        <v>600</v>
      </c>
      <c r="L797" t="str">
        <f t="shared" si="35"/>
        <v>150</v>
      </c>
      <c r="M797" t="e">
        <f>C797-K797-L797-#REF!</f>
        <v>#REF!</v>
      </c>
      <c r="N797" t="e">
        <f t="shared" si="36"/>
        <v>#REF!</v>
      </c>
    </row>
    <row r="798" spans="1:14">
      <c r="A798" s="11" t="s">
        <v>2106</v>
      </c>
      <c r="B798" s="59">
        <v>3110206562</v>
      </c>
      <c r="C798" s="11">
        <v>1000</v>
      </c>
      <c r="D798" s="11" t="s">
        <v>2107</v>
      </c>
      <c r="E798" s="11" t="s">
        <v>50</v>
      </c>
      <c r="F798" s="11" t="s">
        <v>45</v>
      </c>
      <c r="G798" s="11" t="s">
        <v>1302</v>
      </c>
      <c r="H798" s="11" t="s">
        <v>15</v>
      </c>
      <c r="I798" s="11" t="s">
        <v>16</v>
      </c>
      <c r="J798" s="47" t="s">
        <v>2104</v>
      </c>
      <c r="K798">
        <f>660</f>
        <v>660</v>
      </c>
      <c r="L798" t="str">
        <f t="shared" si="35"/>
        <v>150</v>
      </c>
      <c r="M798" t="e">
        <f>C798-K798-L798-#REF!</f>
        <v>#REF!</v>
      </c>
      <c r="N798" t="e">
        <f t="shared" si="36"/>
        <v>#REF!</v>
      </c>
    </row>
    <row r="799" spans="1:14">
      <c r="A799" s="11" t="s">
        <v>1760</v>
      </c>
      <c r="B799" s="11">
        <v>3402121437</v>
      </c>
      <c r="C799" s="11">
        <v>1200</v>
      </c>
      <c r="D799" s="11" t="s">
        <v>2108</v>
      </c>
      <c r="E799" s="11" t="s">
        <v>50</v>
      </c>
      <c r="F799" s="11" t="s">
        <v>45</v>
      </c>
      <c r="G799" s="11" t="s">
        <v>2109</v>
      </c>
      <c r="H799" s="11" t="s">
        <v>41</v>
      </c>
      <c r="I799" s="11" t="s">
        <v>16</v>
      </c>
      <c r="J799" s="47" t="s">
        <v>2104</v>
      </c>
      <c r="K799">
        <f>(150*4)+60</f>
        <v>660</v>
      </c>
      <c r="L799" t="str">
        <f t="shared" si="35"/>
        <v>150</v>
      </c>
      <c r="M799" t="e">
        <f>C799-K799-L799-#REF!</f>
        <v>#REF!</v>
      </c>
      <c r="N799" t="e">
        <f t="shared" si="36"/>
        <v>#REF!</v>
      </c>
    </row>
    <row r="800" spans="1:14">
      <c r="A800" s="11" t="s">
        <v>2110</v>
      </c>
      <c r="B800" s="11">
        <v>3122716295</v>
      </c>
      <c r="C800" s="11">
        <v>930</v>
      </c>
      <c r="D800" s="11" t="s">
        <v>2111</v>
      </c>
      <c r="E800" s="11" t="s">
        <v>50</v>
      </c>
      <c r="F800" s="11" t="s">
        <v>24</v>
      </c>
      <c r="G800" s="11" t="s">
        <v>303</v>
      </c>
      <c r="H800" s="11" t="s">
        <v>15</v>
      </c>
      <c r="I800" s="11" t="s">
        <v>16</v>
      </c>
      <c r="J800" s="47" t="s">
        <v>2104</v>
      </c>
      <c r="K800">
        <f>420</f>
        <v>420</v>
      </c>
      <c r="L800" t="str">
        <f t="shared" si="35"/>
        <v>150</v>
      </c>
      <c r="M800" t="e">
        <f>C800-K800-L800-#REF!</f>
        <v>#REF!</v>
      </c>
      <c r="N800" t="e">
        <f t="shared" si="36"/>
        <v>#REF!</v>
      </c>
    </row>
    <row r="801" spans="1:14">
      <c r="A801" s="11" t="s">
        <v>2112</v>
      </c>
      <c r="B801" s="11">
        <v>3359596999</v>
      </c>
      <c r="C801" s="11">
        <v>1050</v>
      </c>
      <c r="D801" s="11" t="s">
        <v>2113</v>
      </c>
      <c r="E801" s="11" t="s">
        <v>76</v>
      </c>
      <c r="F801" s="11" t="s">
        <v>45</v>
      </c>
      <c r="G801" s="11" t="s">
        <v>1737</v>
      </c>
      <c r="H801" s="11" t="s">
        <v>41</v>
      </c>
      <c r="I801" s="11" t="s">
        <v>16</v>
      </c>
      <c r="J801" s="47" t="s">
        <v>2114</v>
      </c>
      <c r="K801">
        <f>(125*3)+90</f>
        <v>465</v>
      </c>
      <c r="L801" t="str">
        <f t="shared" si="35"/>
        <v>250</v>
      </c>
      <c r="M801" t="e">
        <f>C801-K801-L801-#REF!</f>
        <v>#REF!</v>
      </c>
      <c r="N801" t="e">
        <f t="shared" si="36"/>
        <v>#REF!</v>
      </c>
    </row>
    <row r="802" spans="1:14">
      <c r="A802" s="11" t="s">
        <v>2116</v>
      </c>
      <c r="B802" s="11">
        <v>3009544209</v>
      </c>
      <c r="C802" s="11">
        <v>980</v>
      </c>
      <c r="D802" s="11" t="s">
        <v>2115</v>
      </c>
      <c r="E802" s="11" t="s">
        <v>2117</v>
      </c>
      <c r="F802" s="11" t="s">
        <v>24</v>
      </c>
      <c r="G802" s="11" t="s">
        <v>303</v>
      </c>
      <c r="H802" s="11" t="s">
        <v>15</v>
      </c>
      <c r="I802" s="11" t="s">
        <v>16</v>
      </c>
      <c r="J802" s="47" t="s">
        <v>2114</v>
      </c>
      <c r="K802">
        <v>420</v>
      </c>
      <c r="L802" t="str">
        <f t="shared" si="35"/>
        <v>250</v>
      </c>
      <c r="M802" t="e">
        <f>C802-K802-L802-#REF!</f>
        <v>#REF!</v>
      </c>
      <c r="N802" t="e">
        <f t="shared" si="36"/>
        <v>#REF!</v>
      </c>
    </row>
    <row r="803" spans="1:14">
      <c r="A803" s="55" t="s">
        <v>2118</v>
      </c>
      <c r="B803" s="55">
        <v>3088655410</v>
      </c>
      <c r="C803" s="55">
        <v>2340</v>
      </c>
      <c r="D803" s="55" t="s">
        <v>2119</v>
      </c>
      <c r="E803" s="55" t="s">
        <v>1538</v>
      </c>
      <c r="F803" s="55" t="s">
        <v>24</v>
      </c>
      <c r="G803" s="55" t="s">
        <v>1916</v>
      </c>
      <c r="H803" s="55" t="s">
        <v>15</v>
      </c>
      <c r="I803" s="55" t="s">
        <v>122</v>
      </c>
      <c r="J803" s="63" t="s">
        <v>2114</v>
      </c>
      <c r="K803">
        <f>1470</f>
        <v>1470</v>
      </c>
      <c r="L803" t="str">
        <f t="shared" si="35"/>
        <v>250</v>
      </c>
      <c r="M803" t="e">
        <f>C803-K803-L803-#REF!</f>
        <v>#REF!</v>
      </c>
      <c r="N803" t="str">
        <f t="shared" si="36"/>
        <v>Waiting For Deliver</v>
      </c>
    </row>
    <row r="804" spans="1:14">
      <c r="A804" s="11" t="s">
        <v>2121</v>
      </c>
      <c r="B804" s="11">
        <v>3029520288</v>
      </c>
      <c r="C804" s="11">
        <v>1350</v>
      </c>
      <c r="D804" s="11" t="s">
        <v>2120</v>
      </c>
      <c r="E804" s="11" t="s">
        <v>865</v>
      </c>
      <c r="F804" s="11" t="s">
        <v>45</v>
      </c>
      <c r="G804" s="11" t="s">
        <v>1875</v>
      </c>
      <c r="H804" s="11" t="s">
        <v>15</v>
      </c>
      <c r="I804" s="11" t="s">
        <v>16</v>
      </c>
      <c r="J804" s="47" t="s">
        <v>2114</v>
      </c>
      <c r="K804">
        <f>155*4</f>
        <v>620</v>
      </c>
      <c r="L804" t="str">
        <f t="shared" si="35"/>
        <v>250</v>
      </c>
      <c r="M804" t="e">
        <f>C804-K804-L804-#REF!</f>
        <v>#REF!</v>
      </c>
      <c r="N804" t="e">
        <f t="shared" si="36"/>
        <v>#REF!</v>
      </c>
    </row>
    <row r="805" spans="1:14">
      <c r="A805" s="11" t="s">
        <v>2122</v>
      </c>
      <c r="B805" s="11">
        <v>3315277544</v>
      </c>
      <c r="C805" s="11">
        <v>1010</v>
      </c>
      <c r="D805" s="11" t="s">
        <v>2123</v>
      </c>
      <c r="E805" s="11" t="s">
        <v>12</v>
      </c>
      <c r="F805" s="11" t="s">
        <v>24</v>
      </c>
      <c r="G805" s="11" t="s">
        <v>2082</v>
      </c>
      <c r="H805" s="11" t="s">
        <v>15</v>
      </c>
      <c r="I805" s="11" t="s">
        <v>16</v>
      </c>
      <c r="J805" s="47" t="s">
        <v>2114</v>
      </c>
      <c r="K805">
        <f>(155*4)+60</f>
        <v>680</v>
      </c>
      <c r="L805" t="str">
        <f t="shared" si="35"/>
        <v>250</v>
      </c>
      <c r="M805" t="e">
        <f>C805-K805-L805-#REF!</f>
        <v>#REF!</v>
      </c>
      <c r="N805" t="e">
        <f t="shared" si="36"/>
        <v>#REF!</v>
      </c>
    </row>
    <row r="806" spans="1:14">
      <c r="A806" s="11" t="s">
        <v>2098</v>
      </c>
      <c r="B806" s="11">
        <v>3435800425</v>
      </c>
      <c r="C806" s="11">
        <v>1230</v>
      </c>
      <c r="D806" s="11" t="s">
        <v>2124</v>
      </c>
      <c r="E806" s="11" t="s">
        <v>19</v>
      </c>
      <c r="F806" s="11" t="s">
        <v>45</v>
      </c>
      <c r="G806" s="11" t="s">
        <v>2082</v>
      </c>
      <c r="H806" s="11" t="s">
        <v>15</v>
      </c>
      <c r="I806" s="11" t="s">
        <v>16</v>
      </c>
      <c r="J806" s="47" t="s">
        <v>2114</v>
      </c>
      <c r="K806">
        <f>(155*4)+60</f>
        <v>680</v>
      </c>
      <c r="L806" t="str">
        <f t="shared" si="35"/>
        <v>250</v>
      </c>
      <c r="M806" t="e">
        <f>C806-K806-L806-#REF!</f>
        <v>#REF!</v>
      </c>
      <c r="N806" t="e">
        <f t="shared" si="36"/>
        <v>#REF!</v>
      </c>
    </row>
    <row r="807" spans="1:14">
      <c r="A807" s="11" t="s">
        <v>2125</v>
      </c>
      <c r="B807" s="11">
        <v>3459794949</v>
      </c>
      <c r="C807" s="11">
        <v>960</v>
      </c>
      <c r="D807" s="65" t="s">
        <v>2126</v>
      </c>
      <c r="E807" s="11" t="s">
        <v>19</v>
      </c>
      <c r="F807" s="11" t="s">
        <v>24</v>
      </c>
      <c r="G807" s="11" t="s">
        <v>303</v>
      </c>
      <c r="H807" s="11" t="s">
        <v>15</v>
      </c>
      <c r="I807" s="11" t="s">
        <v>16</v>
      </c>
      <c r="J807" s="47" t="s">
        <v>2114</v>
      </c>
      <c r="K807">
        <v>420</v>
      </c>
      <c r="L807" t="str">
        <f t="shared" si="35"/>
        <v>250</v>
      </c>
      <c r="M807" t="e">
        <f>C807-K807-L807-#REF!</f>
        <v>#REF!</v>
      </c>
      <c r="N807" t="e">
        <f t="shared" si="36"/>
        <v>#REF!</v>
      </c>
    </row>
    <row r="808" spans="1:14">
      <c r="A808" s="11" t="s">
        <v>2127</v>
      </c>
      <c r="B808" s="11">
        <v>3480593188</v>
      </c>
      <c r="C808" s="11">
        <v>1000</v>
      </c>
      <c r="D808" s="11" t="s">
        <v>2128</v>
      </c>
      <c r="E808" s="11" t="s">
        <v>170</v>
      </c>
      <c r="F808" s="11" t="s">
        <v>45</v>
      </c>
      <c r="G808" s="11" t="s">
        <v>1875</v>
      </c>
      <c r="H808" s="11" t="s">
        <v>15</v>
      </c>
      <c r="I808" s="11" t="s">
        <v>16</v>
      </c>
      <c r="J808" s="47" t="s">
        <v>2129</v>
      </c>
      <c r="K808">
        <f>150*4</f>
        <v>600</v>
      </c>
      <c r="L808" t="str">
        <f t="shared" si="35"/>
        <v>250</v>
      </c>
      <c r="M808" t="e">
        <f>C808-K808-L808-#REF!</f>
        <v>#REF!</v>
      </c>
      <c r="N808" t="e">
        <f t="shared" si="36"/>
        <v>#REF!</v>
      </c>
    </row>
    <row r="809" spans="1:14">
      <c r="A809" s="11" t="s">
        <v>2130</v>
      </c>
      <c r="B809" s="11">
        <v>3354134177</v>
      </c>
      <c r="C809" s="11">
        <v>850</v>
      </c>
      <c r="D809" s="11" t="s">
        <v>2131</v>
      </c>
      <c r="E809" s="11" t="s">
        <v>865</v>
      </c>
      <c r="F809" s="11" t="s">
        <v>515</v>
      </c>
      <c r="G809" s="11" t="s">
        <v>353</v>
      </c>
      <c r="H809" s="11" t="s">
        <v>15</v>
      </c>
      <c r="I809" s="11" t="s">
        <v>16</v>
      </c>
      <c r="J809" s="47" t="s">
        <v>2129</v>
      </c>
      <c r="K809">
        <f>350+180</f>
        <v>530</v>
      </c>
      <c r="L809">
        <v>200</v>
      </c>
      <c r="M809" t="e">
        <f>C809-K809-L809-#REF!</f>
        <v>#REF!</v>
      </c>
      <c r="N809" t="e">
        <f t="shared" si="36"/>
        <v>#REF!</v>
      </c>
    </row>
    <row r="810" spans="1:14">
      <c r="A810" s="11" t="s">
        <v>2134</v>
      </c>
      <c r="B810" s="11">
        <v>3214030903</v>
      </c>
      <c r="C810" s="11">
        <v>1200</v>
      </c>
      <c r="D810" s="11" t="s">
        <v>2133</v>
      </c>
      <c r="E810" s="11" t="s">
        <v>865</v>
      </c>
      <c r="F810" s="11" t="s">
        <v>24</v>
      </c>
      <c r="G810" s="11" t="s">
        <v>2132</v>
      </c>
      <c r="H810" s="11" t="s">
        <v>413</v>
      </c>
      <c r="I810" s="11" t="s">
        <v>16</v>
      </c>
      <c r="J810" s="47" t="s">
        <v>2129</v>
      </c>
      <c r="K810">
        <v>600</v>
      </c>
      <c r="L810" t="str">
        <f t="shared" ref="L810:L864" si="38">IF(E810="karachi","150","250")</f>
        <v>250</v>
      </c>
      <c r="M810" t="e">
        <f>C810-K810-L810-#REF!</f>
        <v>#REF!</v>
      </c>
      <c r="N810" t="e">
        <f t="shared" si="36"/>
        <v>#REF!</v>
      </c>
    </row>
    <row r="811" spans="1:14">
      <c r="A811" s="11" t="s">
        <v>2135</v>
      </c>
      <c r="B811" s="11">
        <v>3472227393</v>
      </c>
      <c r="C811" s="11">
        <v>1300</v>
      </c>
      <c r="D811" s="11" t="s">
        <v>2136</v>
      </c>
      <c r="E811" s="11" t="s">
        <v>50</v>
      </c>
      <c r="F811" s="11" t="s">
        <v>24</v>
      </c>
      <c r="G811" s="11" t="s">
        <v>1875</v>
      </c>
      <c r="H811" s="11" t="s">
        <v>15</v>
      </c>
      <c r="I811" s="11" t="s">
        <v>16</v>
      </c>
      <c r="J811" s="47" t="s">
        <v>2129</v>
      </c>
      <c r="K811">
        <f>620</f>
        <v>620</v>
      </c>
      <c r="L811" t="str">
        <f t="shared" si="38"/>
        <v>150</v>
      </c>
      <c r="M811" t="e">
        <f>C811-K811-L811-#REF!</f>
        <v>#REF!</v>
      </c>
      <c r="N811" t="e">
        <f t="shared" si="36"/>
        <v>#REF!</v>
      </c>
    </row>
    <row r="812" spans="1:14">
      <c r="A812" s="11" t="s">
        <v>2141</v>
      </c>
      <c r="B812" s="11">
        <v>3218570366</v>
      </c>
      <c r="C812" s="11">
        <v>980</v>
      </c>
      <c r="D812" s="11" t="s">
        <v>2140</v>
      </c>
      <c r="E812" s="11" t="s">
        <v>120</v>
      </c>
      <c r="F812" s="11" t="s">
        <v>24</v>
      </c>
      <c r="G812" s="11" t="s">
        <v>303</v>
      </c>
      <c r="H812" s="11" t="s">
        <v>716</v>
      </c>
      <c r="I812" s="11" t="s">
        <v>16</v>
      </c>
      <c r="J812" s="47" t="s">
        <v>2139</v>
      </c>
      <c r="K812">
        <f>420</f>
        <v>420</v>
      </c>
      <c r="L812" t="str">
        <f t="shared" si="38"/>
        <v>250</v>
      </c>
      <c r="M812" t="e">
        <f>C812-K812-L812-#REF!</f>
        <v>#REF!</v>
      </c>
      <c r="N812" t="e">
        <f t="shared" si="36"/>
        <v>#REF!</v>
      </c>
    </row>
    <row r="813" spans="1:14">
      <c r="A813" s="11" t="s">
        <v>2137</v>
      </c>
      <c r="B813" s="11">
        <v>3024022758</v>
      </c>
      <c r="C813" s="11">
        <v>1080</v>
      </c>
      <c r="D813" s="11" t="s">
        <v>2138</v>
      </c>
      <c r="E813" s="11" t="s">
        <v>1768</v>
      </c>
      <c r="F813" s="11" t="s">
        <v>45</v>
      </c>
      <c r="G813" s="11" t="s">
        <v>1737</v>
      </c>
      <c r="H813" s="11" t="s">
        <v>716</v>
      </c>
      <c r="I813" s="11" t="s">
        <v>16</v>
      </c>
      <c r="J813" s="47" t="s">
        <v>2139</v>
      </c>
      <c r="K813">
        <f>(125*3)+90</f>
        <v>465</v>
      </c>
      <c r="L813" t="str">
        <f t="shared" si="38"/>
        <v>250</v>
      </c>
      <c r="M813" t="e">
        <f>C813-K813-L813-#REF!</f>
        <v>#REF!</v>
      </c>
      <c r="N813" t="e">
        <f t="shared" si="36"/>
        <v>#REF!</v>
      </c>
    </row>
    <row r="814" spans="1:14">
      <c r="A814" s="11" t="s">
        <v>2142</v>
      </c>
      <c r="B814" s="11">
        <v>3134963933</v>
      </c>
      <c r="C814" s="11">
        <v>1160</v>
      </c>
      <c r="D814" s="11" t="s">
        <v>2143</v>
      </c>
      <c r="E814" s="11" t="s">
        <v>865</v>
      </c>
      <c r="F814" s="11" t="s">
        <v>24</v>
      </c>
      <c r="G814" s="11" t="s">
        <v>2144</v>
      </c>
      <c r="H814" s="11" t="s">
        <v>716</v>
      </c>
      <c r="I814" s="11" t="s">
        <v>16</v>
      </c>
      <c r="J814" s="47" t="s">
        <v>2139</v>
      </c>
      <c r="K814">
        <f>800</f>
        <v>800</v>
      </c>
      <c r="L814">
        <v>200</v>
      </c>
      <c r="M814" t="e">
        <f>C814-K814-L814-#REF!</f>
        <v>#REF!</v>
      </c>
      <c r="N814" t="e">
        <f t="shared" si="36"/>
        <v>#REF!</v>
      </c>
    </row>
    <row r="815" spans="1:14">
      <c r="A815" s="11" t="s">
        <v>2146</v>
      </c>
      <c r="B815" s="11">
        <v>3435014610</v>
      </c>
      <c r="C815" s="11">
        <v>1260</v>
      </c>
      <c r="D815" s="11" t="s">
        <v>2145</v>
      </c>
      <c r="E815" s="11" t="s">
        <v>995</v>
      </c>
      <c r="F815" s="11" t="s">
        <v>45</v>
      </c>
      <c r="G815" s="11" t="s">
        <v>2147</v>
      </c>
      <c r="H815" s="11" t="s">
        <v>15</v>
      </c>
      <c r="I815" s="11" t="s">
        <v>16</v>
      </c>
      <c r="J815" s="47" t="s">
        <v>2139</v>
      </c>
      <c r="K815">
        <f>(250+500+50)</f>
        <v>800</v>
      </c>
      <c r="L815">
        <v>220</v>
      </c>
      <c r="M815" t="e">
        <f>C815-K815-L815-#REF!</f>
        <v>#REF!</v>
      </c>
      <c r="N815" t="e">
        <f t="shared" ref="N815:N838" si="39">IF(I815="deliver",M815,"Waiting For Deliver")</f>
        <v>#REF!</v>
      </c>
    </row>
    <row r="816" spans="1:14">
      <c r="A816" s="11" t="s">
        <v>2149</v>
      </c>
      <c r="B816" s="11">
        <v>3454461877</v>
      </c>
      <c r="C816" s="11">
        <v>2210</v>
      </c>
      <c r="D816" s="11" t="s">
        <v>2148</v>
      </c>
      <c r="E816" s="11" t="s">
        <v>23</v>
      </c>
      <c r="F816" s="11" t="s">
        <v>24</v>
      </c>
      <c r="G816" s="11" t="s">
        <v>1916</v>
      </c>
      <c r="H816" s="11" t="s">
        <v>15</v>
      </c>
      <c r="I816" s="11" t="s">
        <v>16</v>
      </c>
      <c r="J816" s="47" t="s">
        <v>2139</v>
      </c>
      <c r="K816">
        <f>1470</f>
        <v>1470</v>
      </c>
      <c r="L816" t="str">
        <f t="shared" si="38"/>
        <v>250</v>
      </c>
      <c r="M816" t="e">
        <f>C816-K816-L816-#REF!</f>
        <v>#REF!</v>
      </c>
      <c r="N816" t="e">
        <f t="shared" si="39"/>
        <v>#REF!</v>
      </c>
    </row>
    <row r="817" spans="1:14">
      <c r="A817" s="11" t="s">
        <v>2150</v>
      </c>
      <c r="B817" s="11">
        <v>923644565</v>
      </c>
      <c r="C817" s="11">
        <v>980</v>
      </c>
      <c r="D817" s="11" t="s">
        <v>2151</v>
      </c>
      <c r="E817" s="11" t="s">
        <v>539</v>
      </c>
      <c r="F817" s="11" t="s">
        <v>24</v>
      </c>
      <c r="G817" s="11" t="s">
        <v>303</v>
      </c>
      <c r="H817" s="11" t="s">
        <v>15</v>
      </c>
      <c r="I817" s="11" t="s">
        <v>16</v>
      </c>
      <c r="J817" s="47" t="s">
        <v>2139</v>
      </c>
      <c r="K817">
        <v>420</v>
      </c>
      <c r="L817" t="str">
        <f t="shared" si="38"/>
        <v>250</v>
      </c>
      <c r="M817" t="e">
        <f>C817-K817-L817-#REF!</f>
        <v>#REF!</v>
      </c>
      <c r="N817" t="e">
        <f t="shared" si="39"/>
        <v>#REF!</v>
      </c>
    </row>
    <row r="818" spans="1:14">
      <c r="A818" s="11" t="s">
        <v>2152</v>
      </c>
      <c r="B818" s="11">
        <v>3315011142</v>
      </c>
      <c r="C818" s="11">
        <v>960</v>
      </c>
      <c r="D818" s="11" t="s">
        <v>2153</v>
      </c>
      <c r="E818" s="11" t="s">
        <v>1768</v>
      </c>
      <c r="F818" s="11" t="s">
        <v>24</v>
      </c>
      <c r="G818" s="11" t="s">
        <v>303</v>
      </c>
      <c r="H818" s="11" t="s">
        <v>15</v>
      </c>
      <c r="I818" s="11" t="s">
        <v>16</v>
      </c>
      <c r="J818" s="47" t="s">
        <v>2139</v>
      </c>
      <c r="K818">
        <v>420</v>
      </c>
      <c r="L818" t="str">
        <f t="shared" si="38"/>
        <v>250</v>
      </c>
      <c r="M818" t="e">
        <f>C818-K818-L818-#REF!</f>
        <v>#REF!</v>
      </c>
      <c r="N818" t="e">
        <f t="shared" si="39"/>
        <v>#REF!</v>
      </c>
    </row>
    <row r="819" spans="1:14">
      <c r="A819" s="11" t="s">
        <v>2155</v>
      </c>
      <c r="B819" s="11">
        <v>3316147219</v>
      </c>
      <c r="C819" s="11">
        <v>1260</v>
      </c>
      <c r="D819" s="11" t="s">
        <v>2154</v>
      </c>
      <c r="E819" s="11" t="s">
        <v>120</v>
      </c>
      <c r="F819" s="11" t="s">
        <v>45</v>
      </c>
      <c r="G819" s="11" t="s">
        <v>2147</v>
      </c>
      <c r="H819" s="11" t="s">
        <v>15</v>
      </c>
      <c r="I819" s="11" t="s">
        <v>16</v>
      </c>
      <c r="J819" s="47" t="s">
        <v>2139</v>
      </c>
      <c r="K819">
        <f>(250+500+50)</f>
        <v>800</v>
      </c>
      <c r="L819" t="str">
        <f t="shared" si="38"/>
        <v>250</v>
      </c>
      <c r="M819" t="e">
        <f>C819-K819-L819-#REF!</f>
        <v>#REF!</v>
      </c>
      <c r="N819" t="e">
        <f t="shared" si="39"/>
        <v>#REF!</v>
      </c>
    </row>
    <row r="820" spans="1:14">
      <c r="A820" s="11" t="s">
        <v>2070</v>
      </c>
      <c r="B820" s="11">
        <v>3214014600</v>
      </c>
      <c r="C820" s="11">
        <v>1200</v>
      </c>
      <c r="D820" s="11" t="s">
        <v>2071</v>
      </c>
      <c r="E820" s="11" t="s">
        <v>23</v>
      </c>
      <c r="F820" s="11" t="s">
        <v>45</v>
      </c>
      <c r="G820" s="11" t="s">
        <v>1302</v>
      </c>
      <c r="H820" s="11" t="s">
        <v>413</v>
      </c>
      <c r="I820" s="11" t="s">
        <v>16</v>
      </c>
      <c r="J820" s="47" t="s">
        <v>2139</v>
      </c>
      <c r="K820">
        <f>680</f>
        <v>680</v>
      </c>
      <c r="L820" t="str">
        <f t="shared" si="38"/>
        <v>250</v>
      </c>
      <c r="M820" t="e">
        <f>C820-K820-L820-#REF!</f>
        <v>#REF!</v>
      </c>
      <c r="N820" t="e">
        <f t="shared" si="39"/>
        <v>#REF!</v>
      </c>
    </row>
    <row r="821" spans="1:14">
      <c r="A821" s="11" t="s">
        <v>414</v>
      </c>
      <c r="B821" s="11">
        <v>3362167316</v>
      </c>
      <c r="C821" s="11">
        <v>1350</v>
      </c>
      <c r="D821" s="11" t="s">
        <v>2162</v>
      </c>
      <c r="E821" s="11" t="s">
        <v>50</v>
      </c>
      <c r="F821" s="11" t="s">
        <v>45</v>
      </c>
      <c r="G821" s="11" t="s">
        <v>2147</v>
      </c>
      <c r="H821" s="11" t="s">
        <v>2085</v>
      </c>
      <c r="I821" s="11" t="s">
        <v>16</v>
      </c>
      <c r="J821" s="47" t="s">
        <v>2139</v>
      </c>
      <c r="K821">
        <f>800</f>
        <v>800</v>
      </c>
      <c r="L821" t="str">
        <f t="shared" si="38"/>
        <v>150</v>
      </c>
      <c r="M821" t="e">
        <f>C821-K821-L821-#REF!</f>
        <v>#REF!</v>
      </c>
      <c r="N821" t="e">
        <f t="shared" si="39"/>
        <v>#REF!</v>
      </c>
    </row>
    <row r="822" spans="1:14">
      <c r="A822" s="2" t="s">
        <v>1370</v>
      </c>
      <c r="B822" s="2">
        <v>3452820133</v>
      </c>
      <c r="C822" s="5">
        <v>800</v>
      </c>
      <c r="D822" s="2" t="s">
        <v>433</v>
      </c>
      <c r="E822" s="5" t="s">
        <v>50</v>
      </c>
      <c r="F822" s="5" t="s">
        <v>24</v>
      </c>
      <c r="G822" s="11" t="s">
        <v>303</v>
      </c>
      <c r="H822" s="11" t="s">
        <v>413</v>
      </c>
      <c r="I822" s="11" t="s">
        <v>16</v>
      </c>
      <c r="J822" s="47" t="s">
        <v>2139</v>
      </c>
      <c r="K822">
        <v>420</v>
      </c>
      <c r="L822" t="str">
        <f t="shared" si="38"/>
        <v>150</v>
      </c>
      <c r="M822" t="e">
        <f>C822-K822-L822-#REF!</f>
        <v>#REF!</v>
      </c>
      <c r="N822" t="e">
        <f t="shared" si="39"/>
        <v>#REF!</v>
      </c>
    </row>
    <row r="823" spans="1:14">
      <c r="A823" s="11" t="s">
        <v>1688</v>
      </c>
      <c r="B823" s="11">
        <v>3222220032</v>
      </c>
      <c r="C823" s="11">
        <v>960</v>
      </c>
      <c r="D823" s="11" t="s">
        <v>2178</v>
      </c>
      <c r="E823" s="11" t="s">
        <v>57</v>
      </c>
      <c r="F823" s="11" t="s">
        <v>24</v>
      </c>
      <c r="G823" s="11" t="s">
        <v>303</v>
      </c>
      <c r="H823" s="11" t="s">
        <v>15</v>
      </c>
      <c r="I823" s="11" t="s">
        <v>16</v>
      </c>
      <c r="J823" s="47" t="s">
        <v>2179</v>
      </c>
      <c r="K823">
        <v>420</v>
      </c>
      <c r="L823" t="str">
        <f t="shared" si="38"/>
        <v>250</v>
      </c>
      <c r="M823" t="e">
        <f>C823-K823-L823-#REF!</f>
        <v>#REF!</v>
      </c>
      <c r="N823" t="e">
        <f t="shared" si="39"/>
        <v>#REF!</v>
      </c>
    </row>
    <row r="824" spans="1:14">
      <c r="A824" s="11" t="s">
        <v>2180</v>
      </c>
      <c r="B824" s="11">
        <v>3074440081</v>
      </c>
      <c r="C824" s="11">
        <v>790</v>
      </c>
      <c r="D824" s="11" t="s">
        <v>2181</v>
      </c>
      <c r="E824" s="11" t="s">
        <v>539</v>
      </c>
      <c r="F824" s="11" t="s">
        <v>24</v>
      </c>
      <c r="G824" s="11" t="s">
        <v>303</v>
      </c>
      <c r="H824" s="11" t="s">
        <v>15</v>
      </c>
      <c r="I824" s="11" t="s">
        <v>16</v>
      </c>
      <c r="J824" s="47" t="s">
        <v>2179</v>
      </c>
      <c r="K824">
        <v>420</v>
      </c>
      <c r="L824" t="str">
        <f t="shared" si="38"/>
        <v>250</v>
      </c>
      <c r="M824" t="e">
        <f>C824-K824-L824-#REF!</f>
        <v>#REF!</v>
      </c>
      <c r="N824" t="e">
        <f t="shared" si="39"/>
        <v>#REF!</v>
      </c>
    </row>
    <row r="825" spans="1:14">
      <c r="A825" s="11" t="s">
        <v>2183</v>
      </c>
      <c r="B825" s="11">
        <v>3139854822</v>
      </c>
      <c r="C825" s="11">
        <v>770</v>
      </c>
      <c r="D825" s="11" t="s">
        <v>2182</v>
      </c>
      <c r="E825" s="11" t="s">
        <v>199</v>
      </c>
      <c r="F825" s="11" t="s">
        <v>24</v>
      </c>
      <c r="G825" s="11" t="s">
        <v>2184</v>
      </c>
      <c r="H825" s="11" t="s">
        <v>15</v>
      </c>
      <c r="I825" s="11" t="s">
        <v>16</v>
      </c>
      <c r="J825" s="47" t="s">
        <v>2179</v>
      </c>
      <c r="K825">
        <f>220</f>
        <v>220</v>
      </c>
      <c r="L825" t="str">
        <f t="shared" si="38"/>
        <v>250</v>
      </c>
      <c r="M825" t="e">
        <f>C825-K825-L825-#REF!</f>
        <v>#REF!</v>
      </c>
      <c r="N825" t="e">
        <f t="shared" si="39"/>
        <v>#REF!</v>
      </c>
    </row>
    <row r="826" spans="1:14">
      <c r="A826" s="11" t="s">
        <v>2185</v>
      </c>
      <c r="B826" s="11">
        <v>3324473522</v>
      </c>
      <c r="C826" s="11">
        <v>2320</v>
      </c>
      <c r="D826" s="11" t="s">
        <v>2186</v>
      </c>
      <c r="E826" s="11" t="s">
        <v>23</v>
      </c>
      <c r="F826" s="11" t="s">
        <v>24</v>
      </c>
      <c r="G826" s="11" t="s">
        <v>1916</v>
      </c>
      <c r="H826" s="11" t="s">
        <v>15</v>
      </c>
      <c r="I826" s="11" t="s">
        <v>16</v>
      </c>
      <c r="J826" s="47" t="s">
        <v>2179</v>
      </c>
      <c r="K826">
        <v>1420</v>
      </c>
      <c r="L826" t="str">
        <f t="shared" si="38"/>
        <v>250</v>
      </c>
      <c r="M826" t="e">
        <f>C826-K826-L826-#REF!</f>
        <v>#REF!</v>
      </c>
      <c r="N826" t="e">
        <f t="shared" si="39"/>
        <v>#REF!</v>
      </c>
    </row>
    <row r="827" spans="1:14">
      <c r="A827" s="11" t="s">
        <v>1285</v>
      </c>
      <c r="B827" s="11">
        <v>3128999038</v>
      </c>
      <c r="C827" s="11">
        <v>4900</v>
      </c>
      <c r="D827" s="11" t="s">
        <v>2187</v>
      </c>
      <c r="E827" s="11" t="s">
        <v>35</v>
      </c>
      <c r="F827" s="11" t="s">
        <v>24</v>
      </c>
      <c r="G827" s="11" t="s">
        <v>2188</v>
      </c>
      <c r="H827" s="11" t="s">
        <v>2085</v>
      </c>
      <c r="I827" s="11" t="s">
        <v>16</v>
      </c>
      <c r="J827" s="47" t="s">
        <v>2179</v>
      </c>
      <c r="K827">
        <f>1400+1100+150+100</f>
        <v>2750</v>
      </c>
      <c r="L827" t="str">
        <f t="shared" si="38"/>
        <v>250</v>
      </c>
      <c r="M827" t="e">
        <f>C827-K827-L827-#REF!</f>
        <v>#REF!</v>
      </c>
      <c r="N827" t="e">
        <f t="shared" si="39"/>
        <v>#REF!</v>
      </c>
    </row>
    <row r="828" spans="1:14">
      <c r="A828" s="11" t="s">
        <v>2189</v>
      </c>
      <c r="B828" s="11">
        <v>3214340481</v>
      </c>
      <c r="C828" s="11">
        <v>1230</v>
      </c>
      <c r="D828" s="11" t="s">
        <v>2190</v>
      </c>
      <c r="E828" s="11" t="s">
        <v>23</v>
      </c>
      <c r="F828" s="11" t="s">
        <v>45</v>
      </c>
      <c r="G828" s="11" t="s">
        <v>2082</v>
      </c>
      <c r="H828" s="11" t="s">
        <v>15</v>
      </c>
      <c r="I828" s="11" t="s">
        <v>16</v>
      </c>
      <c r="J828" s="47" t="s">
        <v>2179</v>
      </c>
      <c r="K828">
        <f>(155*4)+60</f>
        <v>680</v>
      </c>
      <c r="L828" t="str">
        <f t="shared" si="38"/>
        <v>250</v>
      </c>
      <c r="M828" t="e">
        <f>C828-K828-L828-#REF!</f>
        <v>#REF!</v>
      </c>
      <c r="N828" t="e">
        <f t="shared" si="39"/>
        <v>#REF!</v>
      </c>
    </row>
    <row r="829" spans="1:14">
      <c r="A829" s="11" t="s">
        <v>2191</v>
      </c>
      <c r="B829" s="11">
        <v>3368737892</v>
      </c>
      <c r="C829" s="11">
        <v>2320</v>
      </c>
      <c r="D829" s="11" t="s">
        <v>2192</v>
      </c>
      <c r="E829" s="11" t="s">
        <v>23</v>
      </c>
      <c r="F829" s="11" t="s">
        <v>24</v>
      </c>
      <c r="G829" s="11" t="s">
        <v>1916</v>
      </c>
      <c r="H829" s="11" t="s">
        <v>15</v>
      </c>
      <c r="I829" s="11" t="s">
        <v>16</v>
      </c>
      <c r="J829" s="47" t="s">
        <v>2179</v>
      </c>
      <c r="K829">
        <v>1420</v>
      </c>
      <c r="L829" t="str">
        <f t="shared" si="38"/>
        <v>250</v>
      </c>
      <c r="M829" t="e">
        <f>C829-K829-L829-#REF!</f>
        <v>#REF!</v>
      </c>
      <c r="N829" t="e">
        <f t="shared" si="39"/>
        <v>#REF!</v>
      </c>
    </row>
    <row r="830" spans="1:14">
      <c r="A830" s="11" t="s">
        <v>2193</v>
      </c>
      <c r="B830" s="11">
        <v>3455346734</v>
      </c>
      <c r="C830" s="11">
        <v>360</v>
      </c>
      <c r="D830" s="11" t="s">
        <v>2194</v>
      </c>
      <c r="E830" s="11" t="s">
        <v>1768</v>
      </c>
      <c r="F830" s="11" t="s">
        <v>24</v>
      </c>
      <c r="G830" s="11" t="s">
        <v>1946</v>
      </c>
      <c r="H830" s="11" t="s">
        <v>15</v>
      </c>
      <c r="I830" s="11" t="s">
        <v>16</v>
      </c>
      <c r="J830" s="39">
        <v>42376</v>
      </c>
      <c r="K830">
        <v>200</v>
      </c>
      <c r="L830">
        <v>200</v>
      </c>
      <c r="M830" t="e">
        <f>C830-K830-L830-#REF!+140</f>
        <v>#REF!</v>
      </c>
      <c r="N830" t="e">
        <f t="shared" si="39"/>
        <v>#REF!</v>
      </c>
    </row>
    <row r="831" spans="1:14">
      <c r="A831" s="11" t="s">
        <v>2195</v>
      </c>
      <c r="B831" s="11">
        <v>3345631334</v>
      </c>
      <c r="C831" s="11">
        <v>1250</v>
      </c>
      <c r="D831" s="11" t="s">
        <v>2196</v>
      </c>
      <c r="E831" s="11" t="s">
        <v>2197</v>
      </c>
      <c r="F831" s="11" t="s">
        <v>45</v>
      </c>
      <c r="G831" s="11" t="s">
        <v>2198</v>
      </c>
      <c r="H831" s="11" t="s">
        <v>15</v>
      </c>
      <c r="I831" s="11" t="s">
        <v>16</v>
      </c>
      <c r="J831" s="39">
        <v>42376</v>
      </c>
      <c r="K831">
        <f>(125*3)+90</f>
        <v>465</v>
      </c>
      <c r="L831" t="str">
        <f t="shared" si="38"/>
        <v>250</v>
      </c>
      <c r="M831" t="e">
        <f>C831-K831-L831-#REF!</f>
        <v>#REF!</v>
      </c>
      <c r="N831" t="e">
        <f t="shared" si="39"/>
        <v>#REF!</v>
      </c>
    </row>
    <row r="832" spans="1:14">
      <c r="A832" s="11" t="s">
        <v>2199</v>
      </c>
      <c r="B832" s="11">
        <v>3238508861</v>
      </c>
      <c r="C832" s="11">
        <v>2320</v>
      </c>
      <c r="D832" s="11" t="s">
        <v>2200</v>
      </c>
      <c r="E832" s="11" t="s">
        <v>12</v>
      </c>
      <c r="F832" s="11" t="s">
        <v>24</v>
      </c>
      <c r="G832" s="11" t="s">
        <v>1916</v>
      </c>
      <c r="H832" s="11" t="s">
        <v>15</v>
      </c>
      <c r="I832" s="11" t="s">
        <v>16</v>
      </c>
      <c r="J832" s="39">
        <v>42376</v>
      </c>
      <c r="K832">
        <f>1470</f>
        <v>1470</v>
      </c>
      <c r="L832" t="str">
        <f t="shared" si="38"/>
        <v>250</v>
      </c>
      <c r="M832" t="e">
        <f>C832-K832-L832-#REF!</f>
        <v>#REF!</v>
      </c>
      <c r="N832" t="e">
        <f t="shared" si="39"/>
        <v>#REF!</v>
      </c>
    </row>
    <row r="833" spans="1:16">
      <c r="A833" s="11" t="s">
        <v>2201</v>
      </c>
      <c r="B833" s="11">
        <v>3249664706</v>
      </c>
      <c r="C833" s="11">
        <v>2340</v>
      </c>
      <c r="D833" s="11" t="s">
        <v>2202</v>
      </c>
      <c r="E833" s="11" t="s">
        <v>120</v>
      </c>
      <c r="F833" s="11" t="s">
        <v>24</v>
      </c>
      <c r="G833" s="11" t="s">
        <v>1916</v>
      </c>
      <c r="H833" s="11" t="s">
        <v>15</v>
      </c>
      <c r="I833" s="11" t="s">
        <v>16</v>
      </c>
      <c r="J833" s="39">
        <v>42376</v>
      </c>
      <c r="K833">
        <f>1470</f>
        <v>1470</v>
      </c>
      <c r="L833" t="str">
        <f t="shared" si="38"/>
        <v>250</v>
      </c>
      <c r="M833" t="e">
        <f>C833-K833-L833-#REF!</f>
        <v>#REF!</v>
      </c>
      <c r="N833" t="e">
        <f t="shared" si="39"/>
        <v>#REF!</v>
      </c>
    </row>
    <row r="834" spans="1:16">
      <c r="A834" s="11" t="s">
        <v>2203</v>
      </c>
      <c r="B834" s="11">
        <v>3333046127</v>
      </c>
      <c r="C834" s="11">
        <v>1500</v>
      </c>
      <c r="D834" s="11" t="s">
        <v>2204</v>
      </c>
      <c r="E834" s="11" t="s">
        <v>50</v>
      </c>
      <c r="F834" s="11" t="s">
        <v>45</v>
      </c>
      <c r="G834" s="11" t="s">
        <v>2205</v>
      </c>
      <c r="H834" s="11" t="s">
        <v>413</v>
      </c>
      <c r="I834" s="11" t="s">
        <v>16</v>
      </c>
      <c r="J834" s="39">
        <v>42436</v>
      </c>
      <c r="K834">
        <f>(125*3)+(250*3)+130</f>
        <v>1255</v>
      </c>
      <c r="L834" t="str">
        <f t="shared" si="38"/>
        <v>150</v>
      </c>
      <c r="M834" t="e">
        <f>C834-K834-L834-#REF!</f>
        <v>#REF!</v>
      </c>
      <c r="N834" t="e">
        <f t="shared" si="39"/>
        <v>#REF!</v>
      </c>
    </row>
    <row r="835" spans="1:16">
      <c r="A835" s="11" t="s">
        <v>2206</v>
      </c>
      <c r="B835" s="11">
        <v>3009257032</v>
      </c>
      <c r="C835" s="11">
        <v>1200</v>
      </c>
      <c r="D835" s="11" t="s">
        <v>2207</v>
      </c>
      <c r="E835" s="11" t="s">
        <v>50</v>
      </c>
      <c r="F835" s="11" t="s">
        <v>515</v>
      </c>
      <c r="G835" s="11" t="s">
        <v>2208</v>
      </c>
      <c r="H835" s="11" t="s">
        <v>15</v>
      </c>
      <c r="I835" s="11" t="s">
        <v>16</v>
      </c>
      <c r="J835" s="39">
        <v>42436</v>
      </c>
      <c r="K835">
        <f>180*3</f>
        <v>540</v>
      </c>
      <c r="L835" t="str">
        <f t="shared" si="38"/>
        <v>150</v>
      </c>
      <c r="M835" t="e">
        <f>C835-K835-L835-#REF!</f>
        <v>#REF!</v>
      </c>
      <c r="N835" t="e">
        <f t="shared" si="39"/>
        <v>#REF!</v>
      </c>
    </row>
    <row r="836" spans="1:16">
      <c r="A836" s="11" t="s">
        <v>2209</v>
      </c>
      <c r="B836" s="11">
        <v>3452218146</v>
      </c>
      <c r="C836" s="11">
        <v>1250</v>
      </c>
      <c r="D836" s="11" t="s">
        <v>2210</v>
      </c>
      <c r="E836" s="11" t="s">
        <v>50</v>
      </c>
      <c r="F836" s="11" t="s">
        <v>45</v>
      </c>
      <c r="G836" s="11" t="s">
        <v>1445</v>
      </c>
      <c r="H836" s="11" t="s">
        <v>41</v>
      </c>
      <c r="I836" s="11" t="s">
        <v>16</v>
      </c>
      <c r="J836" s="39">
        <v>42467</v>
      </c>
      <c r="K836">
        <f>660</f>
        <v>660</v>
      </c>
      <c r="L836" t="str">
        <f t="shared" si="38"/>
        <v>150</v>
      </c>
      <c r="M836" t="e">
        <f>C836-K836-L836-#REF!</f>
        <v>#REF!</v>
      </c>
      <c r="N836" t="e">
        <f t="shared" si="39"/>
        <v>#REF!</v>
      </c>
    </row>
    <row r="837" spans="1:16">
      <c r="A837" s="11" t="s">
        <v>2211</v>
      </c>
      <c r="B837" s="11">
        <v>3218779069</v>
      </c>
      <c r="C837" s="11">
        <v>1500</v>
      </c>
      <c r="D837" s="11" t="s">
        <v>2212</v>
      </c>
      <c r="E837" s="11" t="s">
        <v>50</v>
      </c>
      <c r="F837" s="11" t="s">
        <v>45</v>
      </c>
      <c r="G837" s="11" t="s">
        <v>2205</v>
      </c>
      <c r="H837" s="11" t="s">
        <v>413</v>
      </c>
      <c r="I837" s="11" t="s">
        <v>16</v>
      </c>
      <c r="J837" s="39">
        <v>42467</v>
      </c>
      <c r="K837">
        <f>(125*3)+(250*3)+130</f>
        <v>1255</v>
      </c>
      <c r="L837" t="str">
        <f t="shared" si="38"/>
        <v>150</v>
      </c>
      <c r="M837" t="e">
        <f>C837-K837-L837-#REF!</f>
        <v>#REF!</v>
      </c>
      <c r="N837" t="e">
        <f t="shared" si="39"/>
        <v>#REF!</v>
      </c>
    </row>
    <row r="838" spans="1:16">
      <c r="L838" t="str">
        <f t="shared" si="38"/>
        <v>250</v>
      </c>
      <c r="M838" t="e">
        <f>C838-K838-L838-#REF!</f>
        <v>#REF!</v>
      </c>
      <c r="N838" t="str">
        <f t="shared" si="39"/>
        <v>Waiting For Deliver</v>
      </c>
      <c r="P838" t="e">
        <f>SUM(N757:N837)</f>
        <v>#REF!</v>
      </c>
    </row>
    <row r="839" spans="1:16" ht="46.5">
      <c r="A839" s="134" t="s">
        <v>2213</v>
      </c>
      <c r="B839" s="134"/>
      <c r="C839" s="134"/>
      <c r="D839" s="134"/>
      <c r="E839" s="134"/>
      <c r="F839" s="134"/>
      <c r="G839" s="134"/>
      <c r="H839" s="134"/>
      <c r="I839" s="134"/>
      <c r="J839" s="134"/>
      <c r="K839" s="134"/>
      <c r="L839" s="134"/>
      <c r="M839" s="134"/>
      <c r="N839" s="134"/>
      <c r="O839" s="134"/>
    </row>
    <row r="840" spans="1:16">
      <c r="A840" s="100" t="s">
        <v>2214</v>
      </c>
      <c r="B840" s="66">
        <v>3138527367</v>
      </c>
      <c r="C840" s="67">
        <v>2340</v>
      </c>
      <c r="D840" s="67" t="s">
        <v>2215</v>
      </c>
      <c r="E840" s="67" t="s">
        <v>148</v>
      </c>
      <c r="F840" s="67" t="s">
        <v>24</v>
      </c>
      <c r="G840" s="67" t="s">
        <v>2216</v>
      </c>
      <c r="H840" s="67" t="s">
        <v>15</v>
      </c>
      <c r="I840" s="67" t="s">
        <v>2284</v>
      </c>
      <c r="J840" s="68">
        <v>42681</v>
      </c>
      <c r="K840">
        <f>1470</f>
        <v>1470</v>
      </c>
      <c r="L840">
        <v>305</v>
      </c>
      <c r="M840">
        <f>C840-K840-L840</f>
        <v>565</v>
      </c>
      <c r="N840" t="str">
        <f t="shared" ref="N840:N871" si="40">IF(I840="deliver",M840,"Waiting For Deliver")</f>
        <v>Waiting For Deliver</v>
      </c>
    </row>
    <row r="841" spans="1:16">
      <c r="A841" s="67" t="s">
        <v>2218</v>
      </c>
      <c r="B841" s="67">
        <v>3335722344</v>
      </c>
      <c r="C841" s="67">
        <v>980</v>
      </c>
      <c r="D841" s="101" t="s">
        <v>2219</v>
      </c>
      <c r="E841" s="67" t="s">
        <v>2220</v>
      </c>
      <c r="F841" s="67" t="s">
        <v>24</v>
      </c>
      <c r="G841" s="67" t="s">
        <v>303</v>
      </c>
      <c r="H841" s="67" t="s">
        <v>15</v>
      </c>
      <c r="I841" s="67" t="s">
        <v>2284</v>
      </c>
      <c r="J841" s="68">
        <v>42681</v>
      </c>
      <c r="K841">
        <f>420</f>
        <v>420</v>
      </c>
      <c r="L841" t="str">
        <f t="shared" si="38"/>
        <v>250</v>
      </c>
      <c r="M841">
        <f t="shared" ref="M841:M904" si="41">C841-K841-L841</f>
        <v>310</v>
      </c>
      <c r="N841" t="str">
        <f t="shared" si="40"/>
        <v>Waiting For Deliver</v>
      </c>
    </row>
    <row r="842" spans="1:16">
      <c r="A842" t="s">
        <v>2224</v>
      </c>
      <c r="B842">
        <v>3452148192</v>
      </c>
      <c r="C842">
        <v>2300</v>
      </c>
      <c r="D842" t="s">
        <v>2225</v>
      </c>
      <c r="E842" t="s">
        <v>50</v>
      </c>
      <c r="F842" t="s">
        <v>24</v>
      </c>
      <c r="G842" t="s">
        <v>2216</v>
      </c>
      <c r="H842" t="s">
        <v>15</v>
      </c>
      <c r="I842" t="s">
        <v>2284</v>
      </c>
      <c r="J842" s="38">
        <v>42681</v>
      </c>
      <c r="K842">
        <f>1475</f>
        <v>1475</v>
      </c>
      <c r="L842">
        <v>50</v>
      </c>
      <c r="M842">
        <f t="shared" si="41"/>
        <v>775</v>
      </c>
      <c r="N842" t="str">
        <f t="shared" si="40"/>
        <v>Waiting For Deliver</v>
      </c>
    </row>
    <row r="843" spans="1:16">
      <c r="A843" s="11" t="s">
        <v>2233</v>
      </c>
      <c r="B843" s="11">
        <v>3105410515</v>
      </c>
      <c r="C843" s="11">
        <v>1090</v>
      </c>
      <c r="D843" s="11" t="s">
        <v>2234</v>
      </c>
      <c r="E843" s="11" t="s">
        <v>177</v>
      </c>
      <c r="F843" s="11" t="s">
        <v>45</v>
      </c>
      <c r="G843" s="11" t="s">
        <v>1302</v>
      </c>
      <c r="H843" s="11" t="s">
        <v>15</v>
      </c>
      <c r="I843" s="11" t="s">
        <v>2284</v>
      </c>
      <c r="J843" s="39">
        <v>42711</v>
      </c>
      <c r="K843">
        <f>660</f>
        <v>660</v>
      </c>
      <c r="L843" t="str">
        <f t="shared" si="38"/>
        <v>250</v>
      </c>
      <c r="M843">
        <f t="shared" si="41"/>
        <v>180</v>
      </c>
      <c r="N843" t="str">
        <f t="shared" si="40"/>
        <v>Waiting For Deliver</v>
      </c>
    </row>
    <row r="844" spans="1:16">
      <c r="A844" s="11" t="s">
        <v>2235</v>
      </c>
      <c r="B844" s="11">
        <v>3444261677</v>
      </c>
      <c r="C844" s="11">
        <v>2290</v>
      </c>
      <c r="D844" s="11" t="s">
        <v>2236</v>
      </c>
      <c r="E844" s="11" t="s">
        <v>50</v>
      </c>
      <c r="F844" s="11" t="s">
        <v>24</v>
      </c>
      <c r="G844" s="11" t="s">
        <v>2216</v>
      </c>
      <c r="H844" s="11" t="s">
        <v>15</v>
      </c>
      <c r="I844" s="11" t="s">
        <v>2284</v>
      </c>
      <c r="J844" s="39">
        <v>42711</v>
      </c>
      <c r="K844">
        <f>1475</f>
        <v>1475</v>
      </c>
      <c r="L844">
        <v>60</v>
      </c>
      <c r="M844">
        <f t="shared" si="41"/>
        <v>755</v>
      </c>
      <c r="N844" t="str">
        <f t="shared" si="40"/>
        <v>Waiting For Deliver</v>
      </c>
    </row>
    <row r="845" spans="1:16">
      <c r="A845" s="11" t="s">
        <v>2246</v>
      </c>
      <c r="B845" s="11">
        <v>3364241942</v>
      </c>
      <c r="C845" s="11">
        <v>1250</v>
      </c>
      <c r="D845" s="11" t="s">
        <v>2247</v>
      </c>
      <c r="E845" s="11" t="s">
        <v>23</v>
      </c>
      <c r="F845" s="11" t="s">
        <v>515</v>
      </c>
      <c r="G845" s="11" t="s">
        <v>2239</v>
      </c>
      <c r="H845" s="11" t="s">
        <v>15</v>
      </c>
      <c r="I845" s="11" t="s">
        <v>2284</v>
      </c>
      <c r="J845" s="39">
        <v>42711</v>
      </c>
      <c r="K845">
        <f>560</f>
        <v>560</v>
      </c>
      <c r="L845" t="str">
        <f t="shared" si="38"/>
        <v>250</v>
      </c>
      <c r="M845">
        <f t="shared" si="41"/>
        <v>440</v>
      </c>
      <c r="N845" t="str">
        <f t="shared" si="40"/>
        <v>Waiting For Deliver</v>
      </c>
    </row>
    <row r="846" spans="1:16">
      <c r="A846" s="11" t="s">
        <v>2252</v>
      </c>
      <c r="B846" s="11">
        <v>3345449804</v>
      </c>
      <c r="C846" s="11">
        <v>2340</v>
      </c>
      <c r="D846" s="11" t="s">
        <v>2253</v>
      </c>
      <c r="E846" s="11" t="s">
        <v>485</v>
      </c>
      <c r="F846" s="11" t="s">
        <v>24</v>
      </c>
      <c r="G846" s="11" t="s">
        <v>2216</v>
      </c>
      <c r="H846" s="11" t="s">
        <v>15</v>
      </c>
      <c r="I846" s="11" t="s">
        <v>2284</v>
      </c>
      <c r="J846" s="11" t="s">
        <v>2254</v>
      </c>
      <c r="K846" s="18">
        <f>1450+20</f>
        <v>1470</v>
      </c>
      <c r="L846" t="str">
        <f t="shared" si="38"/>
        <v>250</v>
      </c>
      <c r="M846">
        <f t="shared" si="41"/>
        <v>620</v>
      </c>
      <c r="N846" t="str">
        <f t="shared" si="40"/>
        <v>Waiting For Deliver</v>
      </c>
    </row>
    <row r="847" spans="1:16">
      <c r="A847" s="11" t="s">
        <v>2255</v>
      </c>
      <c r="B847" s="11">
        <v>3234151311</v>
      </c>
      <c r="C847" s="11">
        <v>1070</v>
      </c>
      <c r="D847" s="11" t="s">
        <v>2256</v>
      </c>
      <c r="E847" s="11" t="s">
        <v>23</v>
      </c>
      <c r="F847" s="11" t="s">
        <v>45</v>
      </c>
      <c r="G847" s="11" t="s">
        <v>1302</v>
      </c>
      <c r="H847" s="11" t="s">
        <v>15</v>
      </c>
      <c r="I847" s="11" t="s">
        <v>2284</v>
      </c>
      <c r="J847" s="11" t="s">
        <v>2254</v>
      </c>
      <c r="K847">
        <f>660</f>
        <v>660</v>
      </c>
      <c r="L847" t="str">
        <f t="shared" si="38"/>
        <v>250</v>
      </c>
      <c r="M847">
        <f t="shared" si="41"/>
        <v>160</v>
      </c>
      <c r="N847" t="str">
        <f t="shared" si="40"/>
        <v>Waiting For Deliver</v>
      </c>
    </row>
    <row r="848" spans="1:16">
      <c r="A848" s="11" t="s">
        <v>2257</v>
      </c>
      <c r="B848" s="11">
        <v>3034169636</v>
      </c>
      <c r="C848" s="11">
        <v>1100</v>
      </c>
      <c r="D848" s="11" t="s">
        <v>2258</v>
      </c>
      <c r="E848" s="11" t="s">
        <v>2259</v>
      </c>
      <c r="F848" s="11" t="s">
        <v>45</v>
      </c>
      <c r="G848" s="11" t="s">
        <v>2260</v>
      </c>
      <c r="H848" s="11" t="s">
        <v>15</v>
      </c>
      <c r="I848" s="11" t="s">
        <v>2284</v>
      </c>
      <c r="J848" s="11" t="s">
        <v>2254</v>
      </c>
      <c r="K848">
        <f>375+100</f>
        <v>475</v>
      </c>
      <c r="L848" t="str">
        <f t="shared" si="38"/>
        <v>250</v>
      </c>
      <c r="M848">
        <f t="shared" si="41"/>
        <v>375</v>
      </c>
      <c r="N848" t="str">
        <f t="shared" si="40"/>
        <v>Waiting For Deliver</v>
      </c>
    </row>
    <row r="849" spans="1:14">
      <c r="A849" s="11" t="s">
        <v>2263</v>
      </c>
      <c r="B849" s="11">
        <v>3167035022</v>
      </c>
      <c r="C849" s="11">
        <v>1130</v>
      </c>
      <c r="D849" s="11" t="s">
        <v>2261</v>
      </c>
      <c r="E849" s="11" t="s">
        <v>2262</v>
      </c>
      <c r="F849" s="11" t="s">
        <v>24</v>
      </c>
      <c r="G849" s="11" t="s">
        <v>2264</v>
      </c>
      <c r="H849" s="11" t="s">
        <v>15</v>
      </c>
      <c r="I849" s="11" t="s">
        <v>2284</v>
      </c>
      <c r="J849" s="11" t="s">
        <v>2254</v>
      </c>
      <c r="K849" s="18">
        <f>600+20</f>
        <v>620</v>
      </c>
      <c r="L849" t="str">
        <f t="shared" si="38"/>
        <v>250</v>
      </c>
      <c r="M849">
        <f t="shared" si="41"/>
        <v>260</v>
      </c>
      <c r="N849" t="str">
        <f t="shared" si="40"/>
        <v>Waiting For Deliver</v>
      </c>
    </row>
    <row r="850" spans="1:14">
      <c r="A850" s="11" t="s">
        <v>2271</v>
      </c>
      <c r="B850" s="11">
        <v>3341243350</v>
      </c>
      <c r="C850" s="11">
        <v>1250</v>
      </c>
      <c r="D850" s="11" t="s">
        <v>2272</v>
      </c>
      <c r="E850" s="11" t="s">
        <v>50</v>
      </c>
      <c r="F850" s="11" t="s">
        <v>2273</v>
      </c>
      <c r="G850" s="11" t="s">
        <v>2270</v>
      </c>
      <c r="H850" s="11" t="s">
        <v>41</v>
      </c>
      <c r="I850" s="11" t="s">
        <v>2284</v>
      </c>
      <c r="J850" s="11" t="s">
        <v>2269</v>
      </c>
      <c r="K850">
        <f>700</f>
        <v>700</v>
      </c>
      <c r="L850">
        <v>200</v>
      </c>
      <c r="M850">
        <f t="shared" si="41"/>
        <v>350</v>
      </c>
      <c r="N850" t="str">
        <f t="shared" si="40"/>
        <v>Waiting For Deliver</v>
      </c>
    </row>
    <row r="851" spans="1:14">
      <c r="A851" s="11" t="s">
        <v>2274</v>
      </c>
      <c r="B851" s="11">
        <v>3008684346</v>
      </c>
      <c r="C851" s="11">
        <v>700</v>
      </c>
      <c r="D851" s="11" t="s">
        <v>2275</v>
      </c>
      <c r="E851" s="11" t="s">
        <v>542</v>
      </c>
      <c r="F851" s="11" t="s">
        <v>24</v>
      </c>
      <c r="G851" s="11" t="s">
        <v>1959</v>
      </c>
      <c r="H851" s="11" t="s">
        <v>15</v>
      </c>
      <c r="I851" s="11" t="s">
        <v>2284</v>
      </c>
      <c r="J851" s="11" t="s">
        <v>2276</v>
      </c>
      <c r="K851">
        <v>200</v>
      </c>
      <c r="L851">
        <v>180</v>
      </c>
      <c r="M851">
        <f t="shared" si="41"/>
        <v>320</v>
      </c>
      <c r="N851" t="str">
        <f t="shared" si="40"/>
        <v>Waiting For Deliver</v>
      </c>
    </row>
    <row r="852" spans="1:14">
      <c r="A852" s="11" t="s">
        <v>2277</v>
      </c>
      <c r="B852" s="11">
        <v>3004548461</v>
      </c>
      <c r="C852" s="11">
        <v>2340</v>
      </c>
      <c r="D852" s="11" t="s">
        <v>2278</v>
      </c>
      <c r="E852" s="11" t="s">
        <v>453</v>
      </c>
      <c r="F852" s="11" t="s">
        <v>24</v>
      </c>
      <c r="G852" s="11" t="s">
        <v>2216</v>
      </c>
      <c r="H852" s="11" t="s">
        <v>413</v>
      </c>
      <c r="I852" s="11" t="s">
        <v>2284</v>
      </c>
      <c r="J852" s="11" t="s">
        <v>2276</v>
      </c>
      <c r="K852">
        <v>1470</v>
      </c>
      <c r="L852">
        <v>180</v>
      </c>
      <c r="M852">
        <f t="shared" si="41"/>
        <v>690</v>
      </c>
      <c r="N852" t="str">
        <f t="shared" si="40"/>
        <v>Waiting For Deliver</v>
      </c>
    </row>
    <row r="853" spans="1:14">
      <c r="A853" s="100" t="s">
        <v>2285</v>
      </c>
      <c r="B853" s="67">
        <v>3460200888</v>
      </c>
      <c r="C853" s="67">
        <v>1080</v>
      </c>
      <c r="D853" s="67" t="s">
        <v>2286</v>
      </c>
      <c r="E853" s="67" t="s">
        <v>12</v>
      </c>
      <c r="F853" s="67" t="s">
        <v>45</v>
      </c>
      <c r="G853" s="67" t="s">
        <v>2260</v>
      </c>
      <c r="H853" s="67" t="s">
        <v>15</v>
      </c>
      <c r="I853" s="67" t="s">
        <v>2284</v>
      </c>
      <c r="J853" s="11" t="s">
        <v>2276</v>
      </c>
      <c r="K853">
        <f>375+100</f>
        <v>475</v>
      </c>
      <c r="L853">
        <v>340</v>
      </c>
      <c r="M853">
        <f t="shared" si="41"/>
        <v>265</v>
      </c>
      <c r="N853" t="str">
        <f t="shared" si="40"/>
        <v>Waiting For Deliver</v>
      </c>
    </row>
    <row r="854" spans="1:14">
      <c r="A854" s="40" t="s">
        <v>2292</v>
      </c>
      <c r="B854" s="116">
        <v>3349836341</v>
      </c>
      <c r="C854" s="30">
        <v>2340</v>
      </c>
      <c r="D854" s="40" t="s">
        <v>2291</v>
      </c>
      <c r="E854" s="30" t="s">
        <v>2290</v>
      </c>
      <c r="F854" s="30" t="s">
        <v>24</v>
      </c>
      <c r="G854" s="30" t="s">
        <v>2216</v>
      </c>
      <c r="H854" s="30" t="s">
        <v>15</v>
      </c>
      <c r="I854" s="30" t="s">
        <v>122</v>
      </c>
      <c r="J854" s="40" t="s">
        <v>2276</v>
      </c>
      <c r="K854">
        <f>1470</f>
        <v>1470</v>
      </c>
      <c r="L854" t="str">
        <f t="shared" si="38"/>
        <v>250</v>
      </c>
      <c r="M854">
        <f t="shared" si="41"/>
        <v>620</v>
      </c>
      <c r="N854" t="str">
        <f t="shared" si="40"/>
        <v>Waiting For Deliver</v>
      </c>
    </row>
    <row r="855" spans="1:14">
      <c r="A855" s="11" t="s">
        <v>2293</v>
      </c>
      <c r="B855" s="11">
        <v>3335580840</v>
      </c>
      <c r="C855" s="67">
        <v>1500</v>
      </c>
      <c r="D855" s="11" t="s">
        <v>2294</v>
      </c>
      <c r="E855" s="67" t="s">
        <v>30</v>
      </c>
      <c r="F855" s="67" t="s">
        <v>45</v>
      </c>
      <c r="G855" s="67" t="s">
        <v>2295</v>
      </c>
      <c r="H855" s="67" t="s">
        <v>41</v>
      </c>
      <c r="I855" s="67" t="s">
        <v>2284</v>
      </c>
      <c r="J855" s="11" t="s">
        <v>2276</v>
      </c>
      <c r="K855">
        <f>125*5</f>
        <v>625</v>
      </c>
      <c r="L855">
        <v>340</v>
      </c>
      <c r="M855">
        <f t="shared" si="41"/>
        <v>535</v>
      </c>
      <c r="N855" t="str">
        <f t="shared" si="40"/>
        <v>Waiting For Deliver</v>
      </c>
    </row>
    <row r="856" spans="1:14">
      <c r="A856" s="55" t="s">
        <v>2300</v>
      </c>
      <c r="B856" s="55">
        <v>3425194301</v>
      </c>
      <c r="C856" s="71">
        <v>1090</v>
      </c>
      <c r="D856" s="55" t="s">
        <v>2301</v>
      </c>
      <c r="E856" s="71" t="s">
        <v>2302</v>
      </c>
      <c r="F856" s="71" t="s">
        <v>45</v>
      </c>
      <c r="G856" s="71" t="s">
        <v>1302</v>
      </c>
      <c r="H856" s="71" t="s">
        <v>15</v>
      </c>
      <c r="I856" s="71" t="s">
        <v>122</v>
      </c>
      <c r="J856" s="55" t="s">
        <v>2297</v>
      </c>
      <c r="K856">
        <f>660</f>
        <v>660</v>
      </c>
      <c r="L856" t="str">
        <f t="shared" si="38"/>
        <v>250</v>
      </c>
      <c r="M856">
        <f t="shared" si="41"/>
        <v>180</v>
      </c>
      <c r="N856" t="str">
        <f t="shared" si="40"/>
        <v>Waiting For Deliver</v>
      </c>
    </row>
    <row r="857" spans="1:14">
      <c r="A857" s="11" t="s">
        <v>2303</v>
      </c>
      <c r="B857" s="11">
        <v>3466277577</v>
      </c>
      <c r="C857" s="67">
        <v>2340</v>
      </c>
      <c r="D857" s="11" t="s">
        <v>2309</v>
      </c>
      <c r="E857" s="67" t="s">
        <v>539</v>
      </c>
      <c r="F857" s="11" t="s">
        <v>24</v>
      </c>
      <c r="G857" s="11" t="s">
        <v>2216</v>
      </c>
      <c r="H857" s="11" t="s">
        <v>15</v>
      </c>
      <c r="I857" s="11" t="s">
        <v>2284</v>
      </c>
      <c r="J857" s="11" t="s">
        <v>2307</v>
      </c>
      <c r="K857">
        <f>1470</f>
        <v>1470</v>
      </c>
      <c r="L857">
        <v>180</v>
      </c>
      <c r="M857">
        <f t="shared" si="41"/>
        <v>690</v>
      </c>
      <c r="N857" t="str">
        <f t="shared" si="40"/>
        <v>Waiting For Deliver</v>
      </c>
    </row>
    <row r="858" spans="1:14">
      <c r="A858" s="11" t="s">
        <v>2310</v>
      </c>
      <c r="B858" s="11">
        <v>3452997522</v>
      </c>
      <c r="C858" s="67">
        <v>800</v>
      </c>
      <c r="D858" s="11" t="s">
        <v>2311</v>
      </c>
      <c r="E858" s="67" t="s">
        <v>50</v>
      </c>
      <c r="F858" s="11" t="s">
        <v>2273</v>
      </c>
      <c r="G858" s="11" t="s">
        <v>2308</v>
      </c>
      <c r="H858" s="11" t="s">
        <v>41</v>
      </c>
      <c r="I858" s="11" t="s">
        <v>2284</v>
      </c>
      <c r="J858" s="11" t="s">
        <v>2307</v>
      </c>
      <c r="K858">
        <f>450</f>
        <v>450</v>
      </c>
      <c r="L858">
        <v>200</v>
      </c>
      <c r="M858">
        <f t="shared" si="41"/>
        <v>150</v>
      </c>
      <c r="N858" t="str">
        <f t="shared" si="40"/>
        <v>Waiting For Deliver</v>
      </c>
    </row>
    <row r="859" spans="1:14">
      <c r="A859" s="11" t="s">
        <v>2321</v>
      </c>
      <c r="B859" s="11">
        <v>3486367234</v>
      </c>
      <c r="C859" s="67">
        <v>1090</v>
      </c>
      <c r="D859" s="11" t="s">
        <v>2319</v>
      </c>
      <c r="E859" s="67" t="s">
        <v>2320</v>
      </c>
      <c r="F859" s="11" t="s">
        <v>45</v>
      </c>
      <c r="G859" s="11" t="s">
        <v>1302</v>
      </c>
      <c r="H859" s="11" t="s">
        <v>15</v>
      </c>
      <c r="I859" s="11" t="s">
        <v>2284</v>
      </c>
      <c r="J859" s="11" t="s">
        <v>2313</v>
      </c>
      <c r="K859">
        <f>660</f>
        <v>660</v>
      </c>
      <c r="L859">
        <v>220</v>
      </c>
      <c r="M859">
        <f t="shared" si="41"/>
        <v>210</v>
      </c>
      <c r="N859" t="str">
        <f t="shared" si="40"/>
        <v>Waiting For Deliver</v>
      </c>
    </row>
    <row r="860" spans="1:14">
      <c r="A860" s="11" t="s">
        <v>2329</v>
      </c>
      <c r="B860" s="11"/>
      <c r="C860" s="67">
        <v>1600</v>
      </c>
      <c r="D860" s="11"/>
      <c r="E860" s="67" t="s">
        <v>50</v>
      </c>
      <c r="F860" s="11" t="s">
        <v>2273</v>
      </c>
      <c r="G860" s="11" t="s">
        <v>2315</v>
      </c>
      <c r="H860" s="11" t="s">
        <v>41</v>
      </c>
      <c r="I860" s="11" t="s">
        <v>2284</v>
      </c>
      <c r="J860" s="11" t="s">
        <v>2313</v>
      </c>
      <c r="K860">
        <f>700</f>
        <v>700</v>
      </c>
      <c r="L860">
        <v>200</v>
      </c>
      <c r="M860">
        <f t="shared" si="41"/>
        <v>700</v>
      </c>
      <c r="N860" t="str">
        <f t="shared" si="40"/>
        <v>Waiting For Deliver</v>
      </c>
    </row>
    <row r="861" spans="1:14">
      <c r="A861" s="11" t="s">
        <v>2330</v>
      </c>
      <c r="B861" s="11">
        <v>3314137844</v>
      </c>
      <c r="C861" s="67">
        <v>1180</v>
      </c>
      <c r="D861" s="11" t="s">
        <v>2331</v>
      </c>
      <c r="E861" s="67" t="s">
        <v>148</v>
      </c>
      <c r="F861" s="11" t="s">
        <v>24</v>
      </c>
      <c r="G861" s="11" t="s">
        <v>2332</v>
      </c>
      <c r="H861" s="11" t="s">
        <v>413</v>
      </c>
      <c r="I861" s="11" t="s">
        <v>2284</v>
      </c>
      <c r="J861" s="11" t="s">
        <v>2333</v>
      </c>
      <c r="K861">
        <f>500</f>
        <v>500</v>
      </c>
      <c r="L861">
        <v>180</v>
      </c>
      <c r="M861">
        <f t="shared" si="41"/>
        <v>500</v>
      </c>
      <c r="N861" t="str">
        <f t="shared" si="40"/>
        <v>Waiting For Deliver</v>
      </c>
    </row>
    <row r="862" spans="1:14">
      <c r="A862" s="11" t="s">
        <v>2342</v>
      </c>
      <c r="B862" s="11">
        <v>3132791124</v>
      </c>
      <c r="C862" s="67">
        <v>930</v>
      </c>
      <c r="D862" s="11" t="s">
        <v>2343</v>
      </c>
      <c r="E862" s="67" t="s">
        <v>50</v>
      </c>
      <c r="F862" s="67" t="s">
        <v>45</v>
      </c>
      <c r="G862" s="67" t="s">
        <v>2339</v>
      </c>
      <c r="H862" s="67" t="s">
        <v>41</v>
      </c>
      <c r="I862" s="67" t="s">
        <v>2284</v>
      </c>
      <c r="J862" s="67" t="s">
        <v>2334</v>
      </c>
      <c r="K862">
        <f>250+60</f>
        <v>310</v>
      </c>
      <c r="L862">
        <v>130</v>
      </c>
      <c r="M862">
        <f t="shared" si="41"/>
        <v>490</v>
      </c>
      <c r="N862" t="str">
        <f t="shared" si="40"/>
        <v>Waiting For Deliver</v>
      </c>
    </row>
    <row r="863" spans="1:14">
      <c r="A863" s="55" t="s">
        <v>2344</v>
      </c>
      <c r="B863" s="55">
        <v>3155509718</v>
      </c>
      <c r="C863" s="71">
        <v>1080</v>
      </c>
      <c r="D863" s="55" t="s">
        <v>2345</v>
      </c>
      <c r="E863" s="71" t="s">
        <v>1768</v>
      </c>
      <c r="F863" s="55" t="s">
        <v>45</v>
      </c>
      <c r="G863" s="55" t="s">
        <v>2260</v>
      </c>
      <c r="H863" s="55" t="s">
        <v>15</v>
      </c>
      <c r="I863" s="55" t="s">
        <v>122</v>
      </c>
      <c r="J863" s="71" t="s">
        <v>2334</v>
      </c>
      <c r="K863">
        <f>(125*3)+90</f>
        <v>465</v>
      </c>
      <c r="L863" t="str">
        <f t="shared" si="38"/>
        <v>250</v>
      </c>
      <c r="M863">
        <f t="shared" si="41"/>
        <v>365</v>
      </c>
      <c r="N863" t="str">
        <f t="shared" si="40"/>
        <v>Waiting For Deliver</v>
      </c>
    </row>
    <row r="864" spans="1:14">
      <c r="A864" s="55" t="s">
        <v>2356</v>
      </c>
      <c r="B864" s="55">
        <v>3455554432</v>
      </c>
      <c r="C864" s="71">
        <v>960</v>
      </c>
      <c r="D864" s="55" t="s">
        <v>2357</v>
      </c>
      <c r="E864" s="71" t="s">
        <v>1768</v>
      </c>
      <c r="F864" s="71" t="s">
        <v>24</v>
      </c>
      <c r="G864" s="71" t="s">
        <v>303</v>
      </c>
      <c r="H864" s="71" t="s">
        <v>15</v>
      </c>
      <c r="I864" s="71" t="s">
        <v>122</v>
      </c>
      <c r="J864" s="71" t="s">
        <v>2354</v>
      </c>
      <c r="K864">
        <f>425</f>
        <v>425</v>
      </c>
      <c r="L864" t="str">
        <f t="shared" si="38"/>
        <v>250</v>
      </c>
      <c r="M864">
        <f t="shared" si="41"/>
        <v>285</v>
      </c>
      <c r="N864" t="str">
        <f t="shared" si="40"/>
        <v>Waiting For Deliver</v>
      </c>
    </row>
    <row r="865" spans="1:14">
      <c r="A865" s="11" t="s">
        <v>2358</v>
      </c>
      <c r="B865" s="11">
        <v>3067970510</v>
      </c>
      <c r="C865" s="67">
        <v>1110</v>
      </c>
      <c r="D865" s="11" t="s">
        <v>2359</v>
      </c>
      <c r="E865" s="67" t="s">
        <v>230</v>
      </c>
      <c r="F865" s="11" t="s">
        <v>515</v>
      </c>
      <c r="G865" s="11" t="s">
        <v>2360</v>
      </c>
      <c r="H865" s="11" t="s">
        <v>15</v>
      </c>
      <c r="I865" s="11" t="s">
        <v>2284</v>
      </c>
      <c r="J865" s="67" t="s">
        <v>2354</v>
      </c>
      <c r="K865">
        <f>550</f>
        <v>550</v>
      </c>
      <c r="L865">
        <v>180</v>
      </c>
      <c r="M865">
        <f t="shared" si="41"/>
        <v>380</v>
      </c>
      <c r="N865" t="str">
        <f t="shared" si="40"/>
        <v>Waiting For Deliver</v>
      </c>
    </row>
    <row r="866" spans="1:14">
      <c r="A866" s="11" t="s">
        <v>2364</v>
      </c>
      <c r="B866" s="11">
        <v>3002700105</v>
      </c>
      <c r="C866" s="67">
        <v>1940</v>
      </c>
      <c r="D866" s="11" t="s">
        <v>2365</v>
      </c>
      <c r="E866" s="67" t="s">
        <v>30</v>
      </c>
      <c r="F866" s="11" t="s">
        <v>515</v>
      </c>
      <c r="G866" s="11" t="s">
        <v>2366</v>
      </c>
      <c r="H866" s="11" t="s">
        <v>413</v>
      </c>
      <c r="I866" s="11" t="s">
        <v>2284</v>
      </c>
      <c r="J866" s="65" t="s">
        <v>2363</v>
      </c>
      <c r="K866">
        <f>1200</f>
        <v>1200</v>
      </c>
      <c r="L866">
        <v>350</v>
      </c>
      <c r="M866">
        <f t="shared" si="41"/>
        <v>390</v>
      </c>
      <c r="N866" t="str">
        <f t="shared" si="40"/>
        <v>Waiting For Deliver</v>
      </c>
    </row>
    <row r="867" spans="1:14">
      <c r="A867" s="11" t="s">
        <v>2372</v>
      </c>
      <c r="B867" s="11">
        <v>3363811234</v>
      </c>
      <c r="C867" s="67">
        <v>2160</v>
      </c>
      <c r="D867" s="11" t="s">
        <v>2373</v>
      </c>
      <c r="E867" s="67" t="s">
        <v>23</v>
      </c>
      <c r="F867" s="11" t="s">
        <v>45</v>
      </c>
      <c r="G867" s="11" t="s">
        <v>2374</v>
      </c>
      <c r="H867" s="11" t="s">
        <v>15</v>
      </c>
      <c r="I867" s="11" t="s">
        <v>2284</v>
      </c>
      <c r="J867" s="67" t="s">
        <v>2375</v>
      </c>
      <c r="K867">
        <f>(140*10)</f>
        <v>1400</v>
      </c>
      <c r="L867">
        <v>370</v>
      </c>
      <c r="M867">
        <f t="shared" si="41"/>
        <v>390</v>
      </c>
      <c r="N867" t="str">
        <f t="shared" si="40"/>
        <v>Waiting For Deliver</v>
      </c>
    </row>
    <row r="868" spans="1:14">
      <c r="A868" s="11" t="s">
        <v>2376</v>
      </c>
      <c r="B868" s="11">
        <v>3066882434</v>
      </c>
      <c r="C868" s="11">
        <v>1090</v>
      </c>
      <c r="D868" s="11" t="s">
        <v>2377</v>
      </c>
      <c r="E868" s="11" t="s">
        <v>120</v>
      </c>
      <c r="F868" s="11" t="s">
        <v>45</v>
      </c>
      <c r="G868" s="11" t="s">
        <v>1302</v>
      </c>
      <c r="H868" s="11" t="s">
        <v>15</v>
      </c>
      <c r="I868" s="11" t="s">
        <v>2284</v>
      </c>
      <c r="J868" s="67" t="s">
        <v>2375</v>
      </c>
      <c r="K868">
        <f>650</f>
        <v>650</v>
      </c>
      <c r="L868">
        <v>220</v>
      </c>
      <c r="M868">
        <f t="shared" si="41"/>
        <v>220</v>
      </c>
      <c r="N868" t="str">
        <f t="shared" si="40"/>
        <v>Waiting For Deliver</v>
      </c>
    </row>
    <row r="869" spans="1:14">
      <c r="A869" s="11" t="s">
        <v>2378</v>
      </c>
      <c r="B869" s="11">
        <v>3129415000</v>
      </c>
      <c r="C869" s="11">
        <v>1320</v>
      </c>
      <c r="D869" s="11" t="s">
        <v>2379</v>
      </c>
      <c r="E869" s="11" t="s">
        <v>199</v>
      </c>
      <c r="F869" s="11" t="s">
        <v>24</v>
      </c>
      <c r="G869" s="11" t="s">
        <v>2380</v>
      </c>
      <c r="H869" s="11" t="s">
        <v>15</v>
      </c>
      <c r="I869" s="11" t="s">
        <v>2284</v>
      </c>
      <c r="J869" s="67" t="s">
        <v>2375</v>
      </c>
      <c r="K869">
        <f>450+150</f>
        <v>600</v>
      </c>
      <c r="L869">
        <v>180</v>
      </c>
      <c r="M869">
        <f t="shared" si="41"/>
        <v>540</v>
      </c>
      <c r="N869" t="str">
        <f t="shared" si="40"/>
        <v>Waiting For Deliver</v>
      </c>
    </row>
    <row r="870" spans="1:14">
      <c r="A870" s="11" t="s">
        <v>2386</v>
      </c>
      <c r="B870" s="11">
        <v>3052762727</v>
      </c>
      <c r="C870" s="11">
        <v>1140</v>
      </c>
      <c r="D870" s="11" t="s">
        <v>2387</v>
      </c>
      <c r="E870" s="11" t="s">
        <v>57</v>
      </c>
      <c r="F870" s="11" t="s">
        <v>515</v>
      </c>
      <c r="G870" s="11" t="s">
        <v>2388</v>
      </c>
      <c r="H870" s="11" t="s">
        <v>15</v>
      </c>
      <c r="I870" s="11" t="s">
        <v>2284</v>
      </c>
      <c r="J870" s="11" t="s">
        <v>2381</v>
      </c>
      <c r="K870">
        <f>(180*3)-40</f>
        <v>500</v>
      </c>
      <c r="L870">
        <v>180</v>
      </c>
      <c r="M870">
        <f t="shared" si="41"/>
        <v>460</v>
      </c>
      <c r="N870" t="str">
        <f t="shared" si="40"/>
        <v>Waiting For Deliver</v>
      </c>
    </row>
    <row r="871" spans="1:14">
      <c r="A871" s="11" t="s">
        <v>2389</v>
      </c>
      <c r="B871" s="11">
        <v>3424724587</v>
      </c>
      <c r="C871" s="11">
        <v>1110</v>
      </c>
      <c r="D871" s="11" t="s">
        <v>2390</v>
      </c>
      <c r="E871" s="11" t="s">
        <v>2391</v>
      </c>
      <c r="F871" s="11" t="s">
        <v>515</v>
      </c>
      <c r="G871" s="11" t="s">
        <v>2360</v>
      </c>
      <c r="H871" s="11" t="s">
        <v>15</v>
      </c>
      <c r="I871" s="11" t="s">
        <v>2284</v>
      </c>
      <c r="J871" s="118">
        <v>42377</v>
      </c>
      <c r="K871">
        <f>600</f>
        <v>600</v>
      </c>
      <c r="L871">
        <v>220</v>
      </c>
      <c r="M871">
        <f t="shared" si="41"/>
        <v>290</v>
      </c>
      <c r="N871" t="str">
        <f t="shared" si="40"/>
        <v>Waiting For Deliver</v>
      </c>
    </row>
    <row r="872" spans="1:14">
      <c r="A872" s="11" t="s">
        <v>2392</v>
      </c>
      <c r="B872" s="11">
        <v>3431662542</v>
      </c>
      <c r="C872" s="11">
        <v>1090</v>
      </c>
      <c r="D872" s="11" t="s">
        <v>2393</v>
      </c>
      <c r="E872" s="11" t="s">
        <v>2290</v>
      </c>
      <c r="F872" s="11" t="s">
        <v>515</v>
      </c>
      <c r="G872" s="11" t="s">
        <v>2360</v>
      </c>
      <c r="H872" s="11" t="s">
        <v>15</v>
      </c>
      <c r="I872" s="11" t="s">
        <v>2284</v>
      </c>
      <c r="J872" s="118">
        <v>42377</v>
      </c>
      <c r="K872">
        <f>600</f>
        <v>600</v>
      </c>
      <c r="L872">
        <v>180</v>
      </c>
      <c r="M872">
        <f t="shared" si="41"/>
        <v>310</v>
      </c>
      <c r="N872" t="str">
        <f t="shared" ref="N872:N902" si="42">IF(I872="deliver",M872,"Waiting For Deliver")</f>
        <v>Waiting For Deliver</v>
      </c>
    </row>
    <row r="873" spans="1:14">
      <c r="A873" s="11" t="s">
        <v>2394</v>
      </c>
      <c r="B873" s="11">
        <v>3004247686</v>
      </c>
      <c r="C873" s="11">
        <v>2340</v>
      </c>
      <c r="D873" s="11" t="s">
        <v>2395</v>
      </c>
      <c r="E873" s="11" t="s">
        <v>865</v>
      </c>
      <c r="F873" s="11" t="s">
        <v>24</v>
      </c>
      <c r="G873" s="11" t="s">
        <v>2216</v>
      </c>
      <c r="H873" s="11" t="s">
        <v>413</v>
      </c>
      <c r="I873" s="11" t="s">
        <v>2284</v>
      </c>
      <c r="J873" s="118">
        <v>42377</v>
      </c>
      <c r="K873">
        <f>1470</f>
        <v>1470</v>
      </c>
      <c r="L873">
        <v>180</v>
      </c>
      <c r="M873">
        <f t="shared" si="41"/>
        <v>690</v>
      </c>
      <c r="N873" t="str">
        <f t="shared" si="42"/>
        <v>Waiting For Deliver</v>
      </c>
    </row>
    <row r="874" spans="1:14">
      <c r="A874" s="11" t="s">
        <v>2372</v>
      </c>
      <c r="B874" s="11">
        <v>3363811234</v>
      </c>
      <c r="C874" s="67">
        <v>2160</v>
      </c>
      <c r="D874" s="11" t="s">
        <v>2373</v>
      </c>
      <c r="E874" s="67" t="s">
        <v>23</v>
      </c>
      <c r="F874" s="11" t="s">
        <v>45</v>
      </c>
      <c r="G874" s="11" t="s">
        <v>2374</v>
      </c>
      <c r="H874" s="11" t="s">
        <v>15</v>
      </c>
      <c r="I874" s="11" t="s">
        <v>2284</v>
      </c>
      <c r="J874" s="118">
        <v>42377</v>
      </c>
      <c r="K874">
        <f>(125*10)+150</f>
        <v>1400</v>
      </c>
      <c r="L874">
        <v>370</v>
      </c>
      <c r="M874">
        <f t="shared" si="41"/>
        <v>390</v>
      </c>
      <c r="N874" t="str">
        <f t="shared" si="42"/>
        <v>Waiting For Deliver</v>
      </c>
    </row>
    <row r="875" spans="1:14">
      <c r="A875" s="11" t="s">
        <v>2401</v>
      </c>
      <c r="B875" s="11">
        <v>3086220442</v>
      </c>
      <c r="C875" s="11">
        <v>960</v>
      </c>
      <c r="D875" s="11" t="s">
        <v>2402</v>
      </c>
      <c r="E875" s="67" t="s">
        <v>19</v>
      </c>
      <c r="F875" s="11" t="s">
        <v>24</v>
      </c>
      <c r="G875" s="11" t="s">
        <v>303</v>
      </c>
      <c r="H875" s="11" t="s">
        <v>15</v>
      </c>
      <c r="I875" s="11" t="s">
        <v>2284</v>
      </c>
      <c r="J875" s="118">
        <v>42377</v>
      </c>
      <c r="K875">
        <f>435</f>
        <v>435</v>
      </c>
      <c r="L875">
        <v>180</v>
      </c>
      <c r="M875">
        <f t="shared" si="41"/>
        <v>345</v>
      </c>
      <c r="N875" t="str">
        <f t="shared" si="42"/>
        <v>Waiting For Deliver</v>
      </c>
    </row>
    <row r="876" spans="1:14">
      <c r="A876" s="11" t="s">
        <v>2403</v>
      </c>
      <c r="B876" s="11">
        <v>3119009800</v>
      </c>
      <c r="C876" s="11">
        <v>960</v>
      </c>
      <c r="D876" s="11" t="s">
        <v>2404</v>
      </c>
      <c r="E876" s="67" t="s">
        <v>35</v>
      </c>
      <c r="F876" s="11" t="s">
        <v>24</v>
      </c>
      <c r="G876" s="11" t="s">
        <v>303</v>
      </c>
      <c r="H876" s="11" t="s">
        <v>15</v>
      </c>
      <c r="I876" s="11" t="s">
        <v>2284</v>
      </c>
      <c r="J876" s="118">
        <v>42408</v>
      </c>
      <c r="K876">
        <f>435</f>
        <v>435</v>
      </c>
      <c r="L876">
        <v>180</v>
      </c>
      <c r="M876">
        <f t="shared" si="41"/>
        <v>345</v>
      </c>
      <c r="N876" t="str">
        <f t="shared" si="42"/>
        <v>Waiting For Deliver</v>
      </c>
    </row>
    <row r="877" spans="1:14">
      <c r="A877" s="11" t="s">
        <v>2406</v>
      </c>
      <c r="B877" s="11">
        <v>3132175488</v>
      </c>
      <c r="C877" s="11">
        <v>930</v>
      </c>
      <c r="D877" s="11" t="s">
        <v>2407</v>
      </c>
      <c r="E877" s="67" t="s">
        <v>50</v>
      </c>
      <c r="F877" s="11" t="s">
        <v>24</v>
      </c>
      <c r="G877" s="11" t="s">
        <v>303</v>
      </c>
      <c r="H877" s="11" t="s">
        <v>15</v>
      </c>
      <c r="I877" s="11" t="s">
        <v>2284</v>
      </c>
      <c r="J877" s="118">
        <v>42408</v>
      </c>
      <c r="K877">
        <f>435</f>
        <v>435</v>
      </c>
      <c r="L877">
        <v>135</v>
      </c>
      <c r="M877">
        <f t="shared" si="41"/>
        <v>360</v>
      </c>
      <c r="N877" t="str">
        <f t="shared" si="42"/>
        <v>Waiting For Deliver</v>
      </c>
    </row>
    <row r="878" spans="1:14">
      <c r="A878" s="11" t="s">
        <v>2409</v>
      </c>
      <c r="B878" s="11">
        <v>3003391724</v>
      </c>
      <c r="C878" s="11">
        <v>930</v>
      </c>
      <c r="D878" s="11" t="s">
        <v>2410</v>
      </c>
      <c r="E878" s="67" t="s">
        <v>50</v>
      </c>
      <c r="F878" s="11" t="s">
        <v>24</v>
      </c>
      <c r="G878" s="11" t="s">
        <v>303</v>
      </c>
      <c r="H878" s="11" t="s">
        <v>15</v>
      </c>
      <c r="I878" s="11" t="s">
        <v>2284</v>
      </c>
      <c r="J878" s="118">
        <v>42437</v>
      </c>
      <c r="K878">
        <v>420</v>
      </c>
      <c r="L878" t="str">
        <f t="shared" ref="L878:L937" si="43">IF(E878="karachi","150","250")</f>
        <v>150</v>
      </c>
      <c r="M878">
        <f t="shared" si="41"/>
        <v>360</v>
      </c>
      <c r="N878" t="str">
        <f t="shared" si="42"/>
        <v>Waiting For Deliver</v>
      </c>
    </row>
    <row r="879" spans="1:14">
      <c r="A879" s="11" t="s">
        <v>2412</v>
      </c>
      <c r="B879" s="11">
        <v>3334878742</v>
      </c>
      <c r="C879" s="11">
        <v>960</v>
      </c>
      <c r="D879" s="11" t="s">
        <v>2415</v>
      </c>
      <c r="E879" s="67" t="s">
        <v>865</v>
      </c>
      <c r="F879" s="11" t="s">
        <v>24</v>
      </c>
      <c r="G879" s="11" t="s">
        <v>303</v>
      </c>
      <c r="H879" s="11" t="s">
        <v>15</v>
      </c>
      <c r="I879" s="11" t="s">
        <v>2284</v>
      </c>
      <c r="J879" s="118">
        <v>42437</v>
      </c>
      <c r="K879">
        <v>430</v>
      </c>
      <c r="L879">
        <v>180</v>
      </c>
      <c r="M879">
        <f t="shared" si="41"/>
        <v>350</v>
      </c>
      <c r="N879" t="str">
        <f t="shared" si="42"/>
        <v>Waiting For Deliver</v>
      </c>
    </row>
    <row r="880" spans="1:14">
      <c r="A880" s="11" t="s">
        <v>2413</v>
      </c>
      <c r="B880" s="11">
        <v>3344365426</v>
      </c>
      <c r="C880" s="11">
        <v>980</v>
      </c>
      <c r="D880" s="11" t="s">
        <v>2414</v>
      </c>
      <c r="E880" s="67" t="s">
        <v>1798</v>
      </c>
      <c r="F880" s="11" t="s">
        <v>24</v>
      </c>
      <c r="G880" s="11" t="s">
        <v>303</v>
      </c>
      <c r="H880" s="11" t="s">
        <v>15</v>
      </c>
      <c r="I880" s="11" t="s">
        <v>2284</v>
      </c>
      <c r="J880" s="118">
        <v>42437</v>
      </c>
      <c r="K880">
        <v>430</v>
      </c>
      <c r="L880">
        <v>180</v>
      </c>
      <c r="M880">
        <f t="shared" si="41"/>
        <v>370</v>
      </c>
      <c r="N880" t="str">
        <f t="shared" si="42"/>
        <v>Waiting For Deliver</v>
      </c>
    </row>
    <row r="881" spans="1:14">
      <c r="A881" s="11" t="s">
        <v>2422</v>
      </c>
      <c r="B881" s="11">
        <v>3369090932</v>
      </c>
      <c r="C881" s="11">
        <v>650</v>
      </c>
      <c r="D881" s="11" t="s">
        <v>2423</v>
      </c>
      <c r="E881" s="67" t="s">
        <v>50</v>
      </c>
      <c r="F881" s="11" t="s">
        <v>24</v>
      </c>
      <c r="G881" s="11" t="s">
        <v>1959</v>
      </c>
      <c r="H881" s="11" t="s">
        <v>15</v>
      </c>
      <c r="I881" s="11" t="s">
        <v>2284</v>
      </c>
      <c r="J881" s="118">
        <v>42437</v>
      </c>
      <c r="K881">
        <v>220</v>
      </c>
      <c r="L881" t="str">
        <f t="shared" si="43"/>
        <v>150</v>
      </c>
      <c r="M881">
        <f t="shared" si="41"/>
        <v>280</v>
      </c>
      <c r="N881" t="str">
        <f t="shared" si="42"/>
        <v>Waiting For Deliver</v>
      </c>
    </row>
    <row r="882" spans="1:14">
      <c r="A882" s="100" t="s">
        <v>2427</v>
      </c>
      <c r="B882" s="67">
        <v>3219397904</v>
      </c>
      <c r="C882" s="67">
        <v>1240</v>
      </c>
      <c r="D882" s="67" t="s">
        <v>2428</v>
      </c>
      <c r="E882" s="67" t="s">
        <v>865</v>
      </c>
      <c r="F882" s="67" t="s">
        <v>45</v>
      </c>
      <c r="G882" s="67" t="s">
        <v>2429</v>
      </c>
      <c r="H882" s="67" t="s">
        <v>15</v>
      </c>
      <c r="I882" s="67" t="s">
        <v>2284</v>
      </c>
      <c r="J882" s="118">
        <v>42437</v>
      </c>
      <c r="K882">
        <f>(130*4)+60</f>
        <v>580</v>
      </c>
      <c r="L882">
        <v>215</v>
      </c>
      <c r="M882">
        <f t="shared" si="41"/>
        <v>445</v>
      </c>
      <c r="N882" t="str">
        <f t="shared" si="42"/>
        <v>Waiting For Deliver</v>
      </c>
    </row>
    <row r="883" spans="1:14">
      <c r="A883" s="11" t="s">
        <v>2430</v>
      </c>
      <c r="B883" s="11">
        <v>3111056690</v>
      </c>
      <c r="C883" s="11">
        <v>1030</v>
      </c>
      <c r="D883" s="11" t="s">
        <v>2431</v>
      </c>
      <c r="E883" s="67" t="s">
        <v>50</v>
      </c>
      <c r="F883" s="67" t="s">
        <v>45</v>
      </c>
      <c r="G883" s="67" t="s">
        <v>2260</v>
      </c>
      <c r="H883" s="67" t="s">
        <v>15</v>
      </c>
      <c r="I883" s="67" t="s">
        <v>2284</v>
      </c>
      <c r="J883" s="118">
        <v>42437</v>
      </c>
      <c r="K883">
        <f>(125*3)+40+70</f>
        <v>485</v>
      </c>
      <c r="L883" t="str">
        <f t="shared" si="43"/>
        <v>150</v>
      </c>
      <c r="M883">
        <f t="shared" si="41"/>
        <v>395</v>
      </c>
      <c r="N883" t="str">
        <f t="shared" si="42"/>
        <v>Waiting For Deliver</v>
      </c>
    </row>
    <row r="884" spans="1:14">
      <c r="A884" s="11" t="s">
        <v>2489</v>
      </c>
      <c r="B884" s="11">
        <v>3026902512</v>
      </c>
      <c r="C884" s="11">
        <v>1080</v>
      </c>
      <c r="D884" s="11" t="s">
        <v>2490</v>
      </c>
      <c r="E884" s="11" t="s">
        <v>1197</v>
      </c>
      <c r="F884" s="67" t="s">
        <v>45</v>
      </c>
      <c r="G884" s="67" t="s">
        <v>2260</v>
      </c>
      <c r="H884" s="67" t="s">
        <v>15</v>
      </c>
      <c r="I884" s="67" t="s">
        <v>2284</v>
      </c>
      <c r="J884" s="118">
        <v>42590</v>
      </c>
      <c r="K884">
        <f>(125*3)+40+70</f>
        <v>485</v>
      </c>
      <c r="L884">
        <v>180</v>
      </c>
      <c r="M884">
        <f t="shared" si="41"/>
        <v>415</v>
      </c>
      <c r="N884" t="str">
        <f t="shared" si="42"/>
        <v>Waiting For Deliver</v>
      </c>
    </row>
    <row r="885" spans="1:14">
      <c r="A885" s="11" t="s">
        <v>2356</v>
      </c>
      <c r="B885" s="11">
        <v>3455554432</v>
      </c>
      <c r="C885" s="67">
        <f>960+1200</f>
        <v>2160</v>
      </c>
      <c r="D885" s="11" t="s">
        <v>2357</v>
      </c>
      <c r="E885" s="67" t="s">
        <v>1768</v>
      </c>
      <c r="F885" s="67" t="s">
        <v>24</v>
      </c>
      <c r="G885" s="67" t="s">
        <v>2216</v>
      </c>
      <c r="H885" s="67" t="s">
        <v>15</v>
      </c>
      <c r="I885" s="67" t="s">
        <v>2284</v>
      </c>
      <c r="J885" s="118">
        <v>42468</v>
      </c>
      <c r="K885">
        <f>1470</f>
        <v>1470</v>
      </c>
      <c r="L885">
        <v>320</v>
      </c>
      <c r="M885">
        <f t="shared" si="41"/>
        <v>370</v>
      </c>
      <c r="N885" t="str">
        <f t="shared" si="42"/>
        <v>Waiting For Deliver</v>
      </c>
    </row>
    <row r="886" spans="1:14">
      <c r="A886" s="11" t="s">
        <v>2439</v>
      </c>
      <c r="B886" s="11">
        <v>3219211007</v>
      </c>
      <c r="C886" s="11">
        <v>1080</v>
      </c>
      <c r="D886" s="11" t="s">
        <v>2440</v>
      </c>
      <c r="E886" s="11" t="s">
        <v>865</v>
      </c>
      <c r="F886" s="11" t="s">
        <v>45</v>
      </c>
      <c r="G886" s="11" t="s">
        <v>2260</v>
      </c>
      <c r="H886" s="11" t="s">
        <v>15</v>
      </c>
      <c r="I886" s="11" t="s">
        <v>2284</v>
      </c>
      <c r="J886" s="118">
        <v>42498</v>
      </c>
      <c r="K886">
        <f>(125*3)+40+70</f>
        <v>485</v>
      </c>
      <c r="L886">
        <v>180</v>
      </c>
      <c r="M886">
        <f t="shared" si="41"/>
        <v>415</v>
      </c>
      <c r="N886" t="str">
        <f t="shared" si="42"/>
        <v>Waiting For Deliver</v>
      </c>
    </row>
    <row r="887" spans="1:14">
      <c r="A887" s="11" t="s">
        <v>2430</v>
      </c>
      <c r="B887" s="11">
        <v>3111056690</v>
      </c>
      <c r="C887" s="11">
        <v>1030</v>
      </c>
      <c r="D887" s="11" t="s">
        <v>2431</v>
      </c>
      <c r="E887" s="11" t="s">
        <v>50</v>
      </c>
      <c r="F887" s="11" t="s">
        <v>45</v>
      </c>
      <c r="G887" s="11" t="s">
        <v>2260</v>
      </c>
      <c r="H887" s="11" t="s">
        <v>15</v>
      </c>
      <c r="I887" s="11" t="s">
        <v>2284</v>
      </c>
      <c r="J887" s="39">
        <v>42498</v>
      </c>
      <c r="K887">
        <f>(125*3)+40+70</f>
        <v>485</v>
      </c>
      <c r="L887">
        <v>150</v>
      </c>
      <c r="M887">
        <f t="shared" si="41"/>
        <v>395</v>
      </c>
      <c r="N887" t="str">
        <f t="shared" si="42"/>
        <v>Waiting For Deliver</v>
      </c>
    </row>
    <row r="888" spans="1:14">
      <c r="A888" s="11" t="s">
        <v>2447</v>
      </c>
      <c r="B888" s="11">
        <v>3346373143</v>
      </c>
      <c r="C888" s="11">
        <v>1100</v>
      </c>
      <c r="D888" s="11" t="s">
        <v>2449</v>
      </c>
      <c r="E888" s="11" t="s">
        <v>2448</v>
      </c>
      <c r="F888" s="11" t="s">
        <v>45</v>
      </c>
      <c r="G888" s="11" t="s">
        <v>2260</v>
      </c>
      <c r="H888" s="11" t="s">
        <v>15</v>
      </c>
      <c r="I888" s="11" t="s">
        <v>2284</v>
      </c>
      <c r="J888" s="118">
        <v>42498</v>
      </c>
      <c r="K888">
        <f>(125*3)+40+70</f>
        <v>485</v>
      </c>
      <c r="L888">
        <v>220</v>
      </c>
      <c r="M888">
        <f t="shared" si="41"/>
        <v>395</v>
      </c>
      <c r="N888" t="str">
        <f t="shared" si="42"/>
        <v>Waiting For Deliver</v>
      </c>
    </row>
    <row r="889" spans="1:14">
      <c r="A889" s="11" t="s">
        <v>2450</v>
      </c>
      <c r="B889" s="11">
        <v>3335956959</v>
      </c>
      <c r="C889" s="11">
        <v>1070</v>
      </c>
      <c r="D889" s="11" t="s">
        <v>2451</v>
      </c>
      <c r="E889" s="11" t="s">
        <v>453</v>
      </c>
      <c r="F889" s="11" t="s">
        <v>24</v>
      </c>
      <c r="G889" s="11" t="s">
        <v>2452</v>
      </c>
      <c r="H889" s="11" t="s">
        <v>15</v>
      </c>
      <c r="I889" s="11" t="s">
        <v>2284</v>
      </c>
      <c r="J889" s="118">
        <v>42498</v>
      </c>
      <c r="K889">
        <f>620</f>
        <v>620</v>
      </c>
      <c r="L889">
        <v>180</v>
      </c>
      <c r="M889">
        <f t="shared" si="41"/>
        <v>270</v>
      </c>
      <c r="N889" t="str">
        <f t="shared" si="42"/>
        <v>Waiting For Deliver</v>
      </c>
    </row>
    <row r="890" spans="1:14">
      <c r="A890" s="11" t="s">
        <v>2453</v>
      </c>
      <c r="B890" s="11">
        <v>3444477565</v>
      </c>
      <c r="C890" s="11">
        <v>1000</v>
      </c>
      <c r="D890" s="11" t="s">
        <v>2454</v>
      </c>
      <c r="E890" s="11" t="s">
        <v>30</v>
      </c>
      <c r="F890" s="11" t="s">
        <v>2273</v>
      </c>
      <c r="G890" s="11" t="s">
        <v>2455</v>
      </c>
      <c r="H890" s="11" t="s">
        <v>413</v>
      </c>
      <c r="I890" s="11" t="s">
        <v>2284</v>
      </c>
      <c r="J890" s="118">
        <v>42498</v>
      </c>
      <c r="K890">
        <f>400</f>
        <v>400</v>
      </c>
      <c r="L890">
        <v>180</v>
      </c>
      <c r="M890">
        <f t="shared" si="41"/>
        <v>420</v>
      </c>
      <c r="N890" t="str">
        <f t="shared" si="42"/>
        <v>Waiting For Deliver</v>
      </c>
    </row>
    <row r="891" spans="1:14">
      <c r="A891" s="11" t="s">
        <v>2456</v>
      </c>
      <c r="B891" s="11"/>
      <c r="C891" s="11">
        <v>350</v>
      </c>
      <c r="D891" s="11" t="s">
        <v>2457</v>
      </c>
      <c r="E891" s="11" t="s">
        <v>50</v>
      </c>
      <c r="F891" s="11" t="s">
        <v>515</v>
      </c>
      <c r="G891" s="11" t="s">
        <v>2458</v>
      </c>
      <c r="H891" s="11" t="s">
        <v>413</v>
      </c>
      <c r="I891" s="11" t="s">
        <v>2284</v>
      </c>
      <c r="J891" s="118">
        <v>42498</v>
      </c>
      <c r="K891">
        <f>275</f>
        <v>275</v>
      </c>
      <c r="L891">
        <v>0</v>
      </c>
      <c r="M891">
        <f t="shared" si="41"/>
        <v>75</v>
      </c>
      <c r="N891" t="str">
        <f t="shared" si="42"/>
        <v>Waiting For Deliver</v>
      </c>
    </row>
    <row r="892" spans="1:14">
      <c r="A892" s="100" t="s">
        <v>2462</v>
      </c>
      <c r="B892" s="67">
        <v>3007305309</v>
      </c>
      <c r="C892" s="67">
        <v>960</v>
      </c>
      <c r="D892" s="67" t="s">
        <v>2463</v>
      </c>
      <c r="E892" s="67" t="s">
        <v>1497</v>
      </c>
      <c r="F892" s="67" t="s">
        <v>24</v>
      </c>
      <c r="G892" s="67" t="s">
        <v>303</v>
      </c>
      <c r="H892" s="67" t="s">
        <v>15</v>
      </c>
      <c r="I892" s="67" t="s">
        <v>2284</v>
      </c>
      <c r="J892" s="118">
        <v>42498</v>
      </c>
      <c r="K892">
        <f>430</f>
        <v>430</v>
      </c>
      <c r="L892">
        <v>180</v>
      </c>
      <c r="M892">
        <f t="shared" si="41"/>
        <v>350</v>
      </c>
      <c r="N892" t="str">
        <f t="shared" si="42"/>
        <v>Waiting For Deliver</v>
      </c>
    </row>
    <row r="893" spans="1:14">
      <c r="A893" s="100" t="s">
        <v>2464</v>
      </c>
      <c r="B893" s="59">
        <v>3405233875</v>
      </c>
      <c r="C893" s="67">
        <v>960</v>
      </c>
      <c r="D893" s="67" t="s">
        <v>2465</v>
      </c>
      <c r="E893" s="67" t="s">
        <v>12</v>
      </c>
      <c r="F893" s="67" t="s">
        <v>24</v>
      </c>
      <c r="G893" s="67" t="s">
        <v>303</v>
      </c>
      <c r="H893" s="67" t="s">
        <v>15</v>
      </c>
      <c r="I893" s="67" t="s">
        <v>2284</v>
      </c>
      <c r="J893" s="118">
        <v>42498</v>
      </c>
      <c r="K893">
        <f>430</f>
        <v>430</v>
      </c>
      <c r="L893">
        <v>180</v>
      </c>
      <c r="M893">
        <f t="shared" si="41"/>
        <v>350</v>
      </c>
      <c r="N893" t="str">
        <f t="shared" si="42"/>
        <v>Waiting For Deliver</v>
      </c>
    </row>
    <row r="894" spans="1:14">
      <c r="A894" s="67" t="s">
        <v>2466</v>
      </c>
      <c r="B894" s="67">
        <v>3453428302</v>
      </c>
      <c r="C894" s="67">
        <v>960</v>
      </c>
      <c r="D894" s="67" t="s">
        <v>2467</v>
      </c>
      <c r="E894" s="67" t="s">
        <v>12</v>
      </c>
      <c r="F894" s="67" t="s">
        <v>24</v>
      </c>
      <c r="G894" s="67" t="s">
        <v>303</v>
      </c>
      <c r="H894" s="67" t="s">
        <v>15</v>
      </c>
      <c r="I894" s="67" t="s">
        <v>2284</v>
      </c>
      <c r="J894" s="118">
        <v>42498</v>
      </c>
      <c r="K894">
        <f>430</f>
        <v>430</v>
      </c>
      <c r="L894">
        <v>180</v>
      </c>
      <c r="M894">
        <f t="shared" si="41"/>
        <v>350</v>
      </c>
      <c r="N894" t="str">
        <f t="shared" si="42"/>
        <v>Waiting For Deliver</v>
      </c>
    </row>
    <row r="895" spans="1:14">
      <c r="A895" s="11" t="s">
        <v>2468</v>
      </c>
      <c r="B895" s="11">
        <v>3077747740</v>
      </c>
      <c r="C895" s="67">
        <v>980</v>
      </c>
      <c r="D895" s="11" t="s">
        <v>2469</v>
      </c>
      <c r="E895" s="67" t="s">
        <v>2470</v>
      </c>
      <c r="F895" s="67" t="s">
        <v>24</v>
      </c>
      <c r="G895" s="67" t="s">
        <v>303</v>
      </c>
      <c r="H895" s="67" t="s">
        <v>15</v>
      </c>
      <c r="I895" s="67" t="s">
        <v>2284</v>
      </c>
      <c r="J895" s="118">
        <v>42498</v>
      </c>
      <c r="K895">
        <f>430</f>
        <v>430</v>
      </c>
      <c r="L895">
        <v>180</v>
      </c>
      <c r="M895">
        <f t="shared" si="41"/>
        <v>370</v>
      </c>
      <c r="N895" t="str">
        <f t="shared" si="42"/>
        <v>Waiting For Deliver</v>
      </c>
    </row>
    <row r="896" spans="1:14">
      <c r="A896" s="100" t="s">
        <v>2471</v>
      </c>
      <c r="B896" s="11">
        <v>3212547992</v>
      </c>
      <c r="C896" s="67">
        <v>930</v>
      </c>
      <c r="D896" s="11" t="s">
        <v>2472</v>
      </c>
      <c r="E896" s="67" t="s">
        <v>50</v>
      </c>
      <c r="F896" s="67" t="s">
        <v>24</v>
      </c>
      <c r="G896" s="67" t="s">
        <v>303</v>
      </c>
      <c r="H896" s="67" t="s">
        <v>15</v>
      </c>
      <c r="I896" s="67" t="s">
        <v>2284</v>
      </c>
      <c r="J896" s="118">
        <v>42498</v>
      </c>
      <c r="K896">
        <f>430</f>
        <v>430</v>
      </c>
      <c r="L896" t="str">
        <f t="shared" si="43"/>
        <v>150</v>
      </c>
      <c r="M896">
        <f t="shared" si="41"/>
        <v>350</v>
      </c>
      <c r="N896" t="str">
        <f t="shared" si="42"/>
        <v>Waiting For Deliver</v>
      </c>
    </row>
    <row r="897" spans="1:14">
      <c r="A897" s="11" t="s">
        <v>2473</v>
      </c>
      <c r="B897" s="11">
        <v>3368830234</v>
      </c>
      <c r="C897" s="67">
        <v>960</v>
      </c>
      <c r="D897" s="11" t="s">
        <v>2474</v>
      </c>
      <c r="E897" s="67" t="s">
        <v>1497</v>
      </c>
      <c r="F897" s="67" t="s">
        <v>24</v>
      </c>
      <c r="G897" s="67" t="s">
        <v>303</v>
      </c>
      <c r="H897" s="67" t="s">
        <v>15</v>
      </c>
      <c r="I897" s="67" t="s">
        <v>2284</v>
      </c>
      <c r="J897" s="118">
        <v>42498</v>
      </c>
      <c r="K897">
        <f>430</f>
        <v>430</v>
      </c>
      <c r="L897">
        <v>180</v>
      </c>
      <c r="M897">
        <f t="shared" si="41"/>
        <v>350</v>
      </c>
      <c r="N897" t="str">
        <f t="shared" si="42"/>
        <v>Waiting For Deliver</v>
      </c>
    </row>
    <row r="898" spans="1:14">
      <c r="A898" s="11" t="s">
        <v>2475</v>
      </c>
      <c r="B898" s="11">
        <v>3334683689</v>
      </c>
      <c r="C898" s="11">
        <v>960</v>
      </c>
      <c r="D898" s="11" t="s">
        <v>2476</v>
      </c>
      <c r="E898" s="11" t="s">
        <v>865</v>
      </c>
      <c r="F898" s="67" t="s">
        <v>24</v>
      </c>
      <c r="G898" s="67" t="s">
        <v>303</v>
      </c>
      <c r="H898" s="67" t="s">
        <v>15</v>
      </c>
      <c r="I898" s="67" t="s">
        <v>2284</v>
      </c>
      <c r="J898" s="118">
        <v>42498</v>
      </c>
      <c r="K898">
        <f>430</f>
        <v>430</v>
      </c>
      <c r="L898">
        <v>180</v>
      </c>
      <c r="M898">
        <f t="shared" si="41"/>
        <v>350</v>
      </c>
      <c r="N898" t="str">
        <f t="shared" si="42"/>
        <v>Waiting For Deliver</v>
      </c>
    </row>
    <row r="899" spans="1:14">
      <c r="A899" s="11" t="s">
        <v>2477</v>
      </c>
      <c r="B899" s="11">
        <v>3334517575</v>
      </c>
      <c r="C899" s="11">
        <v>1090</v>
      </c>
      <c r="D899" s="11" t="s">
        <v>2478</v>
      </c>
      <c r="E899" s="11" t="s">
        <v>865</v>
      </c>
      <c r="F899" s="67" t="s">
        <v>515</v>
      </c>
      <c r="G899" s="67" t="s">
        <v>2360</v>
      </c>
      <c r="H899" s="67" t="s">
        <v>15</v>
      </c>
      <c r="I899" s="67" t="s">
        <v>2284</v>
      </c>
      <c r="J899" s="118">
        <v>42590</v>
      </c>
      <c r="K899">
        <f>600</f>
        <v>600</v>
      </c>
      <c r="L899">
        <v>220</v>
      </c>
      <c r="M899">
        <f t="shared" si="41"/>
        <v>270</v>
      </c>
      <c r="N899" t="str">
        <f t="shared" si="42"/>
        <v>Waiting For Deliver</v>
      </c>
    </row>
    <row r="900" spans="1:14">
      <c r="A900" s="11" t="s">
        <v>2479</v>
      </c>
      <c r="B900" s="11">
        <v>3147593646</v>
      </c>
      <c r="C900" s="11">
        <v>2700</v>
      </c>
      <c r="D900" s="11" t="s">
        <v>2480</v>
      </c>
      <c r="E900" s="11" t="s">
        <v>865</v>
      </c>
      <c r="F900" s="11" t="s">
        <v>24</v>
      </c>
      <c r="G900" s="11" t="s">
        <v>2481</v>
      </c>
      <c r="H900" s="11" t="s">
        <v>413</v>
      </c>
      <c r="I900" s="67" t="s">
        <v>2284</v>
      </c>
      <c r="J900" s="118">
        <v>42590</v>
      </c>
      <c r="K900">
        <f>(430*3)+(180*2)</f>
        <v>1650</v>
      </c>
      <c r="L900">
        <v>220</v>
      </c>
      <c r="M900">
        <f t="shared" si="41"/>
        <v>830</v>
      </c>
      <c r="N900" t="str">
        <f t="shared" si="42"/>
        <v>Waiting For Deliver</v>
      </c>
    </row>
    <row r="901" spans="1:14">
      <c r="A901" s="11" t="s">
        <v>2482</v>
      </c>
      <c r="B901" s="11">
        <v>3317136262</v>
      </c>
      <c r="C901" s="11">
        <v>750</v>
      </c>
      <c r="D901" s="11" t="s">
        <v>2483</v>
      </c>
      <c r="E901" s="11" t="s">
        <v>2484</v>
      </c>
      <c r="F901" s="11" t="s">
        <v>515</v>
      </c>
      <c r="G901" s="67" t="s">
        <v>2360</v>
      </c>
      <c r="H901" s="67" t="s">
        <v>41</v>
      </c>
      <c r="I901" s="67" t="s">
        <v>2284</v>
      </c>
      <c r="J901" s="118">
        <v>42590</v>
      </c>
      <c r="K901">
        <f>(180*2)</f>
        <v>360</v>
      </c>
      <c r="L901">
        <v>220</v>
      </c>
      <c r="M901">
        <f t="shared" si="41"/>
        <v>170</v>
      </c>
      <c r="N901" t="str">
        <f t="shared" si="42"/>
        <v>Waiting For Deliver</v>
      </c>
    </row>
    <row r="902" spans="1:14">
      <c r="A902" s="11" t="s">
        <v>2486</v>
      </c>
      <c r="B902" s="11">
        <v>3442429195</v>
      </c>
      <c r="C902" s="11">
        <v>1200</v>
      </c>
      <c r="D902" s="11" t="s">
        <v>2485</v>
      </c>
      <c r="E902" s="11" t="s">
        <v>2487</v>
      </c>
      <c r="F902" s="11" t="s">
        <v>24</v>
      </c>
      <c r="G902" s="11" t="s">
        <v>2488</v>
      </c>
      <c r="H902" s="11" t="s">
        <v>413</v>
      </c>
      <c r="I902" s="11" t="s">
        <v>16</v>
      </c>
      <c r="J902" s="118">
        <v>42590</v>
      </c>
      <c r="K902">
        <f>430</f>
        <v>430</v>
      </c>
      <c r="L902" t="str">
        <f t="shared" si="43"/>
        <v>250</v>
      </c>
      <c r="M902">
        <f t="shared" si="41"/>
        <v>520</v>
      </c>
      <c r="N902">
        <f t="shared" si="42"/>
        <v>520</v>
      </c>
    </row>
    <row r="903" spans="1:14">
      <c r="A903" s="11" t="s">
        <v>2491</v>
      </c>
      <c r="B903" s="11">
        <v>3045214752</v>
      </c>
      <c r="C903" s="11">
        <v>1100</v>
      </c>
      <c r="D903" s="11" t="s">
        <v>2492</v>
      </c>
      <c r="E903" s="11" t="s">
        <v>1032</v>
      </c>
      <c r="F903" s="11" t="s">
        <v>45</v>
      </c>
      <c r="G903" s="11" t="s">
        <v>2260</v>
      </c>
      <c r="H903" s="11" t="s">
        <v>15</v>
      </c>
      <c r="I903" s="11" t="s">
        <v>2284</v>
      </c>
      <c r="J903" s="118">
        <v>42590</v>
      </c>
      <c r="K903">
        <f>(125*3)+40+40+30</f>
        <v>485</v>
      </c>
      <c r="L903">
        <v>220</v>
      </c>
      <c r="M903">
        <f t="shared" si="41"/>
        <v>395</v>
      </c>
    </row>
    <row r="904" spans="1:14">
      <c r="A904" s="11" t="s">
        <v>2509</v>
      </c>
      <c r="B904" s="11">
        <v>3112029985</v>
      </c>
      <c r="C904" s="11">
        <v>700</v>
      </c>
      <c r="D904" s="11" t="s">
        <v>2510</v>
      </c>
      <c r="E904" s="11" t="s">
        <v>50</v>
      </c>
      <c r="F904" s="11" t="s">
        <v>45</v>
      </c>
      <c r="G904" s="11" t="s">
        <v>2511</v>
      </c>
      <c r="H904" s="11" t="s">
        <v>150</v>
      </c>
      <c r="I904" s="11" t="s">
        <v>2284</v>
      </c>
      <c r="J904" s="118">
        <v>42590</v>
      </c>
      <c r="K904">
        <f>190</f>
        <v>190</v>
      </c>
      <c r="L904">
        <v>140</v>
      </c>
      <c r="M904">
        <f t="shared" si="41"/>
        <v>370</v>
      </c>
    </row>
    <row r="905" spans="1:14">
      <c r="A905" s="11" t="s">
        <v>2512</v>
      </c>
      <c r="B905" s="11">
        <v>3005235174</v>
      </c>
      <c r="C905" s="11">
        <v>1230</v>
      </c>
      <c r="D905" s="11" t="s">
        <v>2513</v>
      </c>
      <c r="E905" s="11" t="s">
        <v>2514</v>
      </c>
      <c r="F905" s="11" t="s">
        <v>2273</v>
      </c>
      <c r="G905" s="11" t="s">
        <v>2455</v>
      </c>
      <c r="H905" s="11" t="s">
        <v>15</v>
      </c>
      <c r="I905" s="11" t="s">
        <v>2284</v>
      </c>
      <c r="J905" s="118">
        <v>42621</v>
      </c>
      <c r="K905">
        <f>400</f>
        <v>400</v>
      </c>
      <c r="L905" t="str">
        <f t="shared" si="43"/>
        <v>250</v>
      </c>
      <c r="M905">
        <f t="shared" ref="M905:M968" si="44">C905-K905-L905</f>
        <v>580</v>
      </c>
    </row>
    <row r="906" spans="1:14">
      <c r="A906" s="64" t="s">
        <v>2515</v>
      </c>
      <c r="B906" s="11">
        <v>3232762137</v>
      </c>
      <c r="C906" s="11">
        <v>1090</v>
      </c>
      <c r="D906" s="11" t="s">
        <v>2516</v>
      </c>
      <c r="E906" s="11" t="s">
        <v>50</v>
      </c>
      <c r="F906" s="11" t="s">
        <v>45</v>
      </c>
      <c r="G906" s="11" t="s">
        <v>1875</v>
      </c>
      <c r="H906" s="11" t="s">
        <v>15</v>
      </c>
      <c r="I906" s="11" t="s">
        <v>2284</v>
      </c>
      <c r="J906" s="118">
        <v>42621</v>
      </c>
      <c r="K906">
        <f>(155*4)</f>
        <v>620</v>
      </c>
      <c r="L906" t="str">
        <f t="shared" si="43"/>
        <v>150</v>
      </c>
      <c r="M906">
        <f t="shared" si="44"/>
        <v>320</v>
      </c>
    </row>
    <row r="907" spans="1:14">
      <c r="A907" s="11" t="s">
        <v>2430</v>
      </c>
      <c r="B907" s="11">
        <v>3111056690</v>
      </c>
      <c r="C907" s="11">
        <f>1710</f>
        <v>1710</v>
      </c>
      <c r="D907" s="11" t="s">
        <v>2431</v>
      </c>
      <c r="E907" s="67" t="s">
        <v>50</v>
      </c>
      <c r="F907" s="67" t="s">
        <v>45</v>
      </c>
      <c r="G907" s="67" t="s">
        <v>2524</v>
      </c>
      <c r="H907" s="67" t="s">
        <v>41</v>
      </c>
      <c r="I907" s="11" t="s">
        <v>2284</v>
      </c>
      <c r="J907" s="118">
        <v>42682</v>
      </c>
      <c r="K907">
        <f>(125*5)+200</f>
        <v>825</v>
      </c>
      <c r="L907" t="str">
        <f t="shared" si="43"/>
        <v>150</v>
      </c>
      <c r="M907">
        <f t="shared" si="44"/>
        <v>735</v>
      </c>
    </row>
    <row r="908" spans="1:14">
      <c r="A908" s="11" t="s">
        <v>2525</v>
      </c>
      <c r="B908" s="59">
        <v>3123089356</v>
      </c>
      <c r="C908" s="11">
        <v>540</v>
      </c>
      <c r="D908" s="11" t="s">
        <v>2526</v>
      </c>
      <c r="E908" s="11" t="s">
        <v>125</v>
      </c>
      <c r="F908" s="11" t="s">
        <v>45</v>
      </c>
      <c r="G908" s="11" t="s">
        <v>1314</v>
      </c>
      <c r="H908" s="11" t="s">
        <v>15</v>
      </c>
      <c r="I908" s="11" t="s">
        <v>2284</v>
      </c>
      <c r="J908" s="118">
        <v>42682</v>
      </c>
      <c r="K908">
        <f>100+125</f>
        <v>225</v>
      </c>
      <c r="L908">
        <v>180</v>
      </c>
      <c r="M908">
        <f t="shared" si="44"/>
        <v>135</v>
      </c>
    </row>
    <row r="909" spans="1:14">
      <c r="A909" s="11" t="s">
        <v>2529</v>
      </c>
      <c r="B909" s="59">
        <v>3100663369</v>
      </c>
      <c r="C909" s="11">
        <v>1190</v>
      </c>
      <c r="D909" s="11" t="s">
        <v>2528</v>
      </c>
      <c r="E909" s="11" t="s">
        <v>50</v>
      </c>
      <c r="F909" s="11" t="s">
        <v>45</v>
      </c>
      <c r="G909" s="11" t="s">
        <v>2527</v>
      </c>
      <c r="H909" s="11" t="s">
        <v>15</v>
      </c>
      <c r="I909" s="11" t="s">
        <v>2284</v>
      </c>
      <c r="J909" s="118">
        <v>42682</v>
      </c>
      <c r="K909">
        <f>650</f>
        <v>650</v>
      </c>
      <c r="L909" t="str">
        <f t="shared" si="43"/>
        <v>150</v>
      </c>
      <c r="M909">
        <f t="shared" si="44"/>
        <v>390</v>
      </c>
    </row>
    <row r="910" spans="1:14">
      <c r="A910" s="65" t="s">
        <v>2532</v>
      </c>
      <c r="B910" s="47">
        <v>3366253051</v>
      </c>
      <c r="C910" s="47">
        <v>1100</v>
      </c>
      <c r="D910" s="65" t="s">
        <v>2533</v>
      </c>
      <c r="E910" s="65" t="s">
        <v>2448</v>
      </c>
      <c r="F910" s="65" t="s">
        <v>45</v>
      </c>
      <c r="G910" s="65" t="s">
        <v>2260</v>
      </c>
      <c r="H910" s="65" t="s">
        <v>15</v>
      </c>
      <c r="I910" s="65" t="s">
        <v>2284</v>
      </c>
      <c r="J910" s="118">
        <v>42712</v>
      </c>
      <c r="K910">
        <f>(125*3)+100</f>
        <v>475</v>
      </c>
      <c r="L910">
        <v>220</v>
      </c>
      <c r="M910">
        <f t="shared" si="44"/>
        <v>405</v>
      </c>
    </row>
    <row r="911" spans="1:14">
      <c r="A911" s="11" t="s">
        <v>2453</v>
      </c>
      <c r="B911" s="11">
        <v>3444477565</v>
      </c>
      <c r="C911" s="11">
        <v>2000</v>
      </c>
      <c r="D911" s="11" t="s">
        <v>2508</v>
      </c>
      <c r="E911" s="11" t="s">
        <v>30</v>
      </c>
      <c r="F911" s="11" t="s">
        <v>515</v>
      </c>
      <c r="G911" s="11" t="s">
        <v>2541</v>
      </c>
      <c r="H911" s="11" t="s">
        <v>41</v>
      </c>
      <c r="I911" s="11" t="s">
        <v>2284</v>
      </c>
      <c r="J911" s="118">
        <v>42712</v>
      </c>
      <c r="K911">
        <f>1100</f>
        <v>1100</v>
      </c>
      <c r="L911">
        <v>370</v>
      </c>
      <c r="M911">
        <f t="shared" si="44"/>
        <v>530</v>
      </c>
    </row>
    <row r="912" spans="1:14">
      <c r="A912" t="s">
        <v>2544</v>
      </c>
      <c r="B912">
        <v>3312289163</v>
      </c>
      <c r="C912">
        <v>1030</v>
      </c>
      <c r="D912" t="s">
        <v>2545</v>
      </c>
      <c r="E912" t="s">
        <v>50</v>
      </c>
      <c r="F912" t="s">
        <v>515</v>
      </c>
      <c r="G912" t="s">
        <v>2546</v>
      </c>
      <c r="H912" t="s">
        <v>15</v>
      </c>
      <c r="I912" t="s">
        <v>2284</v>
      </c>
      <c r="J912" t="s">
        <v>2542</v>
      </c>
      <c r="K912">
        <f>550</f>
        <v>550</v>
      </c>
      <c r="L912" t="str">
        <f t="shared" si="43"/>
        <v>150</v>
      </c>
      <c r="M912">
        <f t="shared" si="44"/>
        <v>330</v>
      </c>
    </row>
    <row r="913" spans="1:13">
      <c r="A913" s="11" t="s">
        <v>2553</v>
      </c>
      <c r="B913" s="11">
        <v>3364584400</v>
      </c>
      <c r="C913" s="11">
        <v>1260</v>
      </c>
      <c r="D913" s="11" t="s">
        <v>2554</v>
      </c>
      <c r="E913" s="11" t="s">
        <v>174</v>
      </c>
      <c r="F913" s="11" t="s">
        <v>515</v>
      </c>
      <c r="G913" s="11" t="s">
        <v>1790</v>
      </c>
      <c r="H913" s="11" t="s">
        <v>15</v>
      </c>
      <c r="I913" s="11" t="s">
        <v>2284</v>
      </c>
      <c r="J913" s="11" t="s">
        <v>2542</v>
      </c>
      <c r="K913">
        <f>500</f>
        <v>500</v>
      </c>
      <c r="L913">
        <v>220</v>
      </c>
      <c r="M913">
        <f t="shared" si="44"/>
        <v>540</v>
      </c>
    </row>
    <row r="914" spans="1:13">
      <c r="A914" s="11" t="s">
        <v>2555</v>
      </c>
      <c r="B914" s="11">
        <v>3047566720</v>
      </c>
      <c r="C914" s="11">
        <v>1050</v>
      </c>
      <c r="D914" s="11" t="s">
        <v>2556</v>
      </c>
      <c r="E914" s="11" t="s">
        <v>542</v>
      </c>
      <c r="F914" s="11" t="s">
        <v>24</v>
      </c>
      <c r="G914" s="11" t="s">
        <v>2557</v>
      </c>
      <c r="H914" s="11" t="s">
        <v>15</v>
      </c>
      <c r="I914" s="11" t="s">
        <v>2284</v>
      </c>
      <c r="J914" s="11" t="s">
        <v>2542</v>
      </c>
      <c r="K914">
        <f>620</f>
        <v>620</v>
      </c>
      <c r="L914">
        <v>180</v>
      </c>
      <c r="M914">
        <f t="shared" si="44"/>
        <v>250</v>
      </c>
    </row>
    <row r="915" spans="1:13">
      <c r="A915" s="11" t="s">
        <v>2558</v>
      </c>
      <c r="B915" s="11">
        <v>3214893593</v>
      </c>
      <c r="C915" s="11">
        <v>1000</v>
      </c>
      <c r="D915" s="11" t="s">
        <v>2559</v>
      </c>
      <c r="E915" s="11" t="s">
        <v>23</v>
      </c>
      <c r="F915" s="11" t="s">
        <v>24</v>
      </c>
      <c r="G915" s="11" t="s">
        <v>2560</v>
      </c>
      <c r="H915" s="11" t="s">
        <v>15</v>
      </c>
      <c r="I915" s="11" t="s">
        <v>2284</v>
      </c>
      <c r="J915" s="11" t="s">
        <v>2542</v>
      </c>
      <c r="K915">
        <f>450</f>
        <v>450</v>
      </c>
      <c r="L915">
        <v>180</v>
      </c>
      <c r="M915">
        <f t="shared" si="44"/>
        <v>370</v>
      </c>
    </row>
    <row r="916" spans="1:13">
      <c r="A916" s="100" t="s">
        <v>2561</v>
      </c>
      <c r="B916" s="11">
        <v>3129334446</v>
      </c>
      <c r="C916" s="11">
        <v>1070</v>
      </c>
      <c r="D916" s="101" t="s">
        <v>2562</v>
      </c>
      <c r="E916" s="11" t="s">
        <v>199</v>
      </c>
      <c r="F916" s="11" t="s">
        <v>24</v>
      </c>
      <c r="G916" s="11" t="s">
        <v>2557</v>
      </c>
      <c r="H916" s="11" t="s">
        <v>15</v>
      </c>
      <c r="I916" s="11" t="s">
        <v>2284</v>
      </c>
      <c r="J916" s="11" t="s">
        <v>2542</v>
      </c>
      <c r="K916">
        <f>620</f>
        <v>620</v>
      </c>
      <c r="L916">
        <v>180</v>
      </c>
      <c r="M916">
        <f t="shared" si="44"/>
        <v>270</v>
      </c>
    </row>
    <row r="917" spans="1:13">
      <c r="A917" s="55" t="s">
        <v>2563</v>
      </c>
      <c r="B917" s="55">
        <v>3322601989</v>
      </c>
      <c r="C917" s="55">
        <v>1900</v>
      </c>
      <c r="D917" s="55" t="s">
        <v>2564</v>
      </c>
      <c r="E917" s="55" t="s">
        <v>50</v>
      </c>
      <c r="F917" s="55" t="s">
        <v>24</v>
      </c>
      <c r="G917" s="55" t="s">
        <v>1916</v>
      </c>
      <c r="H917" s="55" t="s">
        <v>15</v>
      </c>
      <c r="I917" s="55" t="s">
        <v>122</v>
      </c>
      <c r="J917" s="55" t="s">
        <v>2542</v>
      </c>
      <c r="K917">
        <f>1470</f>
        <v>1470</v>
      </c>
      <c r="L917" t="str">
        <f t="shared" si="43"/>
        <v>150</v>
      </c>
      <c r="M917">
        <f t="shared" si="44"/>
        <v>280</v>
      </c>
    </row>
    <row r="918" spans="1:13">
      <c r="A918" s="11" t="s">
        <v>2565</v>
      </c>
      <c r="B918" s="11">
        <v>3052404801</v>
      </c>
      <c r="C918" s="11">
        <v>1280</v>
      </c>
      <c r="D918" s="11" t="s">
        <v>2566</v>
      </c>
      <c r="E918" s="11" t="s">
        <v>2567</v>
      </c>
      <c r="F918" s="11" t="s">
        <v>45</v>
      </c>
      <c r="G918" s="11" t="s">
        <v>1445</v>
      </c>
      <c r="H918" s="11" t="s">
        <v>15</v>
      </c>
      <c r="I918" s="11" t="s">
        <v>2284</v>
      </c>
      <c r="J918" s="11" t="s">
        <v>2542</v>
      </c>
      <c r="K918">
        <f>650</f>
        <v>650</v>
      </c>
      <c r="L918">
        <v>220</v>
      </c>
      <c r="M918">
        <f t="shared" si="44"/>
        <v>410</v>
      </c>
    </row>
    <row r="919" spans="1:13">
      <c r="A919" s="11" t="s">
        <v>2573</v>
      </c>
      <c r="B919" s="11">
        <v>3159893467</v>
      </c>
      <c r="C919" s="11">
        <v>2340</v>
      </c>
      <c r="D919" s="11" t="s">
        <v>2574</v>
      </c>
      <c r="E919" s="11" t="s">
        <v>539</v>
      </c>
      <c r="F919" s="11" t="s">
        <v>24</v>
      </c>
      <c r="G919" s="11" t="s">
        <v>2216</v>
      </c>
      <c r="H919" s="11" t="s">
        <v>15</v>
      </c>
      <c r="I919" s="11" t="s">
        <v>2284</v>
      </c>
      <c r="J919" s="11" t="s">
        <v>2569</v>
      </c>
      <c r="K919">
        <f>1470</f>
        <v>1470</v>
      </c>
      <c r="L919">
        <v>180</v>
      </c>
      <c r="M919">
        <f t="shared" si="44"/>
        <v>690</v>
      </c>
    </row>
    <row r="920" spans="1:13">
      <c r="A920" s="11" t="s">
        <v>2575</v>
      </c>
      <c r="B920" s="11">
        <v>3008913958</v>
      </c>
      <c r="C920" s="11">
        <v>850</v>
      </c>
      <c r="D920" s="11" t="s">
        <v>2576</v>
      </c>
      <c r="E920" s="11" t="s">
        <v>2577</v>
      </c>
      <c r="F920" s="11" t="s">
        <v>24</v>
      </c>
      <c r="G920" s="11" t="s">
        <v>1769</v>
      </c>
      <c r="H920" s="11" t="s">
        <v>15</v>
      </c>
      <c r="I920" s="11" t="s">
        <v>2284</v>
      </c>
      <c r="J920" s="11" t="s">
        <v>2569</v>
      </c>
      <c r="K920">
        <f>220</f>
        <v>220</v>
      </c>
      <c r="L920">
        <v>180</v>
      </c>
      <c r="M920">
        <f t="shared" si="44"/>
        <v>450</v>
      </c>
    </row>
    <row r="921" spans="1:13">
      <c r="A921" s="11" t="s">
        <v>2594</v>
      </c>
      <c r="B921" s="59">
        <v>3150507939</v>
      </c>
      <c r="C921" s="11">
        <v>1240</v>
      </c>
      <c r="D921" s="11" t="s">
        <v>2595</v>
      </c>
      <c r="E921" s="11" t="s">
        <v>12</v>
      </c>
      <c r="F921" s="11" t="s">
        <v>45</v>
      </c>
      <c r="G921" s="11" t="s">
        <v>2596</v>
      </c>
      <c r="H921" s="11" t="s">
        <v>15</v>
      </c>
      <c r="I921" s="11" t="s">
        <v>2284</v>
      </c>
      <c r="J921" s="11" t="s">
        <v>2578</v>
      </c>
      <c r="K921">
        <f>(125*4)+60</f>
        <v>560</v>
      </c>
      <c r="L921">
        <v>214</v>
      </c>
      <c r="M921">
        <f t="shared" si="44"/>
        <v>466</v>
      </c>
    </row>
    <row r="922" spans="1:13">
      <c r="A922" s="55" t="s">
        <v>2597</v>
      </c>
      <c r="B922" s="55">
        <v>3435405742</v>
      </c>
      <c r="C922" s="55">
        <v>560</v>
      </c>
      <c r="D922" s="55" t="s">
        <v>2598</v>
      </c>
      <c r="E922" s="55" t="s">
        <v>19</v>
      </c>
      <c r="F922" s="55" t="s">
        <v>45</v>
      </c>
      <c r="G922" s="55" t="s">
        <v>1314</v>
      </c>
      <c r="H922" s="55" t="s">
        <v>15</v>
      </c>
      <c r="I922" s="55" t="s">
        <v>122</v>
      </c>
      <c r="J922" s="55" t="s">
        <v>2578</v>
      </c>
      <c r="K922">
        <f>125+100</f>
        <v>225</v>
      </c>
      <c r="L922" t="str">
        <f t="shared" si="43"/>
        <v>250</v>
      </c>
      <c r="M922">
        <f t="shared" si="44"/>
        <v>85</v>
      </c>
    </row>
    <row r="923" spans="1:13">
      <c r="A923" s="11" t="s">
        <v>2599</v>
      </c>
      <c r="B923" s="11">
        <v>3418250838</v>
      </c>
      <c r="C923" s="11">
        <v>630</v>
      </c>
      <c r="D923" s="11" t="s">
        <v>2600</v>
      </c>
      <c r="E923" s="11" t="s">
        <v>347</v>
      </c>
      <c r="F923" s="11" t="s">
        <v>45</v>
      </c>
      <c r="G923" s="11" t="s">
        <v>1314</v>
      </c>
      <c r="H923" s="11" t="s">
        <v>15</v>
      </c>
      <c r="I923" s="11" t="s">
        <v>16</v>
      </c>
      <c r="J923" s="11" t="s">
        <v>2578</v>
      </c>
      <c r="K923">
        <f>125+100</f>
        <v>225</v>
      </c>
      <c r="L923" t="str">
        <f t="shared" si="43"/>
        <v>250</v>
      </c>
      <c r="M923">
        <f t="shared" si="44"/>
        <v>155</v>
      </c>
    </row>
    <row r="924" spans="1:13">
      <c r="A924" s="55" t="s">
        <v>2601</v>
      </c>
      <c r="B924" s="55">
        <v>3217196767</v>
      </c>
      <c r="C924" s="55">
        <v>1090</v>
      </c>
      <c r="D924" s="55" t="s">
        <v>2602</v>
      </c>
      <c r="E924" s="55" t="s">
        <v>120</v>
      </c>
      <c r="F924" s="55" t="s">
        <v>45</v>
      </c>
      <c r="G924" s="55" t="s">
        <v>1302</v>
      </c>
      <c r="H924" s="55" t="s">
        <v>15</v>
      </c>
      <c r="I924" s="55" t="s">
        <v>122</v>
      </c>
      <c r="J924" s="55" t="s">
        <v>2578</v>
      </c>
      <c r="K924">
        <f>650</f>
        <v>650</v>
      </c>
      <c r="L924" t="str">
        <f t="shared" si="43"/>
        <v>250</v>
      </c>
      <c r="M924">
        <f t="shared" si="44"/>
        <v>190</v>
      </c>
    </row>
    <row r="925" spans="1:13">
      <c r="A925" s="11" t="s">
        <v>2603</v>
      </c>
      <c r="B925" s="11">
        <v>3314193357</v>
      </c>
      <c r="C925" s="11">
        <v>1400</v>
      </c>
      <c r="D925" s="11" t="s">
        <v>2604</v>
      </c>
      <c r="E925" s="11" t="s">
        <v>865</v>
      </c>
      <c r="F925" s="11" t="s">
        <v>2605</v>
      </c>
      <c r="G925" s="11" t="s">
        <v>2606</v>
      </c>
      <c r="H925" s="11" t="s">
        <v>150</v>
      </c>
      <c r="I925" s="11" t="s">
        <v>2284</v>
      </c>
      <c r="J925" s="11" t="s">
        <v>2607</v>
      </c>
      <c r="K925">
        <f>1100</f>
        <v>1100</v>
      </c>
      <c r="L925">
        <v>180</v>
      </c>
      <c r="M925">
        <f t="shared" si="44"/>
        <v>120</v>
      </c>
    </row>
    <row r="926" spans="1:13">
      <c r="A926" s="11" t="s">
        <v>2608</v>
      </c>
      <c r="B926" s="11">
        <v>3045379042</v>
      </c>
      <c r="C926" s="11">
        <v>1030</v>
      </c>
      <c r="D926" s="11" t="s">
        <v>2609</v>
      </c>
      <c r="E926" s="11" t="s">
        <v>542</v>
      </c>
      <c r="F926" s="11" t="s">
        <v>45</v>
      </c>
      <c r="G926" s="11" t="s">
        <v>2295</v>
      </c>
      <c r="H926" s="11" t="s">
        <v>15</v>
      </c>
      <c r="I926" s="11" t="s">
        <v>2284</v>
      </c>
      <c r="J926" s="11" t="s">
        <v>2607</v>
      </c>
      <c r="K926">
        <f>125*5</f>
        <v>625</v>
      </c>
      <c r="L926">
        <v>220</v>
      </c>
      <c r="M926">
        <f t="shared" si="44"/>
        <v>185</v>
      </c>
    </row>
    <row r="927" spans="1:13">
      <c r="A927" s="11" t="s">
        <v>2618</v>
      </c>
      <c r="B927" s="11">
        <v>3072880106</v>
      </c>
      <c r="C927" s="11">
        <v>2100</v>
      </c>
      <c r="D927" s="11" t="s">
        <v>2619</v>
      </c>
      <c r="E927" s="11" t="s">
        <v>50</v>
      </c>
      <c r="F927" s="11" t="s">
        <v>24</v>
      </c>
      <c r="G927" s="11" t="s">
        <v>1916</v>
      </c>
      <c r="H927" s="11" t="s">
        <v>15</v>
      </c>
      <c r="I927" s="11" t="s">
        <v>2284</v>
      </c>
      <c r="J927" s="11" t="s">
        <v>2620</v>
      </c>
      <c r="K927">
        <f>1470</f>
        <v>1470</v>
      </c>
      <c r="L927">
        <v>135</v>
      </c>
      <c r="M927">
        <f t="shared" si="44"/>
        <v>495</v>
      </c>
    </row>
    <row r="928" spans="1:13">
      <c r="A928" s="11" t="s">
        <v>2621</v>
      </c>
      <c r="B928" s="11">
        <v>3486686586</v>
      </c>
      <c r="C928" s="11">
        <v>3450</v>
      </c>
      <c r="D928" s="11" t="s">
        <v>2622</v>
      </c>
      <c r="E928" s="11" t="s">
        <v>2623</v>
      </c>
      <c r="F928" s="11" t="s">
        <v>2605</v>
      </c>
      <c r="G928" s="11" t="s">
        <v>2624</v>
      </c>
      <c r="H928" s="11" t="s">
        <v>15</v>
      </c>
      <c r="I928" s="11" t="s">
        <v>16</v>
      </c>
      <c r="J928" s="11" t="s">
        <v>2620</v>
      </c>
      <c r="K928">
        <f>2300</f>
        <v>2300</v>
      </c>
      <c r="L928" t="str">
        <f t="shared" si="43"/>
        <v>250</v>
      </c>
      <c r="M928">
        <f t="shared" si="44"/>
        <v>900</v>
      </c>
    </row>
    <row r="929" spans="1:15">
      <c r="A929" s="11" t="s">
        <v>2625</v>
      </c>
      <c r="B929" s="11">
        <v>3311414496</v>
      </c>
      <c r="C929" s="11">
        <v>990</v>
      </c>
      <c r="D929" s="11" t="s">
        <v>2626</v>
      </c>
      <c r="E929" s="11" t="s">
        <v>865</v>
      </c>
      <c r="F929" s="11" t="s">
        <v>24</v>
      </c>
      <c r="G929" s="11" t="s">
        <v>2560</v>
      </c>
      <c r="H929" s="11" t="s">
        <v>15</v>
      </c>
      <c r="I929" s="11" t="s">
        <v>16</v>
      </c>
      <c r="J929" s="11" t="s">
        <v>2620</v>
      </c>
      <c r="K929">
        <f>450</f>
        <v>450</v>
      </c>
      <c r="L929" t="str">
        <f t="shared" si="43"/>
        <v>250</v>
      </c>
      <c r="M929">
        <f t="shared" si="44"/>
        <v>290</v>
      </c>
    </row>
    <row r="930" spans="1:15">
      <c r="A930" s="11" t="s">
        <v>2631</v>
      </c>
      <c r="B930" s="11">
        <v>3323070705</v>
      </c>
      <c r="C930" s="11">
        <v>3000</v>
      </c>
      <c r="D930" s="11" t="s">
        <v>2632</v>
      </c>
      <c r="E930" s="11" t="s">
        <v>1768</v>
      </c>
      <c r="F930" s="11" t="s">
        <v>45</v>
      </c>
      <c r="G930" s="11" t="s">
        <v>2633</v>
      </c>
      <c r="H930" s="11" t="s">
        <v>41</v>
      </c>
      <c r="I930" s="11" t="s">
        <v>16</v>
      </c>
      <c r="J930" s="11" t="s">
        <v>2634</v>
      </c>
      <c r="K930">
        <f>(125*10)</f>
        <v>1250</v>
      </c>
      <c r="L930" t="str">
        <f t="shared" si="43"/>
        <v>250</v>
      </c>
      <c r="M930">
        <f t="shared" si="44"/>
        <v>1500</v>
      </c>
      <c r="O930" s="123" t="s">
        <v>2635</v>
      </c>
    </row>
    <row r="931" spans="1:15">
      <c r="A931" s="11" t="s">
        <v>2636</v>
      </c>
      <c r="B931" s="11">
        <v>3333668866</v>
      </c>
      <c r="C931" s="11">
        <v>1090</v>
      </c>
      <c r="D931" s="11" t="s">
        <v>2637</v>
      </c>
      <c r="E931" s="11" t="s">
        <v>2638</v>
      </c>
      <c r="F931" s="11" t="s">
        <v>515</v>
      </c>
      <c r="G931" s="11" t="s">
        <v>2360</v>
      </c>
      <c r="H931" s="11" t="s">
        <v>15</v>
      </c>
      <c r="I931" s="11" t="s">
        <v>16</v>
      </c>
      <c r="J931" s="11" t="s">
        <v>2634</v>
      </c>
      <c r="K931">
        <f>600</f>
        <v>600</v>
      </c>
      <c r="L931" t="str">
        <f t="shared" si="43"/>
        <v>250</v>
      </c>
      <c r="M931">
        <f t="shared" si="44"/>
        <v>240</v>
      </c>
    </row>
    <row r="932" spans="1:15">
      <c r="A932" s="11" t="s">
        <v>2639</v>
      </c>
      <c r="B932" s="11">
        <v>3337346776</v>
      </c>
      <c r="C932" s="11">
        <v>1100</v>
      </c>
      <c r="D932" s="11" t="s">
        <v>2640</v>
      </c>
      <c r="E932" s="11" t="s">
        <v>2641</v>
      </c>
      <c r="F932" s="11" t="s">
        <v>45</v>
      </c>
      <c r="G932" s="11" t="s">
        <v>348</v>
      </c>
      <c r="H932" s="11" t="s">
        <v>15</v>
      </c>
      <c r="I932" s="11" t="s">
        <v>16</v>
      </c>
      <c r="J932" s="11" t="s">
        <v>2634</v>
      </c>
      <c r="K932">
        <f>(125*4)+120</f>
        <v>620</v>
      </c>
      <c r="L932" t="str">
        <f t="shared" si="43"/>
        <v>250</v>
      </c>
      <c r="M932">
        <f t="shared" si="44"/>
        <v>230</v>
      </c>
    </row>
    <row r="933" spans="1:15">
      <c r="A933" s="11" t="s">
        <v>2642</v>
      </c>
      <c r="B933" s="11">
        <v>3014292744</v>
      </c>
      <c r="C933" s="11">
        <v>1210</v>
      </c>
      <c r="D933" s="11" t="s">
        <v>2643</v>
      </c>
      <c r="E933" s="11" t="s">
        <v>865</v>
      </c>
      <c r="F933" s="11" t="s">
        <v>45</v>
      </c>
      <c r="G933" s="11" t="s">
        <v>2360</v>
      </c>
      <c r="H933" s="11" t="s">
        <v>15</v>
      </c>
      <c r="I933" s="11" t="s">
        <v>16</v>
      </c>
      <c r="J933" s="11" t="s">
        <v>2634</v>
      </c>
      <c r="K933">
        <f>600</f>
        <v>600</v>
      </c>
      <c r="L933" t="str">
        <f t="shared" si="43"/>
        <v>250</v>
      </c>
      <c r="M933">
        <f t="shared" si="44"/>
        <v>360</v>
      </c>
    </row>
    <row r="934" spans="1:15">
      <c r="A934" s="11" t="s">
        <v>2644</v>
      </c>
      <c r="B934" s="11">
        <v>3448483789</v>
      </c>
      <c r="C934" s="11">
        <v>1200</v>
      </c>
      <c r="D934" s="11" t="s">
        <v>2645</v>
      </c>
      <c r="E934" s="11" t="s">
        <v>2623</v>
      </c>
      <c r="F934" s="11" t="s">
        <v>45</v>
      </c>
      <c r="G934" s="11" t="s">
        <v>2646</v>
      </c>
      <c r="H934" s="11" t="s">
        <v>15</v>
      </c>
      <c r="I934" s="11" t="s">
        <v>16</v>
      </c>
      <c r="J934" s="11" t="s">
        <v>2634</v>
      </c>
      <c r="K934" s="11">
        <f>(125*5)+(15*5)</f>
        <v>700</v>
      </c>
      <c r="L934" t="str">
        <f t="shared" si="43"/>
        <v>250</v>
      </c>
      <c r="M934">
        <f t="shared" si="44"/>
        <v>250</v>
      </c>
    </row>
    <row r="935" spans="1:15" ht="15.75" thickBot="1">
      <c r="A935" s="11" t="s">
        <v>2655</v>
      </c>
      <c r="B935" s="11">
        <v>3458567980</v>
      </c>
      <c r="C935" s="11">
        <v>1100</v>
      </c>
      <c r="D935" s="11" t="s">
        <v>2654</v>
      </c>
      <c r="E935" s="11" t="s">
        <v>865</v>
      </c>
      <c r="F935" s="11" t="s">
        <v>515</v>
      </c>
      <c r="G935" s="11" t="s">
        <v>2360</v>
      </c>
      <c r="H935" s="11" t="s">
        <v>15</v>
      </c>
      <c r="I935" s="11" t="s">
        <v>16</v>
      </c>
      <c r="J935" s="11" t="s">
        <v>2657</v>
      </c>
      <c r="K935">
        <f>600</f>
        <v>600</v>
      </c>
      <c r="L935" t="str">
        <f t="shared" si="43"/>
        <v>250</v>
      </c>
      <c r="M935">
        <f t="shared" si="44"/>
        <v>250</v>
      </c>
    </row>
    <row r="936" spans="1:15" ht="15.75" thickBot="1">
      <c r="A936" s="124" t="s">
        <v>2658</v>
      </c>
      <c r="B936" s="18">
        <v>3458318769</v>
      </c>
      <c r="C936" s="18">
        <v>1150</v>
      </c>
      <c r="D936" s="18" t="s">
        <v>2659</v>
      </c>
      <c r="E936" s="18" t="s">
        <v>865</v>
      </c>
      <c r="F936" s="18" t="s">
        <v>2273</v>
      </c>
      <c r="G936" s="18" t="s">
        <v>2660</v>
      </c>
      <c r="H936" s="18" t="s">
        <v>15</v>
      </c>
      <c r="I936" s="18" t="s">
        <v>2217</v>
      </c>
      <c r="J936" s="18" t="s">
        <v>2657</v>
      </c>
      <c r="K936">
        <v>300</v>
      </c>
      <c r="L936" t="str">
        <f t="shared" si="43"/>
        <v>250</v>
      </c>
      <c r="M936">
        <f t="shared" si="44"/>
        <v>600</v>
      </c>
    </row>
    <row r="937" spans="1:15">
      <c r="A937" s="11" t="s">
        <v>2661</v>
      </c>
      <c r="B937" s="11">
        <v>3369478930</v>
      </c>
      <c r="C937" s="11">
        <v>1690</v>
      </c>
      <c r="D937" s="11" t="s">
        <v>2662</v>
      </c>
      <c r="E937" s="11" t="s">
        <v>1197</v>
      </c>
      <c r="F937" s="11" t="s">
        <v>45</v>
      </c>
      <c r="G937" s="11" t="s">
        <v>2663</v>
      </c>
      <c r="H937" s="11" t="s">
        <v>15</v>
      </c>
      <c r="I937" s="11" t="s">
        <v>16</v>
      </c>
      <c r="J937" s="11" t="s">
        <v>2657</v>
      </c>
      <c r="K937">
        <f>(125*3)+(260*3)+45</f>
        <v>1200</v>
      </c>
      <c r="L937" t="str">
        <f t="shared" si="43"/>
        <v>250</v>
      </c>
      <c r="M937">
        <f t="shared" si="44"/>
        <v>240</v>
      </c>
    </row>
    <row r="938" spans="1:15">
      <c r="A938" s="18" t="s">
        <v>2664</v>
      </c>
      <c r="B938" s="18">
        <v>3139717992</v>
      </c>
      <c r="C938" s="18">
        <v>1340</v>
      </c>
      <c r="D938" s="18" t="s">
        <v>2665</v>
      </c>
      <c r="E938" s="18" t="s">
        <v>35</v>
      </c>
      <c r="F938" s="18" t="s">
        <v>2666</v>
      </c>
      <c r="G938" s="18" t="s">
        <v>2667</v>
      </c>
      <c r="H938" s="18" t="s">
        <v>15</v>
      </c>
      <c r="I938" s="18" t="s">
        <v>2217</v>
      </c>
      <c r="J938" s="18" t="s">
        <v>2657</v>
      </c>
      <c r="K938">
        <f>700</f>
        <v>700</v>
      </c>
      <c r="L938" t="str">
        <f t="shared" ref="L938:L1001" si="45">IF(E938="karachi","150","250")</f>
        <v>250</v>
      </c>
      <c r="M938">
        <f t="shared" si="44"/>
        <v>390</v>
      </c>
    </row>
    <row r="939" spans="1:15">
      <c r="A939" s="11" t="s">
        <v>2668</v>
      </c>
      <c r="B939" s="11">
        <v>3153230178</v>
      </c>
      <c r="C939" s="11">
        <v>980</v>
      </c>
      <c r="D939" s="11" t="s">
        <v>2669</v>
      </c>
      <c r="E939" s="11" t="s">
        <v>2487</v>
      </c>
      <c r="F939" s="11" t="s">
        <v>2273</v>
      </c>
      <c r="G939" s="11" t="s">
        <v>2670</v>
      </c>
      <c r="H939" s="11" t="s">
        <v>15</v>
      </c>
      <c r="I939" s="11" t="s">
        <v>16</v>
      </c>
      <c r="J939" s="11" t="s">
        <v>2657</v>
      </c>
      <c r="K939">
        <f>300</f>
        <v>300</v>
      </c>
      <c r="L939" t="str">
        <f t="shared" si="45"/>
        <v>250</v>
      </c>
      <c r="M939">
        <f t="shared" si="44"/>
        <v>430</v>
      </c>
    </row>
    <row r="940" spans="1:15">
      <c r="A940" s="11" t="s">
        <v>2671</v>
      </c>
      <c r="B940" s="11">
        <v>3338403040</v>
      </c>
      <c r="C940" s="11">
        <v>1210</v>
      </c>
      <c r="D940" s="11" t="s">
        <v>2672</v>
      </c>
      <c r="E940" s="11" t="s">
        <v>2673</v>
      </c>
      <c r="F940" s="11" t="s">
        <v>515</v>
      </c>
      <c r="G940" s="11" t="s">
        <v>2674</v>
      </c>
      <c r="H940" s="11" t="s">
        <v>15</v>
      </c>
      <c r="I940" s="11" t="s">
        <v>16</v>
      </c>
      <c r="J940" s="11" t="s">
        <v>2657</v>
      </c>
      <c r="K940">
        <f>(260*3)+75</f>
        <v>855</v>
      </c>
      <c r="L940" t="str">
        <f t="shared" si="45"/>
        <v>250</v>
      </c>
      <c r="M940">
        <f t="shared" si="44"/>
        <v>105</v>
      </c>
    </row>
    <row r="941" spans="1:15">
      <c r="A941" s="11" t="s">
        <v>2680</v>
      </c>
      <c r="B941" s="59">
        <v>3312480789</v>
      </c>
      <c r="C941" s="11">
        <v>690</v>
      </c>
      <c r="D941" s="11" t="s">
        <v>2681</v>
      </c>
      <c r="E941" s="11" t="s">
        <v>50</v>
      </c>
      <c r="F941" s="11" t="s">
        <v>45</v>
      </c>
      <c r="G941" s="11" t="s">
        <v>2682</v>
      </c>
      <c r="H941" s="11" t="s">
        <v>15</v>
      </c>
      <c r="I941" s="11" t="s">
        <v>2284</v>
      </c>
      <c r="J941" s="11" t="s">
        <v>2683</v>
      </c>
      <c r="K941">
        <f>220+15</f>
        <v>235</v>
      </c>
      <c r="L941" t="str">
        <f t="shared" si="45"/>
        <v>150</v>
      </c>
      <c r="M941">
        <f t="shared" si="44"/>
        <v>305</v>
      </c>
    </row>
    <row r="942" spans="1:15">
      <c r="A942" s="18" t="s">
        <v>2686</v>
      </c>
      <c r="B942" s="18">
        <v>3337227020</v>
      </c>
      <c r="C942" s="18">
        <v>860</v>
      </c>
      <c r="D942" s="18" t="s">
        <v>2687</v>
      </c>
      <c r="E942" s="18" t="s">
        <v>2688</v>
      </c>
      <c r="F942" s="18" t="s">
        <v>24</v>
      </c>
      <c r="G942" s="18" t="s">
        <v>303</v>
      </c>
      <c r="H942" s="18" t="s">
        <v>15</v>
      </c>
      <c r="I942" s="18" t="s">
        <v>2217</v>
      </c>
      <c r="J942" s="18" t="s">
        <v>2689</v>
      </c>
      <c r="K942">
        <f>450</f>
        <v>450</v>
      </c>
      <c r="L942" t="str">
        <f t="shared" si="45"/>
        <v>250</v>
      </c>
      <c r="M942">
        <f t="shared" si="44"/>
        <v>160</v>
      </c>
    </row>
    <row r="943" spans="1:15">
      <c r="A943" s="11" t="s">
        <v>2690</v>
      </c>
      <c r="B943" s="11">
        <v>3345958317</v>
      </c>
      <c r="C943" s="11">
        <v>1210</v>
      </c>
      <c r="D943" s="11" t="s">
        <v>2691</v>
      </c>
      <c r="E943" s="11" t="s">
        <v>19</v>
      </c>
      <c r="F943" s="11" t="s">
        <v>24</v>
      </c>
      <c r="G943" s="11" t="s">
        <v>2692</v>
      </c>
      <c r="H943" s="11" t="s">
        <v>15</v>
      </c>
      <c r="I943" s="11" t="s">
        <v>16</v>
      </c>
      <c r="J943" s="11" t="s">
        <v>2689</v>
      </c>
      <c r="K943">
        <f>550</f>
        <v>550</v>
      </c>
      <c r="L943" t="str">
        <f t="shared" si="45"/>
        <v>250</v>
      </c>
      <c r="M943">
        <f t="shared" si="44"/>
        <v>410</v>
      </c>
    </row>
    <row r="944" spans="1:15">
      <c r="A944" s="126" t="s">
        <v>2693</v>
      </c>
      <c r="B944" s="18">
        <v>3131521251</v>
      </c>
      <c r="C944" s="18">
        <v>840</v>
      </c>
      <c r="D944" s="18" t="s">
        <v>2694</v>
      </c>
      <c r="E944" s="18" t="s">
        <v>19</v>
      </c>
      <c r="F944" s="18" t="s">
        <v>24</v>
      </c>
      <c r="G944" s="18" t="s">
        <v>303</v>
      </c>
      <c r="H944" s="18" t="s">
        <v>15</v>
      </c>
      <c r="I944" s="18" t="s">
        <v>2217</v>
      </c>
      <c r="J944" s="18" t="s">
        <v>2695</v>
      </c>
      <c r="K944">
        <f>430</f>
        <v>430</v>
      </c>
      <c r="L944" t="str">
        <f t="shared" si="45"/>
        <v>250</v>
      </c>
      <c r="M944">
        <f t="shared" si="44"/>
        <v>160</v>
      </c>
    </row>
    <row r="945" spans="1:15">
      <c r="A945" s="11" t="s">
        <v>2696</v>
      </c>
      <c r="B945" s="11">
        <v>3027113241</v>
      </c>
      <c r="C945" s="11">
        <v>1140</v>
      </c>
      <c r="D945" s="11" t="s">
        <v>2697</v>
      </c>
      <c r="E945" s="11" t="s">
        <v>50</v>
      </c>
      <c r="F945" s="11" t="s">
        <v>45</v>
      </c>
      <c r="G945" s="11" t="s">
        <v>2295</v>
      </c>
      <c r="H945" s="11" t="s">
        <v>15</v>
      </c>
      <c r="I945" s="11" t="s">
        <v>16</v>
      </c>
      <c r="J945" s="11" t="s">
        <v>2695</v>
      </c>
      <c r="K945">
        <f>(125*5)+75</f>
        <v>700</v>
      </c>
      <c r="L945" t="str">
        <f t="shared" si="45"/>
        <v>150</v>
      </c>
      <c r="M945">
        <f t="shared" si="44"/>
        <v>290</v>
      </c>
    </row>
    <row r="946" spans="1:15">
      <c r="A946" s="18" t="s">
        <v>2698</v>
      </c>
      <c r="B946" s="18">
        <v>3017441295</v>
      </c>
      <c r="C946" s="18">
        <v>1080</v>
      </c>
      <c r="D946" s="18" t="s">
        <v>2699</v>
      </c>
      <c r="E946" s="18" t="s">
        <v>542</v>
      </c>
      <c r="F946" s="18" t="s">
        <v>45</v>
      </c>
      <c r="G946" s="18" t="s">
        <v>348</v>
      </c>
      <c r="H946" s="18" t="s">
        <v>15</v>
      </c>
      <c r="I946" s="18" t="s">
        <v>2217</v>
      </c>
      <c r="J946" s="18" t="s">
        <v>2695</v>
      </c>
      <c r="K946">
        <f>(125*4)+120</f>
        <v>620</v>
      </c>
      <c r="L946" t="str">
        <f t="shared" si="45"/>
        <v>250</v>
      </c>
      <c r="M946">
        <f t="shared" si="44"/>
        <v>210</v>
      </c>
    </row>
    <row r="947" spans="1:15">
      <c r="A947" s="18" t="s">
        <v>2700</v>
      </c>
      <c r="B947" s="18">
        <v>3002927989</v>
      </c>
      <c r="C947" s="18">
        <v>1820</v>
      </c>
      <c r="D947" s="18" t="s">
        <v>2701</v>
      </c>
      <c r="E947" s="18" t="s">
        <v>1793</v>
      </c>
      <c r="F947" s="18" t="s">
        <v>515</v>
      </c>
      <c r="G947" s="18" t="s">
        <v>2702</v>
      </c>
      <c r="H947" s="18" t="s">
        <v>15</v>
      </c>
      <c r="I947" s="18" t="s">
        <v>2217</v>
      </c>
      <c r="J947" s="18" t="s">
        <v>2695</v>
      </c>
      <c r="K947">
        <f>1100</f>
        <v>1100</v>
      </c>
      <c r="L947" t="str">
        <f t="shared" si="45"/>
        <v>250</v>
      </c>
      <c r="M947">
        <f t="shared" si="44"/>
        <v>470</v>
      </c>
    </row>
    <row r="948" spans="1:15">
      <c r="A948" s="18" t="s">
        <v>2703</v>
      </c>
      <c r="B948" s="127">
        <v>3028169933</v>
      </c>
      <c r="C948" s="18">
        <v>1110</v>
      </c>
      <c r="D948" s="18" t="s">
        <v>2704</v>
      </c>
      <c r="E948" s="18" t="s">
        <v>1793</v>
      </c>
      <c r="F948" s="18" t="s">
        <v>515</v>
      </c>
      <c r="G948" s="18" t="s">
        <v>353</v>
      </c>
      <c r="H948" s="18" t="s">
        <v>15</v>
      </c>
      <c r="I948" s="18" t="s">
        <v>2217</v>
      </c>
      <c r="J948" s="18" t="s">
        <v>2695</v>
      </c>
      <c r="K948">
        <f>600</f>
        <v>600</v>
      </c>
      <c r="L948" t="str">
        <f t="shared" si="45"/>
        <v>250</v>
      </c>
      <c r="M948">
        <f t="shared" si="44"/>
        <v>260</v>
      </c>
    </row>
    <row r="949" spans="1:15">
      <c r="A949" s="18" t="s">
        <v>2705</v>
      </c>
      <c r="B949" s="18">
        <v>3049633280</v>
      </c>
      <c r="C949" s="18">
        <v>1000</v>
      </c>
      <c r="D949" s="18" t="s">
        <v>2706</v>
      </c>
      <c r="E949" s="18" t="s">
        <v>1844</v>
      </c>
      <c r="F949" s="18" t="s">
        <v>24</v>
      </c>
      <c r="G949" s="18" t="s">
        <v>2455</v>
      </c>
      <c r="H949" s="18" t="s">
        <v>41</v>
      </c>
      <c r="I949" s="18" t="s">
        <v>2217</v>
      </c>
      <c r="J949" s="18" t="s">
        <v>2695</v>
      </c>
      <c r="L949" t="str">
        <f t="shared" si="45"/>
        <v>250</v>
      </c>
      <c r="M949">
        <f t="shared" si="44"/>
        <v>750</v>
      </c>
      <c r="O949" t="s">
        <v>2707</v>
      </c>
    </row>
    <row r="950" spans="1:15">
      <c r="A950" s="18" t="s">
        <v>2731</v>
      </c>
      <c r="B950" s="18">
        <v>3214424999</v>
      </c>
      <c r="C950" s="18">
        <v>1090</v>
      </c>
      <c r="D950" s="18" t="s">
        <v>2732</v>
      </c>
      <c r="E950" s="18" t="s">
        <v>865</v>
      </c>
      <c r="F950" s="18" t="s">
        <v>515</v>
      </c>
      <c r="G950" s="18" t="s">
        <v>353</v>
      </c>
      <c r="H950" s="18" t="s">
        <v>15</v>
      </c>
      <c r="I950" s="18" t="s">
        <v>2217</v>
      </c>
      <c r="J950" s="18" t="s">
        <v>2695</v>
      </c>
      <c r="K950">
        <f>600</f>
        <v>600</v>
      </c>
      <c r="L950" t="str">
        <f t="shared" si="45"/>
        <v>250</v>
      </c>
      <c r="M950">
        <f t="shared" si="44"/>
        <v>240</v>
      </c>
    </row>
    <row r="951" spans="1:15">
      <c r="A951" s="18" t="s">
        <v>2733</v>
      </c>
      <c r="B951" s="18">
        <v>3477860860</v>
      </c>
      <c r="C951" s="18">
        <v>7300</v>
      </c>
      <c r="D951" s="18" t="s">
        <v>2734</v>
      </c>
      <c r="E951" s="18" t="s">
        <v>2302</v>
      </c>
      <c r="F951" s="18" t="s">
        <v>2666</v>
      </c>
      <c r="G951" s="18" t="s">
        <v>2735</v>
      </c>
      <c r="H951" s="18" t="s">
        <v>413</v>
      </c>
      <c r="I951" s="18" t="s">
        <v>2217</v>
      </c>
      <c r="J951" s="18" t="s">
        <v>2695</v>
      </c>
      <c r="K951">
        <f>1100*4</f>
        <v>4400</v>
      </c>
      <c r="L951" t="str">
        <f t="shared" si="45"/>
        <v>250</v>
      </c>
      <c r="M951">
        <f t="shared" si="44"/>
        <v>2650</v>
      </c>
    </row>
    <row r="952" spans="1:15">
      <c r="A952" s="18" t="s">
        <v>2736</v>
      </c>
      <c r="B952" s="18">
        <v>3334200672</v>
      </c>
      <c r="C952" s="18">
        <v>840</v>
      </c>
      <c r="D952" s="18" t="s">
        <v>2737</v>
      </c>
      <c r="E952" s="18" t="s">
        <v>23</v>
      </c>
      <c r="F952" s="18" t="s">
        <v>24</v>
      </c>
      <c r="G952" s="18" t="s">
        <v>303</v>
      </c>
      <c r="H952" s="18" t="s">
        <v>15</v>
      </c>
      <c r="I952" s="18" t="s">
        <v>2217</v>
      </c>
      <c r="J952" s="18" t="s">
        <v>2738</v>
      </c>
      <c r="K952">
        <f>430</f>
        <v>430</v>
      </c>
      <c r="L952" t="str">
        <f t="shared" si="45"/>
        <v>250</v>
      </c>
      <c r="M952">
        <f t="shared" si="44"/>
        <v>160</v>
      </c>
    </row>
    <row r="953" spans="1:15">
      <c r="A953" s="18" t="s">
        <v>2739</v>
      </c>
      <c r="B953" s="18">
        <v>3013777089</v>
      </c>
      <c r="C953" s="18">
        <v>860</v>
      </c>
      <c r="D953" s="18" t="s">
        <v>2740</v>
      </c>
      <c r="E953" s="18" t="s">
        <v>148</v>
      </c>
      <c r="F953" s="18" t="s">
        <v>24</v>
      </c>
      <c r="G953" s="18" t="s">
        <v>303</v>
      </c>
      <c r="H953" s="18" t="s">
        <v>15</v>
      </c>
      <c r="I953" s="18" t="s">
        <v>2217</v>
      </c>
      <c r="J953" s="18" t="s">
        <v>2738</v>
      </c>
      <c r="K953">
        <v>430</v>
      </c>
      <c r="L953" t="str">
        <f t="shared" si="45"/>
        <v>250</v>
      </c>
      <c r="M953">
        <f t="shared" si="44"/>
        <v>180</v>
      </c>
    </row>
    <row r="954" spans="1:15">
      <c r="A954" s="11" t="s">
        <v>2741</v>
      </c>
      <c r="B954" s="59">
        <v>3462910051</v>
      </c>
      <c r="C954" s="11">
        <v>2100</v>
      </c>
      <c r="D954" s="11" t="s">
        <v>2742</v>
      </c>
      <c r="E954" s="11" t="s">
        <v>50</v>
      </c>
      <c r="F954" s="11" t="s">
        <v>24</v>
      </c>
      <c r="G954" s="11" t="s">
        <v>2216</v>
      </c>
      <c r="H954" s="11" t="s">
        <v>15</v>
      </c>
      <c r="I954" s="11" t="s">
        <v>2284</v>
      </c>
      <c r="J954" s="11" t="s">
        <v>2738</v>
      </c>
      <c r="K954">
        <f>1470</f>
        <v>1470</v>
      </c>
      <c r="L954" t="str">
        <f t="shared" si="45"/>
        <v>150</v>
      </c>
      <c r="M954">
        <f t="shared" si="44"/>
        <v>480</v>
      </c>
    </row>
    <row r="955" spans="1:15">
      <c r="A955" s="18" t="s">
        <v>2745</v>
      </c>
      <c r="B955" s="18">
        <v>3006968598</v>
      </c>
      <c r="C955" s="18">
        <v>1110</v>
      </c>
      <c r="D955" s="18" t="s">
        <v>2746</v>
      </c>
      <c r="E955" s="18" t="s">
        <v>2290</v>
      </c>
      <c r="F955" s="18" t="s">
        <v>24</v>
      </c>
      <c r="G955" s="18" t="s">
        <v>353</v>
      </c>
      <c r="H955" s="18" t="s">
        <v>15</v>
      </c>
      <c r="I955" s="18" t="s">
        <v>2217</v>
      </c>
      <c r="J955" s="131">
        <v>42378</v>
      </c>
      <c r="K955">
        <f>600</f>
        <v>600</v>
      </c>
      <c r="L955" t="str">
        <f t="shared" si="45"/>
        <v>250</v>
      </c>
      <c r="M955">
        <f t="shared" si="44"/>
        <v>260</v>
      </c>
    </row>
    <row r="956" spans="1:15">
      <c r="A956" s="132" t="s">
        <v>2747</v>
      </c>
      <c r="B956" s="18">
        <v>3344186059</v>
      </c>
      <c r="C956" s="18">
        <v>900</v>
      </c>
      <c r="D956" s="18" t="s">
        <v>2748</v>
      </c>
      <c r="E956" s="18" t="s">
        <v>1497</v>
      </c>
      <c r="F956" s="18" t="s">
        <v>515</v>
      </c>
      <c r="G956" s="18" t="s">
        <v>2749</v>
      </c>
      <c r="H956" s="18" t="s">
        <v>15</v>
      </c>
      <c r="I956" s="18" t="s">
        <v>2217</v>
      </c>
      <c r="J956" s="131">
        <v>42378</v>
      </c>
      <c r="K956">
        <f>230*2</f>
        <v>460</v>
      </c>
      <c r="L956" t="str">
        <f t="shared" si="45"/>
        <v>250</v>
      </c>
      <c r="M956">
        <f t="shared" si="44"/>
        <v>190</v>
      </c>
    </row>
    <row r="957" spans="1:15">
      <c r="A957" s="18" t="s">
        <v>2751</v>
      </c>
      <c r="B957" s="18">
        <v>3075610178</v>
      </c>
      <c r="C957" s="18">
        <v>1100</v>
      </c>
      <c r="D957" s="18" t="s">
        <v>2750</v>
      </c>
      <c r="E957" s="18" t="s">
        <v>2752</v>
      </c>
      <c r="F957" s="18" t="s">
        <v>45</v>
      </c>
      <c r="G957" s="18" t="s">
        <v>348</v>
      </c>
      <c r="H957" s="18" t="s">
        <v>15</v>
      </c>
      <c r="I957" s="18" t="s">
        <v>2217</v>
      </c>
      <c r="J957" s="131">
        <v>42378</v>
      </c>
      <c r="K957">
        <f>(125*4)+120</f>
        <v>620</v>
      </c>
      <c r="L957" t="str">
        <f t="shared" si="45"/>
        <v>250</v>
      </c>
      <c r="M957">
        <f t="shared" si="44"/>
        <v>230</v>
      </c>
    </row>
    <row r="958" spans="1:15">
      <c r="A958" s="18" t="s">
        <v>2753</v>
      </c>
      <c r="B958" s="18">
        <v>3246431329</v>
      </c>
      <c r="C958" s="18">
        <v>1110</v>
      </c>
      <c r="D958" s="18" t="s">
        <v>2754</v>
      </c>
      <c r="E958" s="18" t="s">
        <v>2470</v>
      </c>
      <c r="F958" s="18" t="s">
        <v>515</v>
      </c>
      <c r="G958" s="18" t="s">
        <v>353</v>
      </c>
      <c r="H958" s="18" t="s">
        <v>15</v>
      </c>
      <c r="I958" s="18" t="s">
        <v>2217</v>
      </c>
      <c r="J958" s="131">
        <v>42378</v>
      </c>
      <c r="K958">
        <f>600</f>
        <v>600</v>
      </c>
      <c r="L958" t="str">
        <f t="shared" si="45"/>
        <v>250</v>
      </c>
      <c r="M958">
        <f t="shared" si="44"/>
        <v>260</v>
      </c>
    </row>
    <row r="959" spans="1:15">
      <c r="A959" s="18" t="s">
        <v>2755</v>
      </c>
      <c r="B959" s="18">
        <v>3233309667</v>
      </c>
      <c r="C959" s="18">
        <v>860</v>
      </c>
      <c r="D959" s="18" t="s">
        <v>2756</v>
      </c>
      <c r="E959" s="18" t="s">
        <v>347</v>
      </c>
      <c r="F959" s="18" t="s">
        <v>24</v>
      </c>
      <c r="G959" s="18" t="s">
        <v>303</v>
      </c>
      <c r="H959" s="18" t="s">
        <v>15</v>
      </c>
      <c r="I959" s="18" t="s">
        <v>2217</v>
      </c>
      <c r="J959" s="131">
        <v>42378</v>
      </c>
      <c r="K959">
        <f>430</f>
        <v>430</v>
      </c>
      <c r="L959" t="str">
        <f t="shared" si="45"/>
        <v>250</v>
      </c>
      <c r="M959">
        <f t="shared" si="44"/>
        <v>180</v>
      </c>
    </row>
    <row r="960" spans="1:15">
      <c r="A960" s="18" t="s">
        <v>2757</v>
      </c>
      <c r="B960" s="18">
        <v>3106272787</v>
      </c>
      <c r="C960" s="18">
        <v>580</v>
      </c>
      <c r="D960" s="18" t="s">
        <v>2758</v>
      </c>
      <c r="E960" s="18" t="s">
        <v>120</v>
      </c>
      <c r="F960" s="18" t="s">
        <v>24</v>
      </c>
      <c r="G960" s="18" t="s">
        <v>2759</v>
      </c>
      <c r="H960" s="18" t="s">
        <v>15</v>
      </c>
      <c r="I960" s="18" t="s">
        <v>2217</v>
      </c>
      <c r="J960" s="131">
        <v>42378</v>
      </c>
      <c r="K960">
        <f>150+30</f>
        <v>180</v>
      </c>
      <c r="L960" t="str">
        <f t="shared" si="45"/>
        <v>250</v>
      </c>
      <c r="M960">
        <f t="shared" si="44"/>
        <v>150</v>
      </c>
    </row>
    <row r="961" spans="1:13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L961" t="str">
        <f t="shared" si="45"/>
        <v>250</v>
      </c>
      <c r="M961">
        <f t="shared" si="44"/>
        <v>-250</v>
      </c>
    </row>
    <row r="962" spans="1:13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L962" t="str">
        <f t="shared" si="45"/>
        <v>250</v>
      </c>
      <c r="M962">
        <f t="shared" si="44"/>
        <v>-250</v>
      </c>
    </row>
    <row r="963" spans="1:13">
      <c r="L963" t="str">
        <f t="shared" si="45"/>
        <v>250</v>
      </c>
      <c r="M963">
        <f t="shared" si="44"/>
        <v>-250</v>
      </c>
    </row>
    <row r="964" spans="1:13">
      <c r="L964" t="str">
        <f t="shared" si="45"/>
        <v>250</v>
      </c>
      <c r="M964">
        <f t="shared" si="44"/>
        <v>-250</v>
      </c>
    </row>
    <row r="965" spans="1:13">
      <c r="L965" t="str">
        <f t="shared" si="45"/>
        <v>250</v>
      </c>
      <c r="M965">
        <f t="shared" si="44"/>
        <v>-250</v>
      </c>
    </row>
    <row r="966" spans="1:13">
      <c r="L966" t="str">
        <f t="shared" si="45"/>
        <v>250</v>
      </c>
      <c r="M966">
        <f t="shared" si="44"/>
        <v>-250</v>
      </c>
    </row>
    <row r="967" spans="1:13">
      <c r="L967" t="str">
        <f t="shared" si="45"/>
        <v>250</v>
      </c>
      <c r="M967">
        <f t="shared" si="44"/>
        <v>-250</v>
      </c>
    </row>
    <row r="968" spans="1:13">
      <c r="L968" t="str">
        <f t="shared" si="45"/>
        <v>250</v>
      </c>
      <c r="M968">
        <f t="shared" si="44"/>
        <v>-250</v>
      </c>
    </row>
    <row r="969" spans="1:13">
      <c r="L969" t="str">
        <f t="shared" si="45"/>
        <v>250</v>
      </c>
      <c r="M969">
        <f t="shared" ref="M969:M1032" si="46">C969-K969-L969</f>
        <v>-250</v>
      </c>
    </row>
    <row r="970" spans="1:13">
      <c r="L970" t="str">
        <f t="shared" si="45"/>
        <v>250</v>
      </c>
      <c r="M970">
        <f t="shared" si="46"/>
        <v>-250</v>
      </c>
    </row>
    <row r="971" spans="1:13">
      <c r="L971" t="str">
        <f t="shared" si="45"/>
        <v>250</v>
      </c>
      <c r="M971">
        <f t="shared" si="46"/>
        <v>-250</v>
      </c>
    </row>
    <row r="972" spans="1:13">
      <c r="L972" t="str">
        <f t="shared" si="45"/>
        <v>250</v>
      </c>
      <c r="M972">
        <f t="shared" si="46"/>
        <v>-250</v>
      </c>
    </row>
    <row r="973" spans="1:13">
      <c r="L973" t="str">
        <f t="shared" si="45"/>
        <v>250</v>
      </c>
      <c r="M973">
        <f t="shared" si="46"/>
        <v>-250</v>
      </c>
    </row>
    <row r="974" spans="1:13">
      <c r="L974" t="str">
        <f t="shared" si="45"/>
        <v>250</v>
      </c>
      <c r="M974">
        <f t="shared" si="46"/>
        <v>-250</v>
      </c>
    </row>
    <row r="975" spans="1:13">
      <c r="L975" t="str">
        <f t="shared" si="45"/>
        <v>250</v>
      </c>
      <c r="M975">
        <f t="shared" si="46"/>
        <v>-250</v>
      </c>
    </row>
    <row r="976" spans="1:13">
      <c r="L976" t="str">
        <f t="shared" si="45"/>
        <v>250</v>
      </c>
      <c r="M976">
        <f t="shared" si="46"/>
        <v>-250</v>
      </c>
    </row>
    <row r="977" spans="12:13">
      <c r="L977" t="str">
        <f t="shared" si="45"/>
        <v>250</v>
      </c>
      <c r="M977">
        <f t="shared" si="46"/>
        <v>-250</v>
      </c>
    </row>
    <row r="978" spans="12:13">
      <c r="L978" t="str">
        <f t="shared" si="45"/>
        <v>250</v>
      </c>
      <c r="M978">
        <f t="shared" si="46"/>
        <v>-250</v>
      </c>
    </row>
    <row r="979" spans="12:13">
      <c r="L979" t="str">
        <f t="shared" si="45"/>
        <v>250</v>
      </c>
      <c r="M979">
        <f t="shared" si="46"/>
        <v>-250</v>
      </c>
    </row>
    <row r="980" spans="12:13">
      <c r="L980" t="str">
        <f t="shared" si="45"/>
        <v>250</v>
      </c>
      <c r="M980">
        <f t="shared" si="46"/>
        <v>-250</v>
      </c>
    </row>
    <row r="981" spans="12:13">
      <c r="L981" t="str">
        <f t="shared" si="45"/>
        <v>250</v>
      </c>
      <c r="M981">
        <f t="shared" si="46"/>
        <v>-250</v>
      </c>
    </row>
    <row r="982" spans="12:13">
      <c r="L982" t="str">
        <f t="shared" si="45"/>
        <v>250</v>
      </c>
      <c r="M982">
        <f t="shared" si="46"/>
        <v>-250</v>
      </c>
    </row>
    <row r="983" spans="12:13">
      <c r="L983" t="str">
        <f t="shared" si="45"/>
        <v>250</v>
      </c>
      <c r="M983">
        <f t="shared" si="46"/>
        <v>-250</v>
      </c>
    </row>
    <row r="984" spans="12:13">
      <c r="L984" t="str">
        <f t="shared" si="45"/>
        <v>250</v>
      </c>
      <c r="M984">
        <f t="shared" si="46"/>
        <v>-250</v>
      </c>
    </row>
    <row r="985" spans="12:13">
      <c r="L985" t="str">
        <f t="shared" si="45"/>
        <v>250</v>
      </c>
      <c r="M985">
        <f t="shared" si="46"/>
        <v>-250</v>
      </c>
    </row>
    <row r="986" spans="12:13">
      <c r="L986" t="str">
        <f t="shared" si="45"/>
        <v>250</v>
      </c>
      <c r="M986">
        <f t="shared" si="46"/>
        <v>-250</v>
      </c>
    </row>
    <row r="987" spans="12:13">
      <c r="L987" t="str">
        <f t="shared" si="45"/>
        <v>250</v>
      </c>
      <c r="M987">
        <f t="shared" si="46"/>
        <v>-250</v>
      </c>
    </row>
    <row r="988" spans="12:13">
      <c r="L988" t="str">
        <f t="shared" si="45"/>
        <v>250</v>
      </c>
      <c r="M988">
        <f t="shared" si="46"/>
        <v>-250</v>
      </c>
    </row>
    <row r="989" spans="12:13">
      <c r="L989" t="str">
        <f t="shared" si="45"/>
        <v>250</v>
      </c>
      <c r="M989">
        <f t="shared" si="46"/>
        <v>-250</v>
      </c>
    </row>
    <row r="990" spans="12:13">
      <c r="L990" t="str">
        <f t="shared" si="45"/>
        <v>250</v>
      </c>
      <c r="M990">
        <f t="shared" si="46"/>
        <v>-250</v>
      </c>
    </row>
    <row r="991" spans="12:13">
      <c r="L991" t="str">
        <f t="shared" si="45"/>
        <v>250</v>
      </c>
      <c r="M991">
        <f t="shared" si="46"/>
        <v>-250</v>
      </c>
    </row>
    <row r="992" spans="12:13">
      <c r="L992" t="str">
        <f t="shared" si="45"/>
        <v>250</v>
      </c>
      <c r="M992">
        <f t="shared" si="46"/>
        <v>-250</v>
      </c>
    </row>
    <row r="993" spans="12:13">
      <c r="L993" t="str">
        <f t="shared" si="45"/>
        <v>250</v>
      </c>
      <c r="M993">
        <f t="shared" si="46"/>
        <v>-250</v>
      </c>
    </row>
    <row r="994" spans="12:13">
      <c r="L994" t="str">
        <f t="shared" si="45"/>
        <v>250</v>
      </c>
      <c r="M994">
        <f t="shared" si="46"/>
        <v>-250</v>
      </c>
    </row>
    <row r="995" spans="12:13">
      <c r="L995" t="str">
        <f t="shared" si="45"/>
        <v>250</v>
      </c>
      <c r="M995">
        <f t="shared" si="46"/>
        <v>-250</v>
      </c>
    </row>
    <row r="996" spans="12:13">
      <c r="L996" t="str">
        <f t="shared" si="45"/>
        <v>250</v>
      </c>
      <c r="M996">
        <f t="shared" si="46"/>
        <v>-250</v>
      </c>
    </row>
    <row r="997" spans="12:13">
      <c r="L997" t="str">
        <f t="shared" si="45"/>
        <v>250</v>
      </c>
      <c r="M997">
        <f t="shared" si="46"/>
        <v>-250</v>
      </c>
    </row>
    <row r="998" spans="12:13">
      <c r="L998" t="str">
        <f t="shared" si="45"/>
        <v>250</v>
      </c>
      <c r="M998">
        <f t="shared" si="46"/>
        <v>-250</v>
      </c>
    </row>
    <row r="999" spans="12:13">
      <c r="L999" t="str">
        <f t="shared" si="45"/>
        <v>250</v>
      </c>
      <c r="M999">
        <f t="shared" si="46"/>
        <v>-250</v>
      </c>
    </row>
    <row r="1000" spans="12:13">
      <c r="L1000" t="str">
        <f t="shared" si="45"/>
        <v>250</v>
      </c>
      <c r="M1000">
        <f t="shared" si="46"/>
        <v>-250</v>
      </c>
    </row>
    <row r="1001" spans="12:13">
      <c r="L1001" t="str">
        <f t="shared" si="45"/>
        <v>250</v>
      </c>
      <c r="M1001">
        <f t="shared" si="46"/>
        <v>-250</v>
      </c>
    </row>
    <row r="1002" spans="12:13">
      <c r="L1002" t="str">
        <f t="shared" ref="L1002:L1065" si="47">IF(E1002="karachi","150","250")</f>
        <v>250</v>
      </c>
      <c r="M1002">
        <f t="shared" si="46"/>
        <v>-250</v>
      </c>
    </row>
    <row r="1003" spans="12:13">
      <c r="L1003" t="str">
        <f t="shared" si="47"/>
        <v>250</v>
      </c>
      <c r="M1003">
        <f t="shared" si="46"/>
        <v>-250</v>
      </c>
    </row>
    <row r="1004" spans="12:13">
      <c r="L1004" t="str">
        <f t="shared" si="47"/>
        <v>250</v>
      </c>
      <c r="M1004">
        <f t="shared" si="46"/>
        <v>-250</v>
      </c>
    </row>
    <row r="1005" spans="12:13">
      <c r="L1005" t="str">
        <f t="shared" si="47"/>
        <v>250</v>
      </c>
      <c r="M1005">
        <f t="shared" si="46"/>
        <v>-250</v>
      </c>
    </row>
    <row r="1006" spans="12:13">
      <c r="L1006" t="str">
        <f t="shared" si="47"/>
        <v>250</v>
      </c>
      <c r="M1006">
        <f t="shared" si="46"/>
        <v>-250</v>
      </c>
    </row>
    <row r="1007" spans="12:13">
      <c r="L1007" t="str">
        <f t="shared" si="47"/>
        <v>250</v>
      </c>
      <c r="M1007">
        <f t="shared" si="46"/>
        <v>-250</v>
      </c>
    </row>
    <row r="1008" spans="12:13">
      <c r="L1008" t="str">
        <f t="shared" si="47"/>
        <v>250</v>
      </c>
      <c r="M1008">
        <f t="shared" si="46"/>
        <v>-250</v>
      </c>
    </row>
    <row r="1009" spans="12:13">
      <c r="L1009" t="str">
        <f t="shared" si="47"/>
        <v>250</v>
      </c>
      <c r="M1009">
        <f t="shared" si="46"/>
        <v>-250</v>
      </c>
    </row>
    <row r="1010" spans="12:13">
      <c r="L1010" t="str">
        <f t="shared" si="47"/>
        <v>250</v>
      </c>
      <c r="M1010">
        <f t="shared" si="46"/>
        <v>-250</v>
      </c>
    </row>
    <row r="1011" spans="12:13">
      <c r="L1011" t="str">
        <f t="shared" si="47"/>
        <v>250</v>
      </c>
      <c r="M1011">
        <f t="shared" si="46"/>
        <v>-250</v>
      </c>
    </row>
    <row r="1012" spans="12:13">
      <c r="L1012" t="str">
        <f t="shared" si="47"/>
        <v>250</v>
      </c>
      <c r="M1012">
        <f t="shared" si="46"/>
        <v>-250</v>
      </c>
    </row>
    <row r="1013" spans="12:13">
      <c r="L1013" t="str">
        <f t="shared" si="47"/>
        <v>250</v>
      </c>
      <c r="M1013">
        <f t="shared" si="46"/>
        <v>-250</v>
      </c>
    </row>
    <row r="1014" spans="12:13">
      <c r="L1014" t="str">
        <f t="shared" si="47"/>
        <v>250</v>
      </c>
      <c r="M1014">
        <f t="shared" si="46"/>
        <v>-250</v>
      </c>
    </row>
    <row r="1015" spans="12:13">
      <c r="L1015" t="str">
        <f t="shared" si="47"/>
        <v>250</v>
      </c>
      <c r="M1015">
        <f t="shared" si="46"/>
        <v>-250</v>
      </c>
    </row>
    <row r="1016" spans="12:13">
      <c r="L1016" t="str">
        <f t="shared" si="47"/>
        <v>250</v>
      </c>
      <c r="M1016">
        <f t="shared" si="46"/>
        <v>-250</v>
      </c>
    </row>
    <row r="1017" spans="12:13">
      <c r="L1017" t="str">
        <f t="shared" si="47"/>
        <v>250</v>
      </c>
      <c r="M1017">
        <f t="shared" si="46"/>
        <v>-250</v>
      </c>
    </row>
    <row r="1018" spans="12:13">
      <c r="L1018" t="str">
        <f t="shared" si="47"/>
        <v>250</v>
      </c>
      <c r="M1018">
        <f t="shared" si="46"/>
        <v>-250</v>
      </c>
    </row>
    <row r="1019" spans="12:13">
      <c r="L1019" t="str">
        <f t="shared" si="47"/>
        <v>250</v>
      </c>
      <c r="M1019">
        <f t="shared" si="46"/>
        <v>-250</v>
      </c>
    </row>
    <row r="1020" spans="12:13">
      <c r="L1020" t="str">
        <f t="shared" si="47"/>
        <v>250</v>
      </c>
      <c r="M1020">
        <f t="shared" si="46"/>
        <v>-250</v>
      </c>
    </row>
    <row r="1021" spans="12:13">
      <c r="L1021" t="str">
        <f t="shared" si="47"/>
        <v>250</v>
      </c>
      <c r="M1021">
        <f t="shared" si="46"/>
        <v>-250</v>
      </c>
    </row>
    <row r="1022" spans="12:13">
      <c r="L1022" t="str">
        <f t="shared" si="47"/>
        <v>250</v>
      </c>
      <c r="M1022">
        <f t="shared" si="46"/>
        <v>-250</v>
      </c>
    </row>
    <row r="1023" spans="12:13">
      <c r="L1023" t="str">
        <f t="shared" si="47"/>
        <v>250</v>
      </c>
      <c r="M1023">
        <f t="shared" si="46"/>
        <v>-250</v>
      </c>
    </row>
    <row r="1024" spans="12:13">
      <c r="L1024" t="str">
        <f t="shared" si="47"/>
        <v>250</v>
      </c>
      <c r="M1024">
        <f t="shared" si="46"/>
        <v>-250</v>
      </c>
    </row>
    <row r="1025" spans="12:13">
      <c r="L1025" t="str">
        <f t="shared" si="47"/>
        <v>250</v>
      </c>
      <c r="M1025">
        <f t="shared" si="46"/>
        <v>-250</v>
      </c>
    </row>
    <row r="1026" spans="12:13">
      <c r="L1026" t="str">
        <f t="shared" si="47"/>
        <v>250</v>
      </c>
      <c r="M1026">
        <f t="shared" si="46"/>
        <v>-250</v>
      </c>
    </row>
    <row r="1027" spans="12:13">
      <c r="L1027" t="str">
        <f t="shared" si="47"/>
        <v>250</v>
      </c>
      <c r="M1027">
        <f t="shared" si="46"/>
        <v>-250</v>
      </c>
    </row>
    <row r="1028" spans="12:13">
      <c r="L1028" t="str">
        <f t="shared" si="47"/>
        <v>250</v>
      </c>
      <c r="M1028">
        <f t="shared" si="46"/>
        <v>-250</v>
      </c>
    </row>
    <row r="1029" spans="12:13">
      <c r="L1029" t="str">
        <f t="shared" si="47"/>
        <v>250</v>
      </c>
      <c r="M1029">
        <f t="shared" si="46"/>
        <v>-250</v>
      </c>
    </row>
    <row r="1030" spans="12:13">
      <c r="L1030" t="str">
        <f t="shared" si="47"/>
        <v>250</v>
      </c>
      <c r="M1030">
        <f t="shared" si="46"/>
        <v>-250</v>
      </c>
    </row>
    <row r="1031" spans="12:13">
      <c r="L1031" t="str">
        <f t="shared" si="47"/>
        <v>250</v>
      </c>
      <c r="M1031">
        <f t="shared" si="46"/>
        <v>-250</v>
      </c>
    </row>
    <row r="1032" spans="12:13">
      <c r="L1032" t="str">
        <f t="shared" si="47"/>
        <v>250</v>
      </c>
      <c r="M1032">
        <f t="shared" si="46"/>
        <v>-250</v>
      </c>
    </row>
    <row r="1033" spans="12:13">
      <c r="L1033" t="str">
        <f t="shared" si="47"/>
        <v>250</v>
      </c>
      <c r="M1033">
        <f t="shared" ref="M1033:M1076" si="48">C1033-K1033-L1033</f>
        <v>-250</v>
      </c>
    </row>
    <row r="1034" spans="12:13">
      <c r="L1034" t="str">
        <f t="shared" si="47"/>
        <v>250</v>
      </c>
      <c r="M1034">
        <f t="shared" si="48"/>
        <v>-250</v>
      </c>
    </row>
    <row r="1035" spans="12:13">
      <c r="L1035" t="str">
        <f t="shared" si="47"/>
        <v>250</v>
      </c>
      <c r="M1035">
        <f t="shared" si="48"/>
        <v>-250</v>
      </c>
    </row>
    <row r="1036" spans="12:13">
      <c r="L1036" t="str">
        <f t="shared" si="47"/>
        <v>250</v>
      </c>
      <c r="M1036">
        <f t="shared" si="48"/>
        <v>-250</v>
      </c>
    </row>
    <row r="1037" spans="12:13">
      <c r="L1037" t="str">
        <f t="shared" si="47"/>
        <v>250</v>
      </c>
      <c r="M1037">
        <f t="shared" si="48"/>
        <v>-250</v>
      </c>
    </row>
    <row r="1038" spans="12:13">
      <c r="L1038" t="str">
        <f t="shared" si="47"/>
        <v>250</v>
      </c>
      <c r="M1038">
        <f t="shared" si="48"/>
        <v>-250</v>
      </c>
    </row>
    <row r="1039" spans="12:13">
      <c r="L1039" t="str">
        <f t="shared" si="47"/>
        <v>250</v>
      </c>
      <c r="M1039">
        <f t="shared" si="48"/>
        <v>-250</v>
      </c>
    </row>
    <row r="1040" spans="12:13">
      <c r="L1040" t="str">
        <f t="shared" si="47"/>
        <v>250</v>
      </c>
      <c r="M1040">
        <f t="shared" si="48"/>
        <v>-250</v>
      </c>
    </row>
    <row r="1041" spans="12:13">
      <c r="L1041" t="str">
        <f t="shared" si="47"/>
        <v>250</v>
      </c>
      <c r="M1041">
        <f t="shared" si="48"/>
        <v>-250</v>
      </c>
    </row>
    <row r="1042" spans="12:13">
      <c r="L1042" t="str">
        <f t="shared" si="47"/>
        <v>250</v>
      </c>
      <c r="M1042">
        <f t="shared" si="48"/>
        <v>-250</v>
      </c>
    </row>
    <row r="1043" spans="12:13">
      <c r="L1043" t="str">
        <f t="shared" si="47"/>
        <v>250</v>
      </c>
      <c r="M1043">
        <f t="shared" si="48"/>
        <v>-250</v>
      </c>
    </row>
    <row r="1044" spans="12:13">
      <c r="L1044" t="str">
        <f t="shared" si="47"/>
        <v>250</v>
      </c>
      <c r="M1044">
        <f t="shared" si="48"/>
        <v>-250</v>
      </c>
    </row>
    <row r="1045" spans="12:13">
      <c r="L1045" t="str">
        <f t="shared" si="47"/>
        <v>250</v>
      </c>
      <c r="M1045">
        <f t="shared" si="48"/>
        <v>-250</v>
      </c>
    </row>
    <row r="1046" spans="12:13">
      <c r="L1046" t="str">
        <f t="shared" si="47"/>
        <v>250</v>
      </c>
      <c r="M1046">
        <f t="shared" si="48"/>
        <v>-250</v>
      </c>
    </row>
    <row r="1047" spans="12:13">
      <c r="L1047" t="str">
        <f t="shared" si="47"/>
        <v>250</v>
      </c>
      <c r="M1047">
        <f t="shared" si="48"/>
        <v>-250</v>
      </c>
    </row>
    <row r="1048" spans="12:13">
      <c r="L1048" t="str">
        <f t="shared" si="47"/>
        <v>250</v>
      </c>
      <c r="M1048">
        <f t="shared" si="48"/>
        <v>-250</v>
      </c>
    </row>
    <row r="1049" spans="12:13">
      <c r="L1049" t="str">
        <f t="shared" si="47"/>
        <v>250</v>
      </c>
      <c r="M1049">
        <f t="shared" si="48"/>
        <v>-250</v>
      </c>
    </row>
    <row r="1050" spans="12:13">
      <c r="L1050" t="str">
        <f t="shared" si="47"/>
        <v>250</v>
      </c>
      <c r="M1050">
        <f t="shared" si="48"/>
        <v>-250</v>
      </c>
    </row>
    <row r="1051" spans="12:13">
      <c r="L1051" t="str">
        <f t="shared" si="47"/>
        <v>250</v>
      </c>
      <c r="M1051">
        <f t="shared" si="48"/>
        <v>-250</v>
      </c>
    </row>
    <row r="1052" spans="12:13">
      <c r="L1052" t="str">
        <f t="shared" si="47"/>
        <v>250</v>
      </c>
      <c r="M1052">
        <f t="shared" si="48"/>
        <v>-250</v>
      </c>
    </row>
    <row r="1053" spans="12:13">
      <c r="L1053" t="str">
        <f t="shared" si="47"/>
        <v>250</v>
      </c>
      <c r="M1053">
        <f t="shared" si="48"/>
        <v>-250</v>
      </c>
    </row>
    <row r="1054" spans="12:13">
      <c r="L1054" t="str">
        <f t="shared" si="47"/>
        <v>250</v>
      </c>
      <c r="M1054">
        <f t="shared" si="48"/>
        <v>-250</v>
      </c>
    </row>
    <row r="1055" spans="12:13">
      <c r="L1055" t="str">
        <f t="shared" si="47"/>
        <v>250</v>
      </c>
      <c r="M1055">
        <f t="shared" si="48"/>
        <v>-250</v>
      </c>
    </row>
    <row r="1056" spans="12:13">
      <c r="L1056" t="str">
        <f t="shared" si="47"/>
        <v>250</v>
      </c>
      <c r="M1056">
        <f t="shared" si="48"/>
        <v>-250</v>
      </c>
    </row>
    <row r="1057" spans="12:13">
      <c r="L1057" t="str">
        <f t="shared" si="47"/>
        <v>250</v>
      </c>
      <c r="M1057">
        <f t="shared" si="48"/>
        <v>-250</v>
      </c>
    </row>
    <row r="1058" spans="12:13">
      <c r="L1058" t="str">
        <f t="shared" si="47"/>
        <v>250</v>
      </c>
      <c r="M1058">
        <f t="shared" si="48"/>
        <v>-250</v>
      </c>
    </row>
    <row r="1059" spans="12:13">
      <c r="L1059" t="str">
        <f t="shared" si="47"/>
        <v>250</v>
      </c>
      <c r="M1059">
        <f t="shared" si="48"/>
        <v>-250</v>
      </c>
    </row>
    <row r="1060" spans="12:13">
      <c r="L1060" t="str">
        <f t="shared" si="47"/>
        <v>250</v>
      </c>
      <c r="M1060">
        <f t="shared" si="48"/>
        <v>-250</v>
      </c>
    </row>
    <row r="1061" spans="12:13">
      <c r="L1061" t="str">
        <f t="shared" si="47"/>
        <v>250</v>
      </c>
      <c r="M1061">
        <f t="shared" si="48"/>
        <v>-250</v>
      </c>
    </row>
    <row r="1062" spans="12:13">
      <c r="L1062" t="str">
        <f t="shared" si="47"/>
        <v>250</v>
      </c>
      <c r="M1062">
        <f t="shared" si="48"/>
        <v>-250</v>
      </c>
    </row>
    <row r="1063" spans="12:13">
      <c r="L1063" t="str">
        <f t="shared" si="47"/>
        <v>250</v>
      </c>
      <c r="M1063">
        <f t="shared" si="48"/>
        <v>-250</v>
      </c>
    </row>
    <row r="1064" spans="12:13">
      <c r="L1064" t="str">
        <f t="shared" si="47"/>
        <v>250</v>
      </c>
      <c r="M1064">
        <f t="shared" si="48"/>
        <v>-250</v>
      </c>
    </row>
    <row r="1065" spans="12:13">
      <c r="L1065" t="str">
        <f t="shared" si="47"/>
        <v>250</v>
      </c>
      <c r="M1065">
        <f t="shared" si="48"/>
        <v>-250</v>
      </c>
    </row>
    <row r="1066" spans="12:13">
      <c r="L1066" t="str">
        <f t="shared" ref="L1066:L1086" si="49">IF(E1066="karachi","150","250")</f>
        <v>250</v>
      </c>
      <c r="M1066">
        <f t="shared" si="48"/>
        <v>-250</v>
      </c>
    </row>
    <row r="1067" spans="12:13">
      <c r="L1067" t="str">
        <f t="shared" si="49"/>
        <v>250</v>
      </c>
      <c r="M1067">
        <f t="shared" si="48"/>
        <v>-250</v>
      </c>
    </row>
    <row r="1068" spans="12:13">
      <c r="L1068" t="str">
        <f t="shared" si="49"/>
        <v>250</v>
      </c>
      <c r="M1068">
        <f t="shared" si="48"/>
        <v>-250</v>
      </c>
    </row>
    <row r="1069" spans="12:13">
      <c r="L1069" t="str">
        <f t="shared" si="49"/>
        <v>250</v>
      </c>
      <c r="M1069">
        <f t="shared" si="48"/>
        <v>-250</v>
      </c>
    </row>
    <row r="1070" spans="12:13">
      <c r="L1070" t="str">
        <f t="shared" si="49"/>
        <v>250</v>
      </c>
      <c r="M1070">
        <f t="shared" si="48"/>
        <v>-250</v>
      </c>
    </row>
    <row r="1071" spans="12:13">
      <c r="L1071" t="str">
        <f t="shared" si="49"/>
        <v>250</v>
      </c>
      <c r="M1071">
        <f t="shared" si="48"/>
        <v>-250</v>
      </c>
    </row>
    <row r="1072" spans="12:13">
      <c r="L1072" t="str">
        <f t="shared" si="49"/>
        <v>250</v>
      </c>
      <c r="M1072">
        <f t="shared" si="48"/>
        <v>-250</v>
      </c>
    </row>
    <row r="1073" spans="12:13">
      <c r="L1073" t="str">
        <f t="shared" si="49"/>
        <v>250</v>
      </c>
      <c r="M1073">
        <f t="shared" si="48"/>
        <v>-250</v>
      </c>
    </row>
    <row r="1074" spans="12:13">
      <c r="L1074" t="str">
        <f t="shared" si="49"/>
        <v>250</v>
      </c>
      <c r="M1074">
        <f t="shared" si="48"/>
        <v>-250</v>
      </c>
    </row>
    <row r="1075" spans="12:13">
      <c r="L1075" t="str">
        <f t="shared" si="49"/>
        <v>250</v>
      </c>
      <c r="M1075">
        <f t="shared" si="48"/>
        <v>-250</v>
      </c>
    </row>
    <row r="1076" spans="12:13">
      <c r="L1076" t="str">
        <f t="shared" si="49"/>
        <v>250</v>
      </c>
      <c r="M1076">
        <f t="shared" si="48"/>
        <v>-250</v>
      </c>
    </row>
    <row r="1077" spans="12:13">
      <c r="L1077" t="str">
        <f t="shared" si="49"/>
        <v>250</v>
      </c>
    </row>
    <row r="1078" spans="12:13">
      <c r="L1078" t="str">
        <f t="shared" si="49"/>
        <v>250</v>
      </c>
    </row>
    <row r="1079" spans="12:13">
      <c r="L1079" t="str">
        <f t="shared" si="49"/>
        <v>250</v>
      </c>
    </row>
    <row r="1080" spans="12:13">
      <c r="L1080" t="str">
        <f t="shared" si="49"/>
        <v>250</v>
      </c>
    </row>
    <row r="1081" spans="12:13">
      <c r="L1081" t="str">
        <f t="shared" si="49"/>
        <v>250</v>
      </c>
    </row>
    <row r="1082" spans="12:13">
      <c r="L1082" t="str">
        <f t="shared" si="49"/>
        <v>250</v>
      </c>
    </row>
    <row r="1083" spans="12:13">
      <c r="L1083" t="str">
        <f t="shared" si="49"/>
        <v>250</v>
      </c>
    </row>
    <row r="1084" spans="12:13">
      <c r="L1084" t="str">
        <f t="shared" si="49"/>
        <v>250</v>
      </c>
    </row>
    <row r="1085" spans="12:13">
      <c r="L1085" t="str">
        <f t="shared" si="49"/>
        <v>250</v>
      </c>
    </row>
    <row r="1086" spans="12:13">
      <c r="L1086" t="str">
        <f t="shared" si="49"/>
        <v>250</v>
      </c>
    </row>
  </sheetData>
  <autoFilter ref="A1:L866"/>
  <mergeCells count="2">
    <mergeCell ref="A518:L518"/>
    <mergeCell ref="A839:O839"/>
  </mergeCells>
  <hyperlinks>
    <hyperlink ref="F106" r:id="rId1" display="https://www.kaymu.pk/casio-edifice-tachymeter-blue-dial-watch-854097.html"/>
    <hyperlink ref="G106" r:id="rId2" display="https://www.kaymu.pk/casio-edifice-tachymeter-blue-dial-watch-854097.html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150"/>
  <sheetViews>
    <sheetView tabSelected="1" topLeftCell="A22" workbookViewId="0">
      <selection activeCell="G38" sqref="G38"/>
    </sheetView>
  </sheetViews>
  <sheetFormatPr defaultRowHeight="15"/>
  <cols>
    <col min="1" max="1" width="9.7109375" bestFit="1" customWidth="1"/>
    <col min="2" max="3" width="9.7109375" style="17" customWidth="1"/>
    <col min="4" max="4" width="18.42578125" customWidth="1"/>
    <col min="5" max="5" width="53" bestFit="1" customWidth="1"/>
    <col min="6" max="6" width="11.140625" bestFit="1" customWidth="1"/>
    <col min="7" max="7" width="38.28515625" bestFit="1" customWidth="1"/>
    <col min="8" max="8" width="13.42578125" style="55" customWidth="1"/>
    <col min="9" max="9" width="9.7109375" bestFit="1" customWidth="1"/>
    <col min="10" max="10" width="21.5703125" bestFit="1" customWidth="1"/>
    <col min="11" max="11" width="25.28515625" bestFit="1" customWidth="1"/>
    <col min="12" max="12" width="26" bestFit="1" customWidth="1"/>
    <col min="14" max="14" width="14.42578125" bestFit="1" customWidth="1"/>
    <col min="15" max="15" width="9.140625" style="93"/>
    <col min="16" max="16" width="37.42578125" style="74" bestFit="1" customWidth="1"/>
    <col min="17" max="17" width="15.42578125" bestFit="1" customWidth="1"/>
    <col min="18" max="18" width="9.7109375" bestFit="1" customWidth="1"/>
    <col min="28" max="28" width="9.7109375" style="74" bestFit="1" customWidth="1"/>
    <col min="29" max="29" width="65.140625" style="74" bestFit="1" customWidth="1"/>
    <col min="30" max="32" width="9.140625" style="74"/>
    <col min="35" max="35" width="9.7109375" style="74" bestFit="1" customWidth="1"/>
    <col min="36" max="36" width="35.5703125" style="74" bestFit="1" customWidth="1"/>
    <col min="37" max="40" width="9.140625" style="74"/>
    <col min="43" max="43" width="9.140625" style="74"/>
    <col min="44" max="44" width="34.28515625" style="74" bestFit="1" customWidth="1"/>
    <col min="45" max="45" width="9.140625" style="74"/>
    <col min="46" max="46" width="11.28515625" style="74" bestFit="1" customWidth="1"/>
    <col min="47" max="49" width="9.140625" style="74"/>
    <col min="54" max="54" width="34.28515625" bestFit="1" customWidth="1"/>
  </cols>
  <sheetData>
    <row r="1" spans="1:59">
      <c r="A1" s="135" t="s">
        <v>2230</v>
      </c>
      <c r="B1" s="136"/>
      <c r="C1" s="136"/>
      <c r="D1" s="136"/>
      <c r="E1" s="136"/>
      <c r="F1" s="136"/>
      <c r="G1" s="136"/>
      <c r="H1" s="90"/>
      <c r="I1" s="138" t="s">
        <v>2231</v>
      </c>
      <c r="J1" s="138"/>
      <c r="K1" s="138"/>
      <c r="L1" s="138"/>
      <c r="M1" s="138"/>
      <c r="N1" s="138"/>
      <c r="O1" s="138"/>
      <c r="AB1" s="141" t="s">
        <v>2325</v>
      </c>
      <c r="AC1" s="142"/>
      <c r="AD1" s="142"/>
      <c r="AE1" s="142"/>
      <c r="AF1" s="143"/>
      <c r="AI1" s="150" t="s">
        <v>2353</v>
      </c>
      <c r="AJ1" s="151"/>
      <c r="AK1" s="151"/>
      <c r="AL1" s="151"/>
      <c r="AM1" s="151"/>
      <c r="AN1" s="152"/>
      <c r="BA1" s="162" t="s">
        <v>2503</v>
      </c>
      <c r="BB1" s="163"/>
      <c r="BC1" s="163"/>
      <c r="BD1" s="163"/>
      <c r="BE1" s="163"/>
      <c r="BF1" s="163"/>
      <c r="BG1" s="164"/>
    </row>
    <row r="2" spans="1:59">
      <c r="A2" s="137"/>
      <c r="B2" s="138"/>
      <c r="C2" s="138"/>
      <c r="D2" s="138"/>
      <c r="E2" s="138"/>
      <c r="F2" s="138"/>
      <c r="G2" s="138"/>
      <c r="H2" s="91"/>
      <c r="I2" s="138"/>
      <c r="J2" s="138"/>
      <c r="K2" s="138"/>
      <c r="L2" s="138"/>
      <c r="M2" s="138"/>
      <c r="N2" s="138"/>
      <c r="O2" s="138"/>
      <c r="AB2" s="144"/>
      <c r="AC2" s="145"/>
      <c r="AD2" s="145"/>
      <c r="AE2" s="145"/>
      <c r="AF2" s="146"/>
      <c r="AI2" s="153"/>
      <c r="AJ2" s="154"/>
      <c r="AK2" s="154"/>
      <c r="AL2" s="154"/>
      <c r="AM2" s="154"/>
      <c r="AN2" s="155"/>
      <c r="AQ2" s="162" t="s">
        <v>2498</v>
      </c>
      <c r="AR2" s="163"/>
      <c r="AS2" s="163"/>
      <c r="AT2" s="163"/>
      <c r="AU2" s="163"/>
      <c r="AV2" s="163"/>
      <c r="AW2" s="164"/>
      <c r="BA2" s="165"/>
      <c r="BB2" s="166"/>
      <c r="BC2" s="166"/>
      <c r="BD2" s="166"/>
      <c r="BE2" s="166"/>
      <c r="BF2" s="166"/>
      <c r="BG2" s="167"/>
    </row>
    <row r="3" spans="1:59">
      <c r="A3" s="137"/>
      <c r="B3" s="138"/>
      <c r="C3" s="138"/>
      <c r="D3" s="138"/>
      <c r="E3" s="138"/>
      <c r="F3" s="138"/>
      <c r="G3" s="138"/>
      <c r="H3" s="91"/>
      <c r="I3" s="138"/>
      <c r="J3" s="138"/>
      <c r="K3" s="138"/>
      <c r="L3" s="138"/>
      <c r="M3" s="138"/>
      <c r="N3" s="138"/>
      <c r="O3" s="138"/>
      <c r="R3" t="s">
        <v>2299</v>
      </c>
      <c r="AB3" s="147"/>
      <c r="AC3" s="148"/>
      <c r="AD3" s="148"/>
      <c r="AE3" s="148"/>
      <c r="AF3" s="149"/>
      <c r="AI3" s="156"/>
      <c r="AJ3" s="157"/>
      <c r="AK3" s="157"/>
      <c r="AL3" s="157"/>
      <c r="AM3" s="157"/>
      <c r="AN3" s="158"/>
      <c r="AQ3" s="165"/>
      <c r="AR3" s="166"/>
      <c r="AS3" s="166"/>
      <c r="AT3" s="166"/>
      <c r="AU3" s="166"/>
      <c r="AV3" s="166"/>
      <c r="AW3" s="167"/>
      <c r="BA3" s="74" t="s">
        <v>9</v>
      </c>
      <c r="BB3" s="74" t="s">
        <v>2156</v>
      </c>
      <c r="BC3" s="74" t="s">
        <v>2324</v>
      </c>
      <c r="BD3" s="74" t="s">
        <v>2499</v>
      </c>
      <c r="BE3" s="74" t="s">
        <v>1759</v>
      </c>
      <c r="BF3" s="74"/>
      <c r="BG3" s="74"/>
    </row>
    <row r="4" spans="1:59">
      <c r="A4" s="139"/>
      <c r="B4" s="140"/>
      <c r="C4" s="140"/>
      <c r="D4" s="140"/>
      <c r="E4" s="140"/>
      <c r="F4" s="140"/>
      <c r="G4" s="140"/>
      <c r="H4" s="92"/>
      <c r="I4" s="138"/>
      <c r="J4" s="138"/>
      <c r="K4" s="138"/>
      <c r="L4" s="138"/>
      <c r="M4" s="138"/>
      <c r="N4" s="138"/>
      <c r="O4" s="138"/>
      <c r="AB4" s="74" t="s">
        <v>9</v>
      </c>
      <c r="AC4" s="74" t="s">
        <v>2322</v>
      </c>
      <c r="AD4" s="74" t="s">
        <v>2336</v>
      </c>
      <c r="AE4" s="99" t="s">
        <v>2337</v>
      </c>
      <c r="AF4" s="99" t="s">
        <v>2324</v>
      </c>
      <c r="AI4" s="74" t="s">
        <v>9</v>
      </c>
      <c r="AJ4" s="74" t="s">
        <v>2322</v>
      </c>
      <c r="AK4" s="74" t="s">
        <v>2316</v>
      </c>
      <c r="AL4" s="74" t="s">
        <v>2238</v>
      </c>
      <c r="AM4" s="74" t="s">
        <v>2324</v>
      </c>
      <c r="AQ4" s="74" t="s">
        <v>9</v>
      </c>
      <c r="AR4" s="74" t="s">
        <v>2156</v>
      </c>
      <c r="AS4" s="74" t="s">
        <v>2324</v>
      </c>
      <c r="AT4" s="74" t="s">
        <v>2499</v>
      </c>
      <c r="AU4" s="74" t="s">
        <v>1759</v>
      </c>
      <c r="BA4" s="74" t="s">
        <v>2500</v>
      </c>
      <c r="BB4" s="74"/>
      <c r="BC4" s="74"/>
      <c r="BD4" s="74">
        <v>8330</v>
      </c>
      <c r="BE4" s="74"/>
      <c r="BF4" s="74"/>
      <c r="BG4" s="74"/>
    </row>
    <row r="5" spans="1:59">
      <c r="A5" s="79" t="s">
        <v>9</v>
      </c>
      <c r="B5" s="96" t="s">
        <v>2221</v>
      </c>
      <c r="C5" s="104" t="s">
        <v>2238</v>
      </c>
      <c r="D5" s="79" t="s">
        <v>31</v>
      </c>
      <c r="E5" s="79" t="s">
        <v>2156</v>
      </c>
      <c r="F5" s="80" t="s">
        <v>1759</v>
      </c>
      <c r="G5" s="80" t="s">
        <v>8</v>
      </c>
      <c r="H5" s="88"/>
      <c r="I5" s="74" t="s">
        <v>9</v>
      </c>
      <c r="J5" s="74" t="s">
        <v>1079</v>
      </c>
      <c r="K5" t="s">
        <v>2226</v>
      </c>
      <c r="L5" s="74" t="s">
        <v>2227</v>
      </c>
      <c r="M5" s="74" t="s">
        <v>2223</v>
      </c>
      <c r="N5" s="93" t="s">
        <v>2156</v>
      </c>
      <c r="O5" s="94" t="s">
        <v>2228</v>
      </c>
      <c r="P5" s="74" t="s">
        <v>2281</v>
      </c>
      <c r="R5" s="38">
        <v>42681</v>
      </c>
      <c r="S5">
        <v>2200</v>
      </c>
      <c r="T5" t="s">
        <v>2241</v>
      </c>
      <c r="V5" t="s">
        <v>2244</v>
      </c>
      <c r="AC5" s="74" t="s">
        <v>2326</v>
      </c>
      <c r="AD5" s="74">
        <f>9900+486</f>
        <v>10386</v>
      </c>
      <c r="AF5" s="74">
        <f>AD5</f>
        <v>10386</v>
      </c>
      <c r="AI5" s="74" t="s">
        <v>2354</v>
      </c>
      <c r="AJ5" s="74" t="s">
        <v>2361</v>
      </c>
      <c r="AK5" s="74">
        <v>50</v>
      </c>
      <c r="AL5" s="74">
        <f>300+170+60+70</f>
        <v>600</v>
      </c>
      <c r="AM5" s="74">
        <f t="shared" ref="AM5:AM36" si="0">AK5+AL5</f>
        <v>650</v>
      </c>
      <c r="AQ5" s="74" t="s">
        <v>2500</v>
      </c>
      <c r="AT5" s="74">
        <v>1065</v>
      </c>
      <c r="BA5" s="74" t="s">
        <v>2501</v>
      </c>
      <c r="BB5" s="74"/>
      <c r="BC5" s="74"/>
      <c r="BD5" s="74"/>
      <c r="BE5" s="74">
        <f>BD4+BC5</f>
        <v>8330</v>
      </c>
      <c r="BF5" s="74"/>
      <c r="BG5" s="74"/>
    </row>
    <row r="6" spans="1:59">
      <c r="A6" s="107">
        <v>42681</v>
      </c>
      <c r="B6" s="102">
        <v>2950</v>
      </c>
      <c r="C6" s="105">
        <v>0</v>
      </c>
      <c r="D6" s="99">
        <v>0</v>
      </c>
      <c r="E6" s="99" t="s">
        <v>2222</v>
      </c>
      <c r="F6" s="103">
        <v>2950</v>
      </c>
      <c r="G6" s="103" t="s">
        <v>2240</v>
      </c>
      <c r="H6" s="88"/>
      <c r="I6" s="86">
        <v>42681</v>
      </c>
      <c r="J6">
        <f>2159*0.15</f>
        <v>323.84999999999997</v>
      </c>
      <c r="K6" s="74">
        <v>50</v>
      </c>
      <c r="L6" s="74">
        <v>0</v>
      </c>
      <c r="M6" s="87">
        <v>451.15</v>
      </c>
      <c r="N6" s="93" t="s">
        <v>2232</v>
      </c>
      <c r="O6" s="93" t="s">
        <v>2229</v>
      </c>
      <c r="P6" s="74">
        <f>80+60+50+80+50+100+100+70+60</f>
        <v>650</v>
      </c>
      <c r="Q6" t="s">
        <v>2282</v>
      </c>
      <c r="R6" s="38">
        <v>42711</v>
      </c>
      <c r="S6">
        <f>560+80+130</f>
        <v>770</v>
      </c>
      <c r="T6" t="s">
        <v>2242</v>
      </c>
      <c r="V6" t="s">
        <v>2245</v>
      </c>
      <c r="AB6" s="74" t="s">
        <v>2276</v>
      </c>
      <c r="AC6" s="74" t="s">
        <v>2327</v>
      </c>
      <c r="AE6" s="74">
        <v>9900</v>
      </c>
      <c r="AF6" s="74">
        <f>AF5-AE6</f>
        <v>486</v>
      </c>
      <c r="AI6" s="74" t="s">
        <v>2363</v>
      </c>
      <c r="AJ6" s="74" t="s">
        <v>2371</v>
      </c>
      <c r="AK6" s="74">
        <v>50</v>
      </c>
      <c r="AL6" s="74">
        <v>50</v>
      </c>
      <c r="AM6" s="74">
        <f t="shared" si="0"/>
        <v>100</v>
      </c>
      <c r="AQ6" s="74" t="s">
        <v>2501</v>
      </c>
      <c r="AR6" s="74" t="s">
        <v>2502</v>
      </c>
      <c r="AU6" s="74">
        <f>AT5+D23</f>
        <v>2625</v>
      </c>
      <c r="BA6" s="74"/>
      <c r="BB6" s="74"/>
      <c r="BC6" s="74"/>
      <c r="BD6" s="74"/>
      <c r="BE6" s="74"/>
      <c r="BF6" s="74"/>
      <c r="BG6" s="74"/>
    </row>
    <row r="7" spans="1:59" ht="15.75" thickBot="1">
      <c r="A7" s="107">
        <v>42711</v>
      </c>
      <c r="B7" s="102">
        <f>(400+50+1450)</f>
        <v>1900</v>
      </c>
      <c r="C7" s="105">
        <v>0</v>
      </c>
      <c r="D7" s="99">
        <v>650</v>
      </c>
      <c r="E7" s="99" t="s">
        <v>2237</v>
      </c>
      <c r="F7" s="103">
        <f>B7+D7</f>
        <v>2550</v>
      </c>
      <c r="G7" s="103" t="s">
        <v>2240</v>
      </c>
      <c r="H7" s="89"/>
      <c r="I7" s="86">
        <v>42711</v>
      </c>
      <c r="J7">
        <f>2159*0.15</f>
        <v>323.84999999999997</v>
      </c>
      <c r="K7" s="74">
        <v>60</v>
      </c>
      <c r="L7" s="74">
        <v>0</v>
      </c>
      <c r="M7" s="74">
        <v>431.15</v>
      </c>
      <c r="N7" s="93" t="s">
        <v>2232</v>
      </c>
      <c r="O7" s="93" t="s">
        <v>2229</v>
      </c>
      <c r="P7" s="74">
        <v>2000</v>
      </c>
      <c r="Q7" t="s">
        <v>2283</v>
      </c>
      <c r="R7" s="38">
        <v>42711</v>
      </c>
      <c r="S7" s="98">
        <f>S5-S6</f>
        <v>1430</v>
      </c>
      <c r="T7" t="s">
        <v>2243</v>
      </c>
      <c r="AB7" s="74" t="s">
        <v>2313</v>
      </c>
      <c r="AC7" s="74" t="s">
        <v>2323</v>
      </c>
      <c r="AD7" s="74">
        <f>712+1617</f>
        <v>2329</v>
      </c>
      <c r="AI7" s="74" t="s">
        <v>2381</v>
      </c>
      <c r="AJ7" s="74" t="s">
        <v>2316</v>
      </c>
      <c r="AK7" s="74">
        <v>60</v>
      </c>
      <c r="AM7" s="74">
        <f t="shared" si="0"/>
        <v>60</v>
      </c>
      <c r="BA7" s="74"/>
      <c r="BB7" s="74"/>
      <c r="BC7" s="74"/>
      <c r="BD7" s="74"/>
      <c r="BE7" s="74"/>
      <c r="BF7" s="74"/>
      <c r="BG7" s="74"/>
    </row>
    <row r="8" spans="1:59" ht="15.75" thickTop="1">
      <c r="A8" s="107">
        <v>42711</v>
      </c>
      <c r="B8" s="102">
        <v>0</v>
      </c>
      <c r="C8" s="105">
        <v>560</v>
      </c>
      <c r="D8" s="74">
        <v>0</v>
      </c>
      <c r="E8" s="99" t="s">
        <v>2239</v>
      </c>
      <c r="F8" s="103">
        <v>560</v>
      </c>
      <c r="G8" s="81" t="s">
        <v>2240</v>
      </c>
      <c r="H8" s="89"/>
      <c r="I8" s="74" t="s">
        <v>2249</v>
      </c>
      <c r="J8" s="74">
        <v>0</v>
      </c>
      <c r="K8" s="74">
        <v>0</v>
      </c>
      <c r="L8" s="74">
        <v>0</v>
      </c>
      <c r="M8" s="74">
        <v>300</v>
      </c>
      <c r="N8" s="93" t="s">
        <v>2250</v>
      </c>
      <c r="O8" s="93" t="s">
        <v>2229</v>
      </c>
      <c r="P8" s="74">
        <f>(10*50)+(15*50)</f>
        <v>1250</v>
      </c>
      <c r="Q8" t="s">
        <v>2296</v>
      </c>
      <c r="R8" s="38">
        <v>42711</v>
      </c>
      <c r="S8">
        <v>60</v>
      </c>
      <c r="T8" t="s">
        <v>2248</v>
      </c>
      <c r="AB8" s="109" t="s">
        <v>2313</v>
      </c>
      <c r="AC8" s="109" t="s">
        <v>2328</v>
      </c>
      <c r="AD8" s="109"/>
      <c r="AF8" s="109">
        <f>AF6+AD7</f>
        <v>2815</v>
      </c>
      <c r="AI8" s="107">
        <v>42377</v>
      </c>
      <c r="AJ8" s="99" t="s">
        <v>2316</v>
      </c>
      <c r="AK8" s="99">
        <v>90</v>
      </c>
      <c r="AL8" s="99"/>
      <c r="AM8" s="74">
        <f t="shared" si="0"/>
        <v>90</v>
      </c>
      <c r="BA8" s="74"/>
      <c r="BB8" s="74"/>
      <c r="BC8" s="74"/>
      <c r="BD8" s="74"/>
      <c r="BE8" s="74"/>
      <c r="BF8" s="74"/>
      <c r="BG8" s="74"/>
    </row>
    <row r="9" spans="1:59">
      <c r="A9" s="99" t="s">
        <v>2265</v>
      </c>
      <c r="B9" s="102">
        <f>1450+40+600</f>
        <v>2090</v>
      </c>
      <c r="C9" s="106">
        <v>0</v>
      </c>
      <c r="D9" s="105">
        <f>650+375</f>
        <v>1025</v>
      </c>
      <c r="E9" s="99" t="s">
        <v>2266</v>
      </c>
      <c r="F9" s="103">
        <f>B9+D9</f>
        <v>3115</v>
      </c>
      <c r="G9" s="103" t="s">
        <v>2240</v>
      </c>
      <c r="H9" s="89"/>
      <c r="I9" s="74" t="s">
        <v>2269</v>
      </c>
      <c r="J9" s="74">
        <v>0</v>
      </c>
      <c r="K9" s="74">
        <v>0</v>
      </c>
      <c r="L9" s="74">
        <v>0</v>
      </c>
      <c r="M9" s="74">
        <v>300</v>
      </c>
      <c r="N9" s="93" t="s">
        <v>2270</v>
      </c>
      <c r="O9" s="93" t="s">
        <v>2229</v>
      </c>
      <c r="P9" s="74">
        <v>100</v>
      </c>
      <c r="Q9" t="s">
        <v>2304</v>
      </c>
      <c r="R9" s="38">
        <v>42711</v>
      </c>
      <c r="S9">
        <v>2290</v>
      </c>
      <c r="T9" t="s">
        <v>2241</v>
      </c>
      <c r="AI9" s="86">
        <v>42408</v>
      </c>
      <c r="AJ9" s="74" t="s">
        <v>2316</v>
      </c>
      <c r="AK9" s="74">
        <v>50</v>
      </c>
      <c r="AM9" s="74">
        <f t="shared" si="0"/>
        <v>50</v>
      </c>
      <c r="BA9" s="74"/>
      <c r="BB9" s="74"/>
      <c r="BC9" s="74"/>
      <c r="BD9" s="74"/>
      <c r="BE9" s="74"/>
      <c r="BF9" s="74"/>
      <c r="BG9" s="74"/>
    </row>
    <row r="10" spans="1:59" ht="15.75" thickBot="1">
      <c r="A10" s="99" t="s">
        <v>2279</v>
      </c>
      <c r="B10" s="102">
        <f>(1450*2)+200+60</f>
        <v>3160</v>
      </c>
      <c r="C10" s="105">
        <v>0</v>
      </c>
      <c r="D10" s="99">
        <v>0</v>
      </c>
      <c r="E10" s="99">
        <v>200</v>
      </c>
      <c r="F10" s="103">
        <f t="shared" ref="F10:F38" si="1">SUM(B10:D10)</f>
        <v>3160</v>
      </c>
      <c r="G10" s="103" t="s">
        <v>2240</v>
      </c>
      <c r="H10" s="89"/>
      <c r="I10" s="74" t="s">
        <v>2307</v>
      </c>
      <c r="J10" s="74">
        <v>0</v>
      </c>
      <c r="K10" s="74">
        <v>0</v>
      </c>
      <c r="L10" s="74">
        <v>0</v>
      </c>
      <c r="M10" s="74">
        <v>150</v>
      </c>
      <c r="N10" s="93" t="s">
        <v>2308</v>
      </c>
      <c r="O10" s="93" t="s">
        <v>2229</v>
      </c>
      <c r="P10" s="74">
        <v>300</v>
      </c>
      <c r="Q10" t="s">
        <v>2314</v>
      </c>
      <c r="R10" s="38">
        <v>42711</v>
      </c>
      <c r="S10" s="98">
        <f>S7+S9-S8</f>
        <v>3660</v>
      </c>
      <c r="T10" t="s">
        <v>2243</v>
      </c>
      <c r="AB10" s="109" t="s">
        <v>2334</v>
      </c>
      <c r="AC10" s="109" t="s">
        <v>2338</v>
      </c>
      <c r="AD10" s="109"/>
      <c r="AE10" s="109">
        <f>2015</f>
        <v>2015</v>
      </c>
      <c r="AF10" s="109">
        <f>AF8-AE10</f>
        <v>800</v>
      </c>
      <c r="AI10" s="86">
        <v>42437</v>
      </c>
      <c r="AJ10" s="74" t="s">
        <v>2417</v>
      </c>
      <c r="AK10" s="74">
        <v>50</v>
      </c>
      <c r="AL10" s="74">
        <f>50+40+25</f>
        <v>115</v>
      </c>
      <c r="AM10" s="74">
        <f t="shared" si="0"/>
        <v>165</v>
      </c>
      <c r="BA10" s="74"/>
      <c r="BB10" s="74"/>
      <c r="BC10" s="74"/>
      <c r="BD10" s="74"/>
      <c r="BE10" s="74"/>
      <c r="BF10" s="74"/>
      <c r="BG10" s="74"/>
    </row>
    <row r="11" spans="1:59" ht="15.75" thickTop="1">
      <c r="A11" s="99" t="s">
        <v>2276</v>
      </c>
      <c r="B11" s="105">
        <v>1470</v>
      </c>
      <c r="C11" s="105">
        <v>0</v>
      </c>
      <c r="D11" s="99">
        <v>375</v>
      </c>
      <c r="E11" s="99" t="s">
        <v>2288</v>
      </c>
      <c r="F11" s="103">
        <f t="shared" si="1"/>
        <v>1845</v>
      </c>
      <c r="G11" s="103" t="s">
        <v>2240</v>
      </c>
      <c r="H11" s="89"/>
      <c r="I11" s="74" t="s">
        <v>2313</v>
      </c>
      <c r="J11">
        <f>(2159*0.15)</f>
        <v>323.84999999999997</v>
      </c>
      <c r="K11" s="74">
        <v>0</v>
      </c>
      <c r="L11" s="74">
        <v>15</v>
      </c>
      <c r="M11">
        <v>226.15</v>
      </c>
      <c r="N11" s="93" t="s">
        <v>2232</v>
      </c>
      <c r="O11" s="93" t="s">
        <v>2229</v>
      </c>
      <c r="R11" t="s">
        <v>2249</v>
      </c>
      <c r="S11">
        <v>300</v>
      </c>
      <c r="T11" t="s">
        <v>2241</v>
      </c>
      <c r="AB11" s="109" t="s">
        <v>2334</v>
      </c>
      <c r="AC11" s="74" t="s">
        <v>2346</v>
      </c>
      <c r="AD11" s="74">
        <f>11328+751</f>
        <v>12079</v>
      </c>
      <c r="AI11" s="86">
        <v>42468</v>
      </c>
      <c r="AJ11" s="74" t="s">
        <v>2417</v>
      </c>
      <c r="AK11" s="74">
        <f>50+50</f>
        <v>100</v>
      </c>
      <c r="AL11" s="74">
        <f>85+50</f>
        <v>135</v>
      </c>
      <c r="AM11" s="74">
        <f t="shared" si="0"/>
        <v>235</v>
      </c>
      <c r="BA11" s="74"/>
      <c r="BB11" s="74"/>
      <c r="BC11" s="74"/>
      <c r="BD11" s="74"/>
      <c r="BE11" s="74"/>
      <c r="BF11" s="74"/>
      <c r="BG11" s="74"/>
    </row>
    <row r="12" spans="1:59" ht="15.75" thickBot="1">
      <c r="A12" s="74" t="s">
        <v>2297</v>
      </c>
      <c r="B12" s="105">
        <v>0</v>
      </c>
      <c r="C12" s="95">
        <v>0</v>
      </c>
      <c r="D12" s="99">
        <f>125*5</f>
        <v>625</v>
      </c>
      <c r="E12" s="99" t="s">
        <v>2298</v>
      </c>
      <c r="F12" s="103">
        <f t="shared" si="1"/>
        <v>625</v>
      </c>
      <c r="G12" s="103" t="s">
        <v>2341</v>
      </c>
      <c r="H12" s="89"/>
      <c r="I12" s="74" t="s">
        <v>2313</v>
      </c>
      <c r="J12">
        <f>(799*0.15)</f>
        <v>119.85</v>
      </c>
      <c r="K12" s="74">
        <v>0</v>
      </c>
      <c r="L12" s="74">
        <v>15</v>
      </c>
      <c r="M12">
        <v>175.15</v>
      </c>
      <c r="N12" s="93" t="s">
        <v>2312</v>
      </c>
      <c r="O12" s="93" t="s">
        <v>2229</v>
      </c>
      <c r="R12" t="s">
        <v>2251</v>
      </c>
      <c r="S12" s="98">
        <f>S10+S11</f>
        <v>3960</v>
      </c>
      <c r="T12" t="s">
        <v>2243</v>
      </c>
      <c r="AB12" s="109" t="s">
        <v>2334</v>
      </c>
      <c r="AC12" s="74" t="s">
        <v>2348</v>
      </c>
      <c r="AE12" s="74">
        <v>12000</v>
      </c>
      <c r="AI12" s="120">
        <v>42498</v>
      </c>
      <c r="AJ12" s="121" t="s">
        <v>2426</v>
      </c>
      <c r="AK12" s="121">
        <v>0</v>
      </c>
      <c r="AL12" s="121">
        <f>280+320+195</f>
        <v>795</v>
      </c>
      <c r="AM12" s="121">
        <f t="shared" si="0"/>
        <v>795</v>
      </c>
      <c r="BA12" s="74"/>
      <c r="BB12" s="74"/>
      <c r="BC12" s="74"/>
      <c r="BD12" s="74"/>
      <c r="BE12" s="74"/>
      <c r="BF12" s="74"/>
      <c r="BG12" s="74"/>
    </row>
    <row r="13" spans="1:59" ht="15.75" thickTop="1">
      <c r="A13" s="74" t="s">
        <v>2313</v>
      </c>
      <c r="B13" s="105">
        <v>0</v>
      </c>
      <c r="C13" s="95">
        <v>0</v>
      </c>
      <c r="D13" s="99">
        <f>650*2</f>
        <v>1300</v>
      </c>
      <c r="E13" s="99" t="s">
        <v>2318</v>
      </c>
      <c r="F13" s="103">
        <f t="shared" si="1"/>
        <v>1300</v>
      </c>
      <c r="G13" s="103" t="s">
        <v>2240</v>
      </c>
      <c r="H13" s="89"/>
      <c r="I13" s="74" t="s">
        <v>2313</v>
      </c>
      <c r="J13" s="74">
        <v>0</v>
      </c>
      <c r="K13" s="74">
        <v>0</v>
      </c>
      <c r="L13" s="74">
        <v>8</v>
      </c>
      <c r="M13" s="74">
        <v>300</v>
      </c>
      <c r="N13" s="93" t="s">
        <v>2315</v>
      </c>
      <c r="O13" s="93" t="s">
        <v>2229</v>
      </c>
      <c r="R13" t="s">
        <v>2265</v>
      </c>
      <c r="S13">
        <f>50+650+100+100+60</f>
        <v>960</v>
      </c>
      <c r="T13" t="s">
        <v>2242</v>
      </c>
      <c r="V13" t="s">
        <v>2267</v>
      </c>
      <c r="AB13" s="109" t="s">
        <v>2334</v>
      </c>
      <c r="AC13" s="74" t="s">
        <v>2347</v>
      </c>
      <c r="AF13" s="74">
        <f>AF10+AD11-AE12</f>
        <v>879</v>
      </c>
      <c r="AI13" s="86">
        <v>42559</v>
      </c>
      <c r="AJ13" s="74" t="s">
        <v>2493</v>
      </c>
      <c r="AL13" s="74">
        <f>400</f>
        <v>400</v>
      </c>
      <c r="AM13" s="99">
        <f t="shared" si="0"/>
        <v>400</v>
      </c>
      <c r="BA13" s="74"/>
      <c r="BB13" s="74"/>
      <c r="BC13" s="74"/>
      <c r="BD13" s="74"/>
      <c r="BE13" s="74"/>
      <c r="BF13" s="74"/>
      <c r="BG13" s="74"/>
    </row>
    <row r="14" spans="1:59">
      <c r="A14" s="74" t="s">
        <v>2334</v>
      </c>
      <c r="B14" s="105">
        <f>900</f>
        <v>900</v>
      </c>
      <c r="C14" s="105">
        <v>0</v>
      </c>
      <c r="D14" s="99">
        <f>125*5</f>
        <v>625</v>
      </c>
      <c r="E14" s="99" t="s">
        <v>2340</v>
      </c>
      <c r="F14" s="103">
        <f t="shared" si="1"/>
        <v>1525</v>
      </c>
      <c r="G14" s="103" t="s">
        <v>2240</v>
      </c>
      <c r="H14" s="89"/>
      <c r="I14" s="74" t="s">
        <v>2334</v>
      </c>
      <c r="J14" s="74">
        <v>0</v>
      </c>
      <c r="K14" s="74">
        <v>0</v>
      </c>
      <c r="L14" s="74">
        <v>0</v>
      </c>
      <c r="M14" s="74">
        <v>490</v>
      </c>
      <c r="N14" s="93" t="s">
        <v>2339</v>
      </c>
      <c r="O14" s="93" t="s">
        <v>2229</v>
      </c>
      <c r="R14" t="s">
        <v>2265</v>
      </c>
      <c r="S14">
        <v>2000</v>
      </c>
      <c r="T14" t="s">
        <v>2242</v>
      </c>
      <c r="V14" t="s">
        <v>2268</v>
      </c>
      <c r="AB14" s="74" t="s">
        <v>2354</v>
      </c>
      <c r="AC14" s="74" t="s">
        <v>2355</v>
      </c>
      <c r="AD14" s="74">
        <f>12000-6500</f>
        <v>5500</v>
      </c>
      <c r="AI14" s="86">
        <v>42559</v>
      </c>
      <c r="AJ14" s="74" t="s">
        <v>2494</v>
      </c>
      <c r="AL14" s="74">
        <v>500</v>
      </c>
      <c r="AM14" s="99">
        <f t="shared" si="0"/>
        <v>500</v>
      </c>
      <c r="BA14" s="74"/>
      <c r="BB14" s="74"/>
      <c r="BC14" s="74"/>
      <c r="BD14" s="74"/>
      <c r="BE14" s="74"/>
      <c r="BF14" s="74"/>
      <c r="BG14" s="74"/>
    </row>
    <row r="15" spans="1:59" ht="15.75" thickBot="1">
      <c r="A15" s="74" t="s">
        <v>2354</v>
      </c>
      <c r="B15" s="105">
        <v>0</v>
      </c>
      <c r="C15" s="95">
        <v>550</v>
      </c>
      <c r="D15" s="99">
        <v>0</v>
      </c>
      <c r="E15" s="74" t="s">
        <v>2360</v>
      </c>
      <c r="F15" s="103">
        <f t="shared" si="1"/>
        <v>550</v>
      </c>
      <c r="G15" s="81" t="s">
        <v>2240</v>
      </c>
      <c r="H15" s="89"/>
      <c r="I15" s="74" t="s">
        <v>2334</v>
      </c>
      <c r="J15">
        <f>2150*0.15</f>
        <v>322.5</v>
      </c>
      <c r="K15" s="74"/>
      <c r="L15" s="74">
        <f>15</f>
        <v>15</v>
      </c>
      <c r="M15">
        <v>297.5</v>
      </c>
      <c r="N15" s="93" t="s">
        <v>2232</v>
      </c>
      <c r="O15" s="93" t="s">
        <v>2229</v>
      </c>
      <c r="R15" t="s">
        <v>2265</v>
      </c>
      <c r="S15" s="98">
        <f>S12-S13-S14</f>
        <v>1000</v>
      </c>
      <c r="T15" t="s">
        <v>2243</v>
      </c>
      <c r="AB15" s="109" t="s">
        <v>2354</v>
      </c>
      <c r="AC15" s="109" t="s">
        <v>2347</v>
      </c>
      <c r="AD15" s="109"/>
      <c r="AE15" s="109"/>
      <c r="AF15" s="109">
        <f>AF13+AD14</f>
        <v>6379</v>
      </c>
      <c r="AI15" s="86">
        <v>42590</v>
      </c>
      <c r="AJ15" s="74" t="s">
        <v>2316</v>
      </c>
      <c r="AK15" s="74">
        <v>50</v>
      </c>
      <c r="AM15" s="99">
        <f t="shared" si="0"/>
        <v>50</v>
      </c>
      <c r="BA15" s="74"/>
      <c r="BB15" s="74"/>
      <c r="BC15" s="74"/>
      <c r="BD15" s="74"/>
      <c r="BE15" s="74"/>
      <c r="BF15" s="74"/>
      <c r="BG15" s="74"/>
    </row>
    <row r="16" spans="1:59" ht="15.75" thickTop="1">
      <c r="A16" s="74" t="s">
        <v>2367</v>
      </c>
      <c r="B16" s="95">
        <v>0</v>
      </c>
      <c r="C16" s="95">
        <v>1200</v>
      </c>
      <c r="D16" s="74">
        <v>0</v>
      </c>
      <c r="E16" s="74" t="s">
        <v>2368</v>
      </c>
      <c r="F16" s="103">
        <f t="shared" si="1"/>
        <v>1200</v>
      </c>
      <c r="G16" s="81" t="s">
        <v>2240</v>
      </c>
      <c r="H16" s="89"/>
      <c r="I16" s="74" t="s">
        <v>2334</v>
      </c>
      <c r="J16">
        <f>879*0.15</f>
        <v>131.85</v>
      </c>
      <c r="K16" s="74"/>
      <c r="L16" s="74">
        <f>15</f>
        <v>15</v>
      </c>
      <c r="M16">
        <v>28.15</v>
      </c>
      <c r="N16" s="93" t="s">
        <v>2349</v>
      </c>
      <c r="O16" s="93" t="s">
        <v>2229</v>
      </c>
      <c r="R16" t="s">
        <v>2269</v>
      </c>
      <c r="S16">
        <v>300</v>
      </c>
      <c r="T16" t="s">
        <v>2241</v>
      </c>
      <c r="AB16" s="74" t="s">
        <v>2363</v>
      </c>
      <c r="AC16" s="74" t="s">
        <v>2370</v>
      </c>
      <c r="AE16" s="74">
        <f>1500</f>
        <v>1500</v>
      </c>
      <c r="AI16" s="86">
        <v>42651</v>
      </c>
      <c r="AJ16" s="74" t="s">
        <v>2522</v>
      </c>
      <c r="AL16" s="74">
        <v>700</v>
      </c>
      <c r="AM16" s="99">
        <f t="shared" si="0"/>
        <v>700</v>
      </c>
      <c r="BA16" s="74"/>
      <c r="BB16" s="74"/>
      <c r="BC16" s="74"/>
      <c r="BD16" s="74"/>
      <c r="BE16" s="74"/>
      <c r="BF16" s="74"/>
      <c r="BG16" s="74"/>
    </row>
    <row r="17" spans="1:59" ht="15.75" thickBot="1">
      <c r="A17" s="74" t="s">
        <v>2381</v>
      </c>
      <c r="B17" s="105">
        <f>600</f>
        <v>600</v>
      </c>
      <c r="C17" s="105">
        <v>0</v>
      </c>
      <c r="D17" s="99">
        <f>(125*10)+650</f>
        <v>1900</v>
      </c>
      <c r="E17" s="74" t="s">
        <v>2385</v>
      </c>
      <c r="F17" s="103">
        <f t="shared" si="1"/>
        <v>2500</v>
      </c>
      <c r="G17" s="81" t="s">
        <v>2240</v>
      </c>
      <c r="H17" s="89"/>
      <c r="I17" s="74" t="s">
        <v>2334</v>
      </c>
      <c r="J17" s="74">
        <v>165</v>
      </c>
      <c r="K17" s="74"/>
      <c r="L17" s="74">
        <f>15</f>
        <v>15</v>
      </c>
      <c r="M17">
        <v>210</v>
      </c>
      <c r="N17" s="93" t="s">
        <v>2350</v>
      </c>
      <c r="O17" s="93" t="s">
        <v>2229</v>
      </c>
      <c r="R17" t="s">
        <v>2269</v>
      </c>
      <c r="S17" s="98">
        <f>S15+S16</f>
        <v>1300</v>
      </c>
      <c r="T17" t="s">
        <v>2243</v>
      </c>
      <c r="AB17" s="109" t="s">
        <v>2363</v>
      </c>
      <c r="AC17" s="109" t="s">
        <v>2347</v>
      </c>
      <c r="AD17" s="109"/>
      <c r="AE17" s="109"/>
      <c r="AF17" s="109">
        <f>AF15-AE16</f>
        <v>4879</v>
      </c>
      <c r="AI17" s="86">
        <v>42682</v>
      </c>
      <c r="AJ17" s="74" t="s">
        <v>2316</v>
      </c>
      <c r="AK17" s="74">
        <v>70</v>
      </c>
      <c r="AM17" s="99">
        <f t="shared" si="0"/>
        <v>70</v>
      </c>
      <c r="BA17" s="74"/>
      <c r="BB17" s="74"/>
      <c r="BC17" s="74"/>
      <c r="BD17" s="74"/>
      <c r="BE17" s="74"/>
      <c r="BF17" s="74"/>
      <c r="BG17" s="74"/>
    </row>
    <row r="18" spans="1:59" ht="15.75" thickTop="1">
      <c r="A18" s="86">
        <v>42377</v>
      </c>
      <c r="B18" s="99">
        <f>420</f>
        <v>420</v>
      </c>
      <c r="C18" s="105">
        <f>1700</f>
        <v>1700</v>
      </c>
      <c r="D18" s="99">
        <f>(125*10)</f>
        <v>1250</v>
      </c>
      <c r="E18" s="74" t="s">
        <v>2398</v>
      </c>
      <c r="F18" s="103">
        <f t="shared" si="1"/>
        <v>3370</v>
      </c>
      <c r="G18" s="81" t="s">
        <v>2240</v>
      </c>
      <c r="H18" s="89"/>
      <c r="I18" s="74" t="s">
        <v>2334</v>
      </c>
      <c r="J18" s="74">
        <v>169.5</v>
      </c>
      <c r="K18" s="74"/>
      <c r="L18" s="74">
        <f>15</f>
        <v>15</v>
      </c>
      <c r="M18">
        <v>90.5</v>
      </c>
      <c r="N18" s="93" t="s">
        <v>2351</v>
      </c>
      <c r="O18" s="93" t="s">
        <v>2229</v>
      </c>
      <c r="R18" t="s">
        <v>2279</v>
      </c>
      <c r="S18">
        <v>280</v>
      </c>
      <c r="T18" t="s">
        <v>2242</v>
      </c>
      <c r="V18" t="s">
        <v>2280</v>
      </c>
      <c r="AI18" s="86">
        <v>42712</v>
      </c>
      <c r="AJ18" s="74" t="s">
        <v>2417</v>
      </c>
      <c r="AK18" s="74">
        <f>70</f>
        <v>70</v>
      </c>
      <c r="AL18" s="74">
        <f>40+120</f>
        <v>160</v>
      </c>
      <c r="AM18" s="99">
        <f t="shared" si="0"/>
        <v>230</v>
      </c>
      <c r="BA18" s="74"/>
      <c r="BB18" s="74"/>
      <c r="BC18" s="74"/>
      <c r="BD18" s="74"/>
      <c r="BE18" s="74"/>
      <c r="BF18" s="74"/>
      <c r="BG18" s="74"/>
    </row>
    <row r="19" spans="1:59" ht="15.75" thickBot="1">
      <c r="A19" s="86">
        <v>42408</v>
      </c>
      <c r="B19" s="105">
        <f>1300</f>
        <v>1300</v>
      </c>
      <c r="C19" s="105">
        <v>0</v>
      </c>
      <c r="D19" s="74">
        <v>0</v>
      </c>
      <c r="E19" s="74" t="s">
        <v>2408</v>
      </c>
      <c r="F19" s="103">
        <f t="shared" si="1"/>
        <v>1300</v>
      </c>
      <c r="G19" s="103" t="s">
        <v>2240</v>
      </c>
      <c r="H19" s="89"/>
      <c r="I19" s="110"/>
      <c r="J19" s="110"/>
      <c r="K19" s="110"/>
      <c r="L19" s="110"/>
      <c r="M19" s="110"/>
      <c r="N19" s="111"/>
      <c r="O19" s="111"/>
      <c r="R19" t="s">
        <v>2279</v>
      </c>
      <c r="S19" s="98">
        <f>S17-S18</f>
        <v>1020</v>
      </c>
      <c r="T19" t="s">
        <v>2243</v>
      </c>
      <c r="AB19" s="74" t="s">
        <v>2381</v>
      </c>
      <c r="AC19" s="74" t="s">
        <v>2382</v>
      </c>
      <c r="AE19" s="74">
        <f>4500</f>
        <v>4500</v>
      </c>
      <c r="AI19" s="74" t="s">
        <v>2535</v>
      </c>
      <c r="AJ19" s="74" t="s">
        <v>2417</v>
      </c>
      <c r="AK19" s="74">
        <v>50</v>
      </c>
      <c r="AL19" s="74">
        <v>100</v>
      </c>
      <c r="AM19" s="99">
        <f t="shared" si="0"/>
        <v>150</v>
      </c>
      <c r="BA19" s="74"/>
      <c r="BB19" s="74"/>
      <c r="BC19" s="74"/>
      <c r="BD19" s="74"/>
      <c r="BE19" s="74"/>
      <c r="BF19" s="74"/>
      <c r="BG19" s="74"/>
    </row>
    <row r="20" spans="1:59" ht="15.75" thickTop="1">
      <c r="A20" s="86">
        <v>42437</v>
      </c>
      <c r="B20" s="105">
        <f>1470+880+200</f>
        <v>2550</v>
      </c>
      <c r="C20" s="95">
        <v>0</v>
      </c>
      <c r="D20" s="74">
        <v>0</v>
      </c>
      <c r="E20" s="74" t="s">
        <v>2411</v>
      </c>
      <c r="F20" s="103">
        <f t="shared" si="1"/>
        <v>2550</v>
      </c>
      <c r="G20" s="103" t="s">
        <v>2240</v>
      </c>
      <c r="H20" s="89"/>
      <c r="I20" s="86">
        <v>42377</v>
      </c>
      <c r="J20" s="74"/>
      <c r="K20" s="74"/>
      <c r="L20" s="74"/>
      <c r="M20">
        <v>265</v>
      </c>
      <c r="N20" s="93" t="s">
        <v>2405</v>
      </c>
      <c r="O20" s="93" t="s">
        <v>2229</v>
      </c>
      <c r="R20" t="s">
        <v>2276</v>
      </c>
      <c r="S20">
        <f>50+100+50</f>
        <v>200</v>
      </c>
      <c r="T20" t="s">
        <v>2242</v>
      </c>
      <c r="V20" t="s">
        <v>2287</v>
      </c>
      <c r="AB20" s="74" t="s">
        <v>2381</v>
      </c>
      <c r="AC20" s="74" t="s">
        <v>2347</v>
      </c>
      <c r="AF20" s="74">
        <f>AF17-AE19</f>
        <v>379</v>
      </c>
      <c r="AI20" s="121" t="s">
        <v>2535</v>
      </c>
      <c r="AJ20" s="121" t="s">
        <v>2540</v>
      </c>
      <c r="AK20" s="121"/>
      <c r="AL20" s="121">
        <v>1500</v>
      </c>
      <c r="AM20" s="121">
        <v>1500</v>
      </c>
      <c r="BA20" s="74"/>
      <c r="BB20" s="74"/>
      <c r="BC20" s="74"/>
      <c r="BD20" s="74"/>
      <c r="BE20" s="74"/>
      <c r="BF20" s="74"/>
      <c r="BG20" s="74"/>
    </row>
    <row r="21" spans="1:59" ht="15.75" thickBot="1">
      <c r="A21" s="86">
        <v>42468</v>
      </c>
      <c r="B21" s="95">
        <v>210</v>
      </c>
      <c r="C21" s="95">
        <v>0</v>
      </c>
      <c r="D21" s="105">
        <f>(125*3)+(130*4)</f>
        <v>895</v>
      </c>
      <c r="E21" s="74" t="s">
        <v>2438</v>
      </c>
      <c r="F21" s="103">
        <f t="shared" si="1"/>
        <v>1105</v>
      </c>
      <c r="G21" s="103" t="s">
        <v>2240</v>
      </c>
      <c r="H21" s="89"/>
      <c r="I21" s="86">
        <v>42437</v>
      </c>
      <c r="J21" s="74"/>
      <c r="K21" s="74"/>
      <c r="L21" s="74"/>
      <c r="M21" s="74">
        <v>360</v>
      </c>
      <c r="N21" s="93" t="s">
        <v>2312</v>
      </c>
      <c r="O21" s="93" t="s">
        <v>2229</v>
      </c>
      <c r="R21" t="s">
        <v>2276</v>
      </c>
      <c r="S21" s="98">
        <f>S19-S20</f>
        <v>820</v>
      </c>
      <c r="T21" t="s">
        <v>2243</v>
      </c>
      <c r="AB21" s="86">
        <v>42377</v>
      </c>
      <c r="AC21" s="74" t="s">
        <v>2396</v>
      </c>
      <c r="AD21" s="74">
        <f>741</f>
        <v>741</v>
      </c>
      <c r="AI21" s="74" t="s">
        <v>2542</v>
      </c>
      <c r="AJ21" s="74" t="s">
        <v>2316</v>
      </c>
      <c r="AK21" s="74">
        <v>50</v>
      </c>
      <c r="AL21" s="74">
        <f>100</f>
        <v>100</v>
      </c>
      <c r="AM21" s="99">
        <f t="shared" si="0"/>
        <v>150</v>
      </c>
    </row>
    <row r="22" spans="1:59" ht="15.75" thickTop="1">
      <c r="A22" s="86">
        <v>42498</v>
      </c>
      <c r="B22" s="105">
        <f>(430*7)+620</f>
        <v>3630</v>
      </c>
      <c r="C22" s="95">
        <f>550</f>
        <v>550</v>
      </c>
      <c r="D22" s="99">
        <f>(125*6)</f>
        <v>750</v>
      </c>
      <c r="E22" s="74" t="s">
        <v>2443</v>
      </c>
      <c r="F22" s="103">
        <f t="shared" si="1"/>
        <v>4930</v>
      </c>
      <c r="G22" s="103" t="s">
        <v>2240</v>
      </c>
      <c r="H22" s="89"/>
      <c r="I22" s="86">
        <v>42437</v>
      </c>
      <c r="J22" s="74"/>
      <c r="K22" s="74"/>
      <c r="L22" s="74"/>
      <c r="M22" s="74">
        <v>280</v>
      </c>
      <c r="N22" s="93" t="s">
        <v>2416</v>
      </c>
      <c r="O22" s="93" t="s">
        <v>2229</v>
      </c>
      <c r="R22" t="s">
        <v>2276</v>
      </c>
      <c r="S22">
        <v>9900</v>
      </c>
      <c r="T22" t="s">
        <v>2289</v>
      </c>
      <c r="AB22" s="86">
        <v>42377</v>
      </c>
      <c r="AC22" s="74" t="s">
        <v>2347</v>
      </c>
      <c r="AF22" s="74">
        <f>AF20+AD21</f>
        <v>1120</v>
      </c>
      <c r="AI22" s="74" t="s">
        <v>2542</v>
      </c>
      <c r="AJ22" s="74" t="s">
        <v>2549</v>
      </c>
      <c r="AK22" s="74">
        <v>0</v>
      </c>
      <c r="AL22" s="74">
        <f>300</f>
        <v>300</v>
      </c>
      <c r="AM22" s="99">
        <f t="shared" si="0"/>
        <v>300</v>
      </c>
    </row>
    <row r="23" spans="1:59">
      <c r="A23" s="86">
        <v>42590</v>
      </c>
      <c r="B23" s="95">
        <f>(430*5)+(180*2)-10</f>
        <v>2500</v>
      </c>
      <c r="C23" s="95">
        <f>600+180+180</f>
        <v>960</v>
      </c>
      <c r="D23" s="99">
        <f>(125*6)+(155*4)+190</f>
        <v>1560</v>
      </c>
      <c r="E23" s="74" t="s">
        <v>2504</v>
      </c>
      <c r="F23" s="103">
        <f t="shared" si="1"/>
        <v>5020</v>
      </c>
      <c r="G23" s="103" t="s">
        <v>2240</v>
      </c>
      <c r="H23" s="89"/>
      <c r="I23" s="86">
        <v>42498</v>
      </c>
      <c r="J23" s="74"/>
      <c r="K23" s="74"/>
      <c r="L23" s="74"/>
      <c r="M23" s="74">
        <v>245</v>
      </c>
      <c r="N23" s="93" t="s">
        <v>2416</v>
      </c>
      <c r="O23" s="93" t="s">
        <v>2229</v>
      </c>
      <c r="R23" t="s">
        <v>2276</v>
      </c>
      <c r="S23">
        <v>9900</v>
      </c>
      <c r="T23" t="s">
        <v>2305</v>
      </c>
      <c r="AB23" s="86">
        <v>42377</v>
      </c>
      <c r="AC23" s="74" t="s">
        <v>2397</v>
      </c>
      <c r="AE23" s="74">
        <f>1000</f>
        <v>1000</v>
      </c>
      <c r="AI23" s="74" t="s">
        <v>2568</v>
      </c>
      <c r="AJ23" s="74" t="s">
        <v>2417</v>
      </c>
      <c r="AK23" s="74">
        <v>50</v>
      </c>
      <c r="AL23" s="74">
        <v>80</v>
      </c>
      <c r="AM23" s="99">
        <f t="shared" si="0"/>
        <v>130</v>
      </c>
    </row>
    <row r="24" spans="1:59" ht="15.75" thickBot="1">
      <c r="A24" s="86">
        <v>42682</v>
      </c>
      <c r="B24" s="105">
        <v>550</v>
      </c>
      <c r="C24" s="95">
        <v>0</v>
      </c>
      <c r="D24" s="99">
        <f>(125*6)+650</f>
        <v>1400</v>
      </c>
      <c r="E24" s="74" t="s">
        <v>2534</v>
      </c>
      <c r="F24" s="103">
        <f t="shared" si="1"/>
        <v>1950</v>
      </c>
      <c r="G24" s="103" t="s">
        <v>2240</v>
      </c>
      <c r="H24" s="89"/>
      <c r="I24" s="86">
        <v>42498</v>
      </c>
      <c r="J24" s="74"/>
      <c r="K24" s="74"/>
      <c r="L24" s="74"/>
      <c r="M24" s="74">
        <v>367.5</v>
      </c>
      <c r="N24" s="93" t="s">
        <v>2232</v>
      </c>
      <c r="O24" s="93" t="s">
        <v>2229</v>
      </c>
      <c r="R24" t="s">
        <v>2276</v>
      </c>
      <c r="S24" s="98">
        <f>S21+S22-S23</f>
        <v>820</v>
      </c>
      <c r="T24" t="s">
        <v>2243</v>
      </c>
      <c r="AB24" s="117">
        <v>42377</v>
      </c>
      <c r="AC24" s="109" t="s">
        <v>2347</v>
      </c>
      <c r="AD24" s="109"/>
      <c r="AE24" s="109"/>
      <c r="AF24" s="109">
        <f>AF22-AE23</f>
        <v>120</v>
      </c>
      <c r="AI24" s="74" t="s">
        <v>2569</v>
      </c>
      <c r="AJ24" s="74" t="s">
        <v>2417</v>
      </c>
      <c r="AK24" s="74">
        <v>100</v>
      </c>
      <c r="AL24" s="74">
        <v>80</v>
      </c>
      <c r="AM24" s="74">
        <f t="shared" si="0"/>
        <v>180</v>
      </c>
    </row>
    <row r="25" spans="1:59" ht="15.75" thickTop="1">
      <c r="A25" s="74" t="s">
        <v>2535</v>
      </c>
      <c r="B25" s="95"/>
      <c r="C25" s="105">
        <f>550*3</f>
        <v>1650</v>
      </c>
      <c r="D25" s="74"/>
      <c r="E25" s="74" t="s">
        <v>2536</v>
      </c>
      <c r="F25" s="103">
        <f t="shared" si="1"/>
        <v>1650</v>
      </c>
      <c r="G25" s="103" t="s">
        <v>2240</v>
      </c>
      <c r="H25" s="89"/>
      <c r="I25" s="86">
        <v>42498</v>
      </c>
      <c r="J25" s="74"/>
      <c r="K25" s="74"/>
      <c r="L25" s="74"/>
      <c r="M25" s="74">
        <v>367.5</v>
      </c>
      <c r="N25" s="93" t="s">
        <v>2232</v>
      </c>
      <c r="O25" s="93" t="s">
        <v>2229</v>
      </c>
      <c r="R25" t="s">
        <v>2297</v>
      </c>
      <c r="S25">
        <f>300</f>
        <v>300</v>
      </c>
      <c r="T25" t="s">
        <v>2242</v>
      </c>
      <c r="V25" t="s">
        <v>2306</v>
      </c>
      <c r="AB25" s="86">
        <v>42498</v>
      </c>
      <c r="AC25" s="74" t="s">
        <v>2424</v>
      </c>
      <c r="AD25" s="74">
        <f>7575</f>
        <v>7575</v>
      </c>
      <c r="AI25" s="74" t="s">
        <v>2569</v>
      </c>
      <c r="AJ25" s="74" t="s">
        <v>2571</v>
      </c>
      <c r="AK25" s="74">
        <v>0</v>
      </c>
      <c r="AL25" s="74">
        <v>70</v>
      </c>
      <c r="AM25" s="74">
        <f t="shared" si="0"/>
        <v>70</v>
      </c>
    </row>
    <row r="26" spans="1:59" ht="15.75" thickBot="1">
      <c r="A26" s="74" t="s">
        <v>2542</v>
      </c>
      <c r="B26" s="105">
        <f>1450+1200+450-1370</f>
        <v>1730</v>
      </c>
      <c r="C26" s="95">
        <f>500</f>
        <v>500</v>
      </c>
      <c r="D26" s="99">
        <f>650</f>
        <v>650</v>
      </c>
      <c r="E26" s="74" t="s">
        <v>2543</v>
      </c>
      <c r="F26" s="103">
        <f t="shared" si="1"/>
        <v>2880</v>
      </c>
      <c r="G26" s="103" t="s">
        <v>2240</v>
      </c>
      <c r="H26" s="89"/>
      <c r="I26" s="86">
        <v>42498</v>
      </c>
      <c r="J26" s="74"/>
      <c r="K26" s="74"/>
      <c r="L26" s="74"/>
      <c r="M26" s="74">
        <v>79.650000000000006</v>
      </c>
      <c r="N26" s="93" t="s">
        <v>2349</v>
      </c>
      <c r="O26" s="93" t="s">
        <v>2229</v>
      </c>
      <c r="R26" t="s">
        <v>2297</v>
      </c>
      <c r="S26" s="108">
        <f>S24-S25</f>
        <v>520</v>
      </c>
      <c r="T26" t="s">
        <v>2243</v>
      </c>
      <c r="AB26" s="86">
        <v>42498</v>
      </c>
      <c r="AC26" s="122" t="s">
        <v>2435</v>
      </c>
      <c r="AD26" s="122">
        <v>1200</v>
      </c>
      <c r="AE26" s="109"/>
      <c r="AF26" s="109"/>
      <c r="AI26" s="121" t="s">
        <v>2578</v>
      </c>
      <c r="AJ26" s="121" t="s">
        <v>2590</v>
      </c>
      <c r="AK26" s="121"/>
      <c r="AL26" s="121">
        <f>457+280+314</f>
        <v>1051</v>
      </c>
      <c r="AM26" s="121">
        <f t="shared" si="0"/>
        <v>1051</v>
      </c>
    </row>
    <row r="27" spans="1:59" ht="15.75" thickTop="1">
      <c r="A27" s="74" t="s">
        <v>2569</v>
      </c>
      <c r="B27" s="95">
        <f>1470+220</f>
        <v>1690</v>
      </c>
      <c r="C27" s="95"/>
      <c r="D27" s="74"/>
      <c r="E27" s="74" t="s">
        <v>2570</v>
      </c>
      <c r="F27" s="103">
        <f t="shared" si="1"/>
        <v>1690</v>
      </c>
      <c r="G27" s="103" t="s">
        <v>2240</v>
      </c>
      <c r="H27" s="89"/>
      <c r="I27" s="86">
        <v>42498</v>
      </c>
      <c r="J27" s="74"/>
      <c r="K27" s="74"/>
      <c r="L27" s="74"/>
      <c r="M27" s="74">
        <v>138.30000000000001</v>
      </c>
      <c r="N27" s="93" t="s">
        <v>2425</v>
      </c>
      <c r="O27" s="93" t="s">
        <v>2229</v>
      </c>
      <c r="R27" t="s">
        <v>2307</v>
      </c>
      <c r="S27">
        <f>150</f>
        <v>150</v>
      </c>
      <c r="T27" t="s">
        <v>2241</v>
      </c>
      <c r="AB27" s="86">
        <v>42498</v>
      </c>
      <c r="AC27" s="74" t="s">
        <v>2436</v>
      </c>
      <c r="AD27" s="74">
        <v>2589</v>
      </c>
      <c r="AI27" s="74" t="s">
        <v>2578</v>
      </c>
      <c r="AJ27" s="74" t="s">
        <v>2316</v>
      </c>
      <c r="AK27" s="74">
        <v>40</v>
      </c>
      <c r="AM27" s="99">
        <f t="shared" si="0"/>
        <v>40</v>
      </c>
    </row>
    <row r="28" spans="1:59" ht="15.75" thickBot="1">
      <c r="A28" s="74" t="s">
        <v>2578</v>
      </c>
      <c r="B28" s="95"/>
      <c r="C28" s="95"/>
      <c r="D28" s="99">
        <f>125*6</f>
        <v>750</v>
      </c>
      <c r="E28" s="74" t="s">
        <v>2593</v>
      </c>
      <c r="F28" s="103">
        <f t="shared" si="1"/>
        <v>750</v>
      </c>
      <c r="G28" s="103" t="s">
        <v>2240</v>
      </c>
      <c r="H28" s="89"/>
      <c r="I28" s="86">
        <v>42498</v>
      </c>
      <c r="J28" s="74"/>
      <c r="K28" s="74"/>
      <c r="L28" s="74"/>
      <c r="M28" s="74">
        <v>89.65</v>
      </c>
      <c r="N28" s="93" t="s">
        <v>2349</v>
      </c>
      <c r="O28" s="93" t="s">
        <v>2229</v>
      </c>
      <c r="R28" t="s">
        <v>2307</v>
      </c>
      <c r="S28" s="98">
        <f>SUM(S26:S27)</f>
        <v>670</v>
      </c>
      <c r="T28" t="s">
        <v>2243</v>
      </c>
      <c r="AB28" s="86">
        <v>42498</v>
      </c>
      <c r="AC28" s="74" t="s">
        <v>2496</v>
      </c>
      <c r="AE28" s="74">
        <f>3000+500</f>
        <v>3500</v>
      </c>
      <c r="AI28" s="74" t="s">
        <v>2607</v>
      </c>
      <c r="AJ28" s="74" t="s">
        <v>2316</v>
      </c>
      <c r="AK28" s="74">
        <v>50</v>
      </c>
      <c r="AM28" s="99">
        <f t="shared" si="0"/>
        <v>50</v>
      </c>
      <c r="AN28" s="74" t="s">
        <v>2612</v>
      </c>
    </row>
    <row r="29" spans="1:59" ht="15.75" thickTop="1">
      <c r="A29" s="74" t="s">
        <v>2607</v>
      </c>
      <c r="B29" s="95">
        <v>0</v>
      </c>
      <c r="C29" s="95">
        <f>1100</f>
        <v>1100</v>
      </c>
      <c r="D29" s="99">
        <f>125*5</f>
        <v>625</v>
      </c>
      <c r="E29" s="74" t="s">
        <v>2610</v>
      </c>
      <c r="F29" s="103">
        <f t="shared" si="1"/>
        <v>1725</v>
      </c>
      <c r="G29" s="103" t="s">
        <v>2240</v>
      </c>
      <c r="H29" s="89"/>
      <c r="I29" s="86">
        <v>42498</v>
      </c>
      <c r="J29" s="74"/>
      <c r="K29" s="74"/>
      <c r="L29" s="74"/>
      <c r="M29" s="74">
        <v>250</v>
      </c>
      <c r="N29" s="93" t="s">
        <v>2232</v>
      </c>
      <c r="O29" s="93" t="s">
        <v>2229</v>
      </c>
      <c r="R29" t="s">
        <v>2313</v>
      </c>
      <c r="S29">
        <v>600</v>
      </c>
      <c r="T29" t="s">
        <v>2241</v>
      </c>
      <c r="AB29" s="86">
        <v>42498</v>
      </c>
      <c r="AC29" s="74" t="s">
        <v>2347</v>
      </c>
      <c r="AF29" s="74">
        <f>AF24+AD25+AD26+AD27-AE28</f>
        <v>7984</v>
      </c>
      <c r="AI29" s="74" t="s">
        <v>2614</v>
      </c>
      <c r="AJ29" s="74" t="s">
        <v>2316</v>
      </c>
      <c r="AK29" s="74">
        <v>80</v>
      </c>
      <c r="AM29" s="74">
        <f t="shared" si="0"/>
        <v>80</v>
      </c>
    </row>
    <row r="30" spans="1:59">
      <c r="A30" s="74" t="s">
        <v>2614</v>
      </c>
      <c r="B30" s="97">
        <f>1470</f>
        <v>1470</v>
      </c>
      <c r="C30" s="95"/>
      <c r="D30" s="74"/>
      <c r="E30" s="74" t="s">
        <v>2232</v>
      </c>
      <c r="F30" s="103">
        <f t="shared" si="1"/>
        <v>1470</v>
      </c>
      <c r="G30" s="88" t="s">
        <v>2615</v>
      </c>
      <c r="H30" s="89"/>
      <c r="I30" s="86">
        <v>42498</v>
      </c>
      <c r="J30" s="74"/>
      <c r="K30" s="74"/>
      <c r="L30" s="74"/>
      <c r="M30">
        <v>390</v>
      </c>
      <c r="N30" s="93" t="s">
        <v>2437</v>
      </c>
      <c r="O30" s="93" t="s">
        <v>2229</v>
      </c>
      <c r="R30" t="s">
        <v>2313</v>
      </c>
      <c r="S30">
        <f>70</f>
        <v>70</v>
      </c>
      <c r="T30" t="s">
        <v>2242</v>
      </c>
      <c r="V30" t="s">
        <v>2316</v>
      </c>
      <c r="AB30" s="86">
        <v>42498</v>
      </c>
      <c r="AC30" s="74" t="s">
        <v>2459</v>
      </c>
      <c r="AE30" s="74">
        <v>1000</v>
      </c>
      <c r="AI30" s="74" t="s">
        <v>2627</v>
      </c>
      <c r="AJ30" s="74" t="s">
        <v>2417</v>
      </c>
      <c r="AK30" s="74">
        <f>140+50</f>
        <v>190</v>
      </c>
      <c r="AL30" s="74">
        <f>80</f>
        <v>80</v>
      </c>
      <c r="AM30" s="74">
        <f t="shared" si="0"/>
        <v>270</v>
      </c>
    </row>
    <row r="31" spans="1:59">
      <c r="A31" s="74" t="s">
        <v>2627</v>
      </c>
      <c r="B31" s="97">
        <f>470</f>
        <v>470</v>
      </c>
      <c r="C31" s="95">
        <f>2300</f>
        <v>2300</v>
      </c>
      <c r="D31" s="74">
        <v>0</v>
      </c>
      <c r="E31" s="74" t="s">
        <v>2630</v>
      </c>
      <c r="F31" s="103">
        <f t="shared" si="1"/>
        <v>2770</v>
      </c>
      <c r="G31" s="88" t="s">
        <v>2615</v>
      </c>
      <c r="H31" s="89"/>
      <c r="I31" s="86">
        <v>42498</v>
      </c>
      <c r="J31" s="74"/>
      <c r="K31" s="74"/>
      <c r="L31" s="74"/>
      <c r="M31" s="74">
        <v>500</v>
      </c>
      <c r="N31" s="93" t="s">
        <v>2312</v>
      </c>
      <c r="O31" s="93" t="s">
        <v>2229</v>
      </c>
      <c r="R31" t="s">
        <v>2313</v>
      </c>
      <c r="S31">
        <v>300</v>
      </c>
      <c r="T31" t="s">
        <v>2242</v>
      </c>
      <c r="V31" t="s">
        <v>2317</v>
      </c>
      <c r="AB31" s="86">
        <v>42498</v>
      </c>
      <c r="AC31" s="74" t="s">
        <v>2347</v>
      </c>
      <c r="AF31" s="74">
        <f>AF29-AE30</f>
        <v>6984</v>
      </c>
      <c r="AI31" s="74" t="s">
        <v>2634</v>
      </c>
      <c r="AJ31" s="74" t="s">
        <v>2651</v>
      </c>
      <c r="AK31" s="74">
        <f>50+200</f>
        <v>250</v>
      </c>
      <c r="AL31" s="74">
        <f>50</f>
        <v>50</v>
      </c>
      <c r="AM31" s="74">
        <f t="shared" si="0"/>
        <v>300</v>
      </c>
    </row>
    <row r="32" spans="1:59" ht="15.75" thickBot="1">
      <c r="A32" s="74" t="s">
        <v>2647</v>
      </c>
      <c r="B32" s="95">
        <v>0</v>
      </c>
      <c r="C32" s="95">
        <v>1200</v>
      </c>
      <c r="D32" s="128">
        <f>(125*19)</f>
        <v>2375</v>
      </c>
      <c r="E32" s="74" t="s">
        <v>2648</v>
      </c>
      <c r="F32" s="103">
        <f t="shared" si="1"/>
        <v>3575</v>
      </c>
      <c r="G32" s="129" t="s">
        <v>2240</v>
      </c>
      <c r="H32" s="89"/>
      <c r="I32" s="86">
        <v>42498</v>
      </c>
      <c r="J32" s="74"/>
      <c r="K32" s="74"/>
      <c r="L32" s="74"/>
      <c r="M32" s="74">
        <v>265</v>
      </c>
      <c r="N32" s="93" t="s">
        <v>2444</v>
      </c>
      <c r="O32" s="93" t="s">
        <v>2229</v>
      </c>
      <c r="R32" t="s">
        <v>2313</v>
      </c>
      <c r="S32" s="98">
        <f>S28+S29-S30-S31</f>
        <v>900</v>
      </c>
      <c r="T32" t="s">
        <v>2243</v>
      </c>
      <c r="AB32" s="86">
        <v>42590</v>
      </c>
      <c r="AC32" s="74" t="s">
        <v>2497</v>
      </c>
      <c r="AE32" s="74">
        <v>5000</v>
      </c>
      <c r="AI32" s="74" t="s">
        <v>2656</v>
      </c>
      <c r="AJ32" s="74" t="s">
        <v>2651</v>
      </c>
      <c r="AK32" s="74">
        <v>50</v>
      </c>
      <c r="AL32" s="74">
        <v>50</v>
      </c>
      <c r="AM32" s="74">
        <f t="shared" si="0"/>
        <v>100</v>
      </c>
    </row>
    <row r="33" spans="1:40" ht="62.25" thickTop="1">
      <c r="A33" s="74" t="s">
        <v>2634</v>
      </c>
      <c r="B33" s="97">
        <f>250</f>
        <v>250</v>
      </c>
      <c r="C33" s="95"/>
      <c r="D33" s="74"/>
      <c r="E33" s="74" t="s">
        <v>2649</v>
      </c>
      <c r="F33" s="103">
        <f t="shared" si="1"/>
        <v>250</v>
      </c>
      <c r="G33" s="88" t="s">
        <v>2615</v>
      </c>
      <c r="H33" s="89"/>
      <c r="I33" s="159" t="s">
        <v>2446</v>
      </c>
      <c r="J33" s="160"/>
      <c r="K33" s="160"/>
      <c r="L33" s="160"/>
      <c r="M33" s="160"/>
      <c r="N33" s="160"/>
      <c r="O33" s="161"/>
      <c r="R33" t="s">
        <v>2334</v>
      </c>
      <c r="S33">
        <f>170+60</f>
        <v>230</v>
      </c>
      <c r="T33" t="s">
        <v>2242</v>
      </c>
      <c r="V33" t="s">
        <v>2335</v>
      </c>
      <c r="AB33" s="86">
        <v>42590</v>
      </c>
      <c r="AC33" s="74" t="s">
        <v>2347</v>
      </c>
      <c r="AF33" s="74">
        <f>AF31-AE32</f>
        <v>1984</v>
      </c>
      <c r="AI33" s="74" t="s">
        <v>2657</v>
      </c>
      <c r="AJ33" s="74" t="s">
        <v>2316</v>
      </c>
      <c r="AK33" s="74">
        <v>50</v>
      </c>
      <c r="AL33" s="74">
        <f>100+15</f>
        <v>115</v>
      </c>
      <c r="AM33" s="74">
        <f t="shared" si="0"/>
        <v>165</v>
      </c>
    </row>
    <row r="34" spans="1:40" ht="15.75" thickBot="1">
      <c r="A34" s="74" t="s">
        <v>2657</v>
      </c>
      <c r="B34" s="95">
        <v>0</v>
      </c>
      <c r="C34" s="105">
        <f>700+600+(260*6)</f>
        <v>2860</v>
      </c>
      <c r="D34" s="128">
        <f>(125*3)+250</f>
        <v>625</v>
      </c>
      <c r="E34" s="74" t="s">
        <v>2675</v>
      </c>
      <c r="F34" s="103">
        <f t="shared" si="1"/>
        <v>3485</v>
      </c>
      <c r="G34" s="129" t="s">
        <v>2240</v>
      </c>
      <c r="H34" s="89"/>
      <c r="I34" s="86">
        <v>42529</v>
      </c>
      <c r="J34" s="74"/>
      <c r="K34" s="74"/>
      <c r="L34" s="74"/>
      <c r="M34" s="74">
        <v>75</v>
      </c>
      <c r="N34" s="93" t="s">
        <v>2458</v>
      </c>
      <c r="O34" s="93" t="s">
        <v>2229</v>
      </c>
      <c r="R34" t="s">
        <v>2334</v>
      </c>
      <c r="S34" s="98">
        <f>S32-S33</f>
        <v>670</v>
      </c>
      <c r="T34" t="s">
        <v>2243</v>
      </c>
      <c r="AB34" s="86">
        <v>42651</v>
      </c>
      <c r="AC34" s="74" t="s">
        <v>2396</v>
      </c>
      <c r="AD34" s="74">
        <f>2090</f>
        <v>2090</v>
      </c>
      <c r="AI34" s="74" t="s">
        <v>2683</v>
      </c>
      <c r="AJ34" s="74" t="s">
        <v>2417</v>
      </c>
      <c r="AK34" s="74">
        <v>65</v>
      </c>
      <c r="AL34" s="74">
        <v>40</v>
      </c>
      <c r="AM34" s="74">
        <f t="shared" si="0"/>
        <v>105</v>
      </c>
    </row>
    <row r="35" spans="1:40" ht="15.75" thickTop="1">
      <c r="A35" s="74" t="s">
        <v>2689</v>
      </c>
      <c r="B35" s="97">
        <f>450+550</f>
        <v>1000</v>
      </c>
      <c r="C35" s="95">
        <v>0</v>
      </c>
      <c r="D35" s="74">
        <v>0</v>
      </c>
      <c r="E35" s="74" t="s">
        <v>2708</v>
      </c>
      <c r="F35" s="103">
        <f t="shared" si="1"/>
        <v>1000</v>
      </c>
      <c r="G35" s="88" t="s">
        <v>2709</v>
      </c>
      <c r="H35" s="89"/>
      <c r="I35" s="86">
        <v>42529</v>
      </c>
      <c r="J35" s="74"/>
      <c r="K35" s="74"/>
      <c r="L35" s="74"/>
      <c r="M35" s="74">
        <v>230</v>
      </c>
      <c r="N35" s="93" t="s">
        <v>2312</v>
      </c>
      <c r="O35" s="93" t="s">
        <v>2229</v>
      </c>
      <c r="R35" t="s">
        <v>2334</v>
      </c>
      <c r="S35">
        <v>800</v>
      </c>
      <c r="T35" t="s">
        <v>2241</v>
      </c>
      <c r="AB35" s="86">
        <v>42651</v>
      </c>
      <c r="AC35" s="74" t="s">
        <v>2518</v>
      </c>
      <c r="AE35" s="74">
        <f>700</f>
        <v>700</v>
      </c>
      <c r="AI35" s="74" t="s">
        <v>2689</v>
      </c>
      <c r="AJ35" s="74" t="s">
        <v>2717</v>
      </c>
      <c r="AK35" s="74">
        <f>100</f>
        <v>100</v>
      </c>
      <c r="AL35" s="74">
        <f>40</f>
        <v>40</v>
      </c>
      <c r="AM35" s="74">
        <f t="shared" si="0"/>
        <v>140</v>
      </c>
    </row>
    <row r="36" spans="1:40" ht="15.75" thickBot="1">
      <c r="A36" s="74" t="s">
        <v>2695</v>
      </c>
      <c r="B36" s="95">
        <v>0</v>
      </c>
      <c r="C36" s="95">
        <f>1200+1200</f>
        <v>2400</v>
      </c>
      <c r="D36" s="89">
        <f>(125*9)</f>
        <v>1125</v>
      </c>
      <c r="E36" s="74" t="s">
        <v>2711</v>
      </c>
      <c r="F36" s="103">
        <f t="shared" si="1"/>
        <v>3525</v>
      </c>
      <c r="G36" s="88" t="s">
        <v>2710</v>
      </c>
      <c r="H36" s="89"/>
      <c r="I36" s="86">
        <v>42621</v>
      </c>
      <c r="J36" s="74"/>
      <c r="K36" s="74"/>
      <c r="L36" s="74"/>
      <c r="M36" s="74">
        <v>205</v>
      </c>
      <c r="N36" s="93" t="s">
        <v>2517</v>
      </c>
      <c r="O36" s="93" t="s">
        <v>2229</v>
      </c>
      <c r="R36" t="s">
        <v>2334</v>
      </c>
      <c r="S36" s="98">
        <f>S34+S35</f>
        <v>1470</v>
      </c>
      <c r="T36" t="s">
        <v>2243</v>
      </c>
      <c r="AB36" s="86">
        <v>42651</v>
      </c>
      <c r="AC36" s="74" t="s">
        <v>2519</v>
      </c>
      <c r="AE36" s="74">
        <f>500</f>
        <v>500</v>
      </c>
      <c r="AI36" s="74" t="s">
        <v>2695</v>
      </c>
      <c r="AJ36" s="74" t="s">
        <v>2417</v>
      </c>
      <c r="AK36" s="74">
        <v>50</v>
      </c>
      <c r="AL36" s="74">
        <v>100</v>
      </c>
      <c r="AM36" s="74">
        <f t="shared" si="0"/>
        <v>150</v>
      </c>
    </row>
    <row r="37" spans="1:40" ht="15.75" thickTop="1">
      <c r="A37" s="74" t="s">
        <v>2738</v>
      </c>
      <c r="B37" s="97">
        <f>430*2</f>
        <v>860</v>
      </c>
      <c r="C37" s="95">
        <f>1100*4</f>
        <v>4400</v>
      </c>
      <c r="D37" s="74">
        <v>0</v>
      </c>
      <c r="E37" s="74"/>
      <c r="F37" s="103">
        <f t="shared" si="1"/>
        <v>5260</v>
      </c>
      <c r="G37" s="88" t="s">
        <v>2615</v>
      </c>
      <c r="H37" s="89"/>
      <c r="I37" s="86">
        <v>42651</v>
      </c>
      <c r="J37" s="74"/>
      <c r="K37" s="74"/>
      <c r="L37" s="74"/>
      <c r="M37" s="74">
        <v>268</v>
      </c>
      <c r="N37" s="93" t="s">
        <v>2520</v>
      </c>
      <c r="O37" s="93" t="s">
        <v>2229</v>
      </c>
      <c r="R37" t="s">
        <v>2354</v>
      </c>
      <c r="S37">
        <f>50+60+550+170+300+70</f>
        <v>1200</v>
      </c>
      <c r="T37" t="s">
        <v>2242</v>
      </c>
      <c r="V37" t="s">
        <v>2362</v>
      </c>
      <c r="AB37" s="86">
        <v>42651</v>
      </c>
      <c r="AC37" s="74" t="s">
        <v>2347</v>
      </c>
      <c r="AF37" s="74">
        <f>AF33+AD34-AE35-AE36</f>
        <v>2874</v>
      </c>
      <c r="AI37" s="74" t="s">
        <v>2695</v>
      </c>
      <c r="AJ37" s="121" t="s">
        <v>2590</v>
      </c>
      <c r="AK37" s="121"/>
      <c r="AL37" s="121">
        <f>233+180</f>
        <v>413</v>
      </c>
      <c r="AM37" s="121">
        <f>233+180</f>
        <v>413</v>
      </c>
    </row>
    <row r="38" spans="1:40" ht="15.75" thickBot="1">
      <c r="A38" s="86">
        <v>42378</v>
      </c>
      <c r="B38" s="97">
        <f>450+170</f>
        <v>620</v>
      </c>
      <c r="C38" s="97">
        <f>1200</f>
        <v>1200</v>
      </c>
      <c r="D38" s="89">
        <f>4*125</f>
        <v>500</v>
      </c>
      <c r="E38" s="74" t="s">
        <v>2762</v>
      </c>
      <c r="F38" s="103">
        <f t="shared" si="1"/>
        <v>2320</v>
      </c>
      <c r="G38" s="169" t="s">
        <v>2709</v>
      </c>
      <c r="H38" s="89"/>
      <c r="I38" s="86">
        <v>42651</v>
      </c>
      <c r="J38" s="74"/>
      <c r="K38" s="74"/>
      <c r="L38" s="74"/>
      <c r="M38" s="74">
        <v>535</v>
      </c>
      <c r="N38" s="93" t="s">
        <v>2521</v>
      </c>
      <c r="O38" s="93" t="s">
        <v>2229</v>
      </c>
      <c r="R38" t="s">
        <v>2354</v>
      </c>
      <c r="S38" s="98">
        <f>S36-S37</f>
        <v>270</v>
      </c>
      <c r="T38" t="s">
        <v>2243</v>
      </c>
      <c r="AB38" s="74" t="s">
        <v>2535</v>
      </c>
      <c r="AC38" s="74" t="s">
        <v>2539</v>
      </c>
      <c r="AE38" s="74">
        <f>2500</f>
        <v>2500</v>
      </c>
      <c r="AI38" s="74" t="s">
        <v>2695</v>
      </c>
      <c r="AJ38" s="74" t="s">
        <v>2494</v>
      </c>
      <c r="AL38" s="74">
        <f>500</f>
        <v>500</v>
      </c>
      <c r="AM38" s="74">
        <f>500</f>
        <v>500</v>
      </c>
    </row>
    <row r="39" spans="1:40" ht="15.75" thickTop="1">
      <c r="A39" s="74"/>
      <c r="B39" s="95"/>
      <c r="C39" s="95"/>
      <c r="D39" s="74"/>
      <c r="E39" s="74"/>
      <c r="F39" s="74"/>
      <c r="G39" s="74"/>
      <c r="H39" s="89"/>
      <c r="I39" s="86">
        <v>42712</v>
      </c>
      <c r="J39" s="74"/>
      <c r="K39" s="74"/>
      <c r="L39" s="74"/>
      <c r="M39" s="74">
        <v>735</v>
      </c>
      <c r="N39" s="93" t="s">
        <v>2530</v>
      </c>
      <c r="O39" s="93" t="s">
        <v>2229</v>
      </c>
      <c r="R39" t="s">
        <v>2363</v>
      </c>
      <c r="S39">
        <f>1500</f>
        <v>1500</v>
      </c>
      <c r="T39" t="s">
        <v>2369</v>
      </c>
      <c r="AB39" s="74" t="s">
        <v>2535</v>
      </c>
      <c r="AC39" s="74" t="s">
        <v>2347</v>
      </c>
      <c r="AF39" s="74">
        <f>AF37-AE38</f>
        <v>374</v>
      </c>
      <c r="AI39" s="74" t="s">
        <v>2738</v>
      </c>
      <c r="AJ39" s="74" t="s">
        <v>2651</v>
      </c>
      <c r="AK39" s="74">
        <f>50+30</f>
        <v>80</v>
      </c>
      <c r="AL39" s="74">
        <f>30</f>
        <v>30</v>
      </c>
      <c r="AM39" s="74">
        <f t="shared" ref="AM39:AM40" si="2">AK39+AL39</f>
        <v>110</v>
      </c>
      <c r="AN39" s="74" t="s">
        <v>2612</v>
      </c>
    </row>
    <row r="40" spans="1:40">
      <c r="A40" s="74"/>
      <c r="B40" s="95"/>
      <c r="C40" s="95"/>
      <c r="D40" s="74"/>
      <c r="E40" s="74"/>
      <c r="F40" s="74"/>
      <c r="G40" s="74"/>
      <c r="H40" s="89"/>
      <c r="I40" s="86">
        <v>42712</v>
      </c>
      <c r="J40" s="74"/>
      <c r="K40" s="74"/>
      <c r="L40" s="74"/>
      <c r="M40" s="74">
        <v>260</v>
      </c>
      <c r="N40" s="93" t="s">
        <v>2531</v>
      </c>
      <c r="O40" s="93" t="s">
        <v>2229</v>
      </c>
      <c r="R40" t="s">
        <v>2363</v>
      </c>
      <c r="S40">
        <f>50+50+1200</f>
        <v>1300</v>
      </c>
      <c r="T40" t="s">
        <v>2242</v>
      </c>
      <c r="AB40" s="74" t="s">
        <v>2542</v>
      </c>
      <c r="AC40" s="74" t="s">
        <v>2396</v>
      </c>
      <c r="AD40" s="74">
        <f>2353+1915</f>
        <v>4268</v>
      </c>
      <c r="AI40" s="86">
        <v>42378</v>
      </c>
      <c r="AJ40" s="74" t="s">
        <v>2417</v>
      </c>
      <c r="AK40" s="74">
        <v>100</v>
      </c>
      <c r="AL40" s="74">
        <v>40</v>
      </c>
      <c r="AM40" s="74">
        <f t="shared" si="2"/>
        <v>140</v>
      </c>
    </row>
    <row r="41" spans="1:40" ht="15.75" thickBot="1">
      <c r="A41" s="74"/>
      <c r="B41" s="95"/>
      <c r="C41" s="95"/>
      <c r="D41" s="74"/>
      <c r="E41" s="74"/>
      <c r="F41" s="74"/>
      <c r="G41" s="74"/>
      <c r="H41" s="89"/>
      <c r="I41" s="74" t="s">
        <v>2542</v>
      </c>
      <c r="J41" s="74"/>
      <c r="K41" s="74"/>
      <c r="L41" s="74"/>
      <c r="M41" s="74">
        <v>200</v>
      </c>
      <c r="N41" s="93" t="s">
        <v>2546</v>
      </c>
      <c r="O41" s="93" t="s">
        <v>2229</v>
      </c>
      <c r="R41" t="s">
        <v>2363</v>
      </c>
      <c r="S41" s="98">
        <f>S38+S39-S40</f>
        <v>470</v>
      </c>
      <c r="T41" t="s">
        <v>2243</v>
      </c>
      <c r="AB41" s="74" t="s">
        <v>2542</v>
      </c>
      <c r="AC41" s="74" t="s">
        <v>2550</v>
      </c>
      <c r="AE41" s="74">
        <f>4515</f>
        <v>4515</v>
      </c>
    </row>
    <row r="42" spans="1:40" ht="15.75" thickTop="1">
      <c r="A42" s="74"/>
      <c r="B42" s="95"/>
      <c r="C42" s="95"/>
      <c r="D42" s="74"/>
      <c r="E42" s="74"/>
      <c r="F42" s="74"/>
      <c r="G42" s="74"/>
      <c r="H42" s="89"/>
      <c r="I42" s="74" t="s">
        <v>2542</v>
      </c>
      <c r="J42" s="74"/>
      <c r="K42" s="74"/>
      <c r="L42" s="74"/>
      <c r="M42" s="74">
        <v>240</v>
      </c>
      <c r="N42" s="93" t="s">
        <v>2312</v>
      </c>
      <c r="O42" s="93" t="s">
        <v>2229</v>
      </c>
      <c r="R42" t="s">
        <v>2381</v>
      </c>
      <c r="S42">
        <f>4500</f>
        <v>4500</v>
      </c>
      <c r="T42" t="s">
        <v>2383</v>
      </c>
      <c r="AB42" s="74" t="s">
        <v>2542</v>
      </c>
      <c r="AC42" s="74" t="s">
        <v>2347</v>
      </c>
      <c r="AF42" s="74">
        <f>AF39+AD40-AE41</f>
        <v>127</v>
      </c>
    </row>
    <row r="43" spans="1:40">
      <c r="A43" s="74"/>
      <c r="B43" s="95"/>
      <c r="C43" s="95"/>
      <c r="D43" s="74"/>
      <c r="E43" s="74"/>
      <c r="F43" s="74"/>
      <c r="G43" s="74"/>
      <c r="H43" s="89"/>
      <c r="I43" s="74" t="s">
        <v>2542</v>
      </c>
      <c r="J43" s="74"/>
      <c r="K43" s="74"/>
      <c r="L43" s="74"/>
      <c r="M43" s="74">
        <v>165</v>
      </c>
      <c r="N43" s="93" t="s">
        <v>2312</v>
      </c>
      <c r="O43" s="93" t="s">
        <v>2229</v>
      </c>
      <c r="R43" t="s">
        <v>2381</v>
      </c>
      <c r="S43">
        <f>2370+1930</f>
        <v>4300</v>
      </c>
      <c r="T43" t="s">
        <v>2305</v>
      </c>
      <c r="AB43" s="74" t="s">
        <v>2568</v>
      </c>
      <c r="AC43" s="74" t="s">
        <v>2396</v>
      </c>
      <c r="AD43" s="74">
        <v>779</v>
      </c>
    </row>
    <row r="44" spans="1:40">
      <c r="A44" s="74"/>
      <c r="B44" s="95"/>
      <c r="C44" s="95"/>
      <c r="D44" s="74"/>
      <c r="E44" s="74"/>
      <c r="F44" s="74"/>
      <c r="G44" s="74"/>
      <c r="H44" s="89"/>
      <c r="I44" s="74" t="s">
        <v>2542</v>
      </c>
      <c r="J44" s="74"/>
      <c r="K44" s="74"/>
      <c r="L44" s="74"/>
      <c r="M44" s="74">
        <v>165</v>
      </c>
      <c r="N44" s="93" t="s">
        <v>2312</v>
      </c>
      <c r="O44" s="93" t="s">
        <v>2229</v>
      </c>
      <c r="R44" t="s">
        <v>2381</v>
      </c>
      <c r="S44">
        <f>150+60</f>
        <v>210</v>
      </c>
      <c r="T44" t="s">
        <v>2242</v>
      </c>
      <c r="V44" t="s">
        <v>2384</v>
      </c>
      <c r="AB44" s="74" t="s">
        <v>2568</v>
      </c>
      <c r="AC44" s="74" t="s">
        <v>2347</v>
      </c>
      <c r="AF44" s="74">
        <f>AF42+AD43</f>
        <v>906</v>
      </c>
    </row>
    <row r="45" spans="1:40" ht="15.75" thickBot="1">
      <c r="A45" s="74"/>
      <c r="B45" s="95"/>
      <c r="C45" s="95"/>
      <c r="D45" s="74"/>
      <c r="E45" s="74"/>
      <c r="F45" s="74"/>
      <c r="G45" s="74"/>
      <c r="H45" s="89"/>
      <c r="I45" s="74" t="s">
        <v>2542</v>
      </c>
      <c r="J45" s="74"/>
      <c r="K45" s="74"/>
      <c r="L45" s="74"/>
      <c r="M45" s="74">
        <v>140</v>
      </c>
      <c r="N45" s="93" t="s">
        <v>2547</v>
      </c>
      <c r="O45" s="93" t="s">
        <v>2229</v>
      </c>
      <c r="R45" t="s">
        <v>2381</v>
      </c>
      <c r="S45" s="108">
        <f>S41+S42-S43-S44</f>
        <v>460</v>
      </c>
      <c r="T45" t="s">
        <v>2243</v>
      </c>
      <c r="AB45" s="74" t="s">
        <v>2578</v>
      </c>
      <c r="AC45" s="74" t="s">
        <v>2585</v>
      </c>
      <c r="AD45" s="74">
        <v>21423</v>
      </c>
    </row>
    <row r="46" spans="1:40" ht="15.75" thickTop="1">
      <c r="A46" s="74"/>
      <c r="B46" s="95"/>
      <c r="C46" s="95"/>
      <c r="D46" s="74"/>
      <c r="E46" s="74"/>
      <c r="F46" s="74"/>
      <c r="G46" s="74"/>
      <c r="H46" s="89"/>
      <c r="I46" s="74" t="s">
        <v>2542</v>
      </c>
      <c r="J46" s="74"/>
      <c r="K46" s="74"/>
      <c r="L46" s="74"/>
      <c r="M46" s="74">
        <v>300</v>
      </c>
      <c r="N46" s="93" t="s">
        <v>2548</v>
      </c>
      <c r="O46" s="93" t="s">
        <v>2229</v>
      </c>
      <c r="R46" s="38">
        <v>42376</v>
      </c>
      <c r="S46">
        <v>2000</v>
      </c>
      <c r="T46" t="s">
        <v>2400</v>
      </c>
      <c r="AB46" s="74" t="s">
        <v>2578</v>
      </c>
      <c r="AC46" s="74" t="s">
        <v>2396</v>
      </c>
      <c r="AD46" s="74">
        <f>134</f>
        <v>134</v>
      </c>
    </row>
    <row r="47" spans="1:40">
      <c r="A47" s="74"/>
      <c r="B47" s="95"/>
      <c r="C47" s="95"/>
      <c r="D47" s="74"/>
      <c r="E47" s="74"/>
      <c r="F47" s="74"/>
      <c r="G47" s="74"/>
      <c r="H47" s="89"/>
      <c r="I47" s="74" t="s">
        <v>2568</v>
      </c>
      <c r="J47" s="74"/>
      <c r="K47" s="74"/>
      <c r="L47" s="74"/>
      <c r="M47" s="74">
        <v>230</v>
      </c>
      <c r="N47" s="93" t="s">
        <v>2312</v>
      </c>
      <c r="O47" s="93" t="s">
        <v>2229</v>
      </c>
      <c r="R47" s="38">
        <v>42376</v>
      </c>
      <c r="S47">
        <f>90+150+1700</f>
        <v>1940</v>
      </c>
      <c r="T47" t="s">
        <v>2242</v>
      </c>
      <c r="V47" t="s">
        <v>2399</v>
      </c>
      <c r="AB47" s="74" t="s">
        <v>2578</v>
      </c>
      <c r="AC47" s="74" t="s">
        <v>2586</v>
      </c>
      <c r="AE47" s="74">
        <f>4500</f>
        <v>4500</v>
      </c>
    </row>
    <row r="48" spans="1:40" ht="15.75" thickBot="1">
      <c r="A48" s="74"/>
      <c r="B48" s="95"/>
      <c r="C48" s="95"/>
      <c r="D48" s="74"/>
      <c r="E48" s="74"/>
      <c r="F48" s="74"/>
      <c r="G48" s="74"/>
      <c r="H48" s="89"/>
      <c r="I48" s="74" t="s">
        <v>2578</v>
      </c>
      <c r="J48" s="74"/>
      <c r="K48" s="74"/>
      <c r="L48" s="74"/>
      <c r="M48" s="74">
        <v>380</v>
      </c>
      <c r="N48" s="93" t="s">
        <v>2579</v>
      </c>
      <c r="O48" s="93" t="s">
        <v>2229</v>
      </c>
      <c r="R48" s="38">
        <v>42376</v>
      </c>
      <c r="S48" s="98">
        <f>S45+S46-S47</f>
        <v>520</v>
      </c>
      <c r="T48" t="s">
        <v>2243</v>
      </c>
      <c r="AB48" s="74" t="s">
        <v>2578</v>
      </c>
      <c r="AC48" s="74" t="s">
        <v>2347</v>
      </c>
      <c r="AF48" s="74">
        <f>AF44+AD45+AD46-AE47</f>
        <v>17963</v>
      </c>
    </row>
    <row r="49" spans="1:32" ht="15.75" thickTop="1">
      <c r="A49" s="74"/>
      <c r="B49" s="95"/>
      <c r="C49" s="95"/>
      <c r="D49" s="74"/>
      <c r="E49" s="74"/>
      <c r="F49" s="74"/>
      <c r="G49" s="74"/>
      <c r="H49" s="89"/>
      <c r="I49" s="74" t="s">
        <v>2578</v>
      </c>
      <c r="J49" s="74"/>
      <c r="K49" s="74"/>
      <c r="L49" s="74"/>
      <c r="M49" s="74">
        <v>340</v>
      </c>
      <c r="N49" s="93" t="s">
        <v>2580</v>
      </c>
      <c r="O49" s="93" t="s">
        <v>2229</v>
      </c>
      <c r="R49" s="38">
        <v>42407</v>
      </c>
      <c r="S49">
        <v>70</v>
      </c>
      <c r="T49" t="s">
        <v>2242</v>
      </c>
      <c r="V49" t="s">
        <v>2316</v>
      </c>
      <c r="AB49" s="74" t="s">
        <v>2607</v>
      </c>
      <c r="AC49" s="74" t="s">
        <v>2611</v>
      </c>
      <c r="AE49" s="74">
        <f>1500</f>
        <v>1500</v>
      </c>
    </row>
    <row r="50" spans="1:32" ht="15.75" thickBot="1">
      <c r="A50" s="74"/>
      <c r="B50" s="95"/>
      <c r="C50" s="95"/>
      <c r="D50" s="74"/>
      <c r="E50" s="74"/>
      <c r="F50" s="74"/>
      <c r="G50" s="74"/>
      <c r="H50" s="89"/>
      <c r="I50" s="74" t="s">
        <v>2578</v>
      </c>
      <c r="J50" s="74"/>
      <c r="K50" s="74"/>
      <c r="L50" s="74"/>
      <c r="M50" s="74">
        <v>180</v>
      </c>
      <c r="N50" s="93" t="s">
        <v>2520</v>
      </c>
      <c r="O50" s="93" t="s">
        <v>2229</v>
      </c>
      <c r="R50" s="38">
        <v>42407</v>
      </c>
      <c r="S50" s="98">
        <f>S48-S49</f>
        <v>450</v>
      </c>
      <c r="T50" t="s">
        <v>2243</v>
      </c>
      <c r="AB50" s="74" t="s">
        <v>2607</v>
      </c>
      <c r="AC50" s="74" t="s">
        <v>2347</v>
      </c>
      <c r="AF50" s="74">
        <f>AF48-AE49</f>
        <v>16463</v>
      </c>
    </row>
    <row r="51" spans="1:32" ht="15.75" thickTop="1">
      <c r="A51" s="74"/>
      <c r="B51" s="95"/>
      <c r="C51" s="95"/>
      <c r="D51" s="74"/>
      <c r="E51" s="74"/>
      <c r="F51" s="74"/>
      <c r="G51" s="74"/>
      <c r="H51" s="89"/>
      <c r="I51" s="74" t="s">
        <v>2578</v>
      </c>
      <c r="J51" s="74"/>
      <c r="K51" s="74"/>
      <c r="L51" s="74"/>
      <c r="M51" s="74">
        <v>200</v>
      </c>
      <c r="N51" s="93" t="s">
        <v>2520</v>
      </c>
      <c r="O51" s="93" t="s">
        <v>2229</v>
      </c>
      <c r="R51" s="38">
        <v>42437</v>
      </c>
      <c r="S51">
        <v>500</v>
      </c>
      <c r="T51" t="s">
        <v>2241</v>
      </c>
      <c r="AB51" s="74" t="s">
        <v>2614</v>
      </c>
      <c r="AC51" s="74" t="s">
        <v>2617</v>
      </c>
      <c r="AE51" s="74">
        <f>11000</f>
        <v>11000</v>
      </c>
    </row>
    <row r="52" spans="1:32">
      <c r="A52" s="74"/>
      <c r="B52" s="95"/>
      <c r="C52" s="95"/>
      <c r="D52" s="74"/>
      <c r="E52" s="74"/>
      <c r="F52" s="74"/>
      <c r="G52" s="74"/>
      <c r="H52" s="89"/>
      <c r="I52" s="74" t="s">
        <v>2578</v>
      </c>
      <c r="J52" s="74"/>
      <c r="K52" s="74"/>
      <c r="L52" s="74"/>
      <c r="M52" s="74">
        <v>370</v>
      </c>
      <c r="N52" s="93" t="s">
        <v>2232</v>
      </c>
      <c r="O52" s="93" t="s">
        <v>2229</v>
      </c>
      <c r="R52" s="38">
        <v>42437</v>
      </c>
      <c r="S52">
        <v>780</v>
      </c>
      <c r="T52" t="s">
        <v>2241</v>
      </c>
      <c r="AB52" s="74" t="s">
        <v>2614</v>
      </c>
      <c r="AC52" s="74" t="s">
        <v>2347</v>
      </c>
      <c r="AF52" s="74">
        <f>AF50-AE51</f>
        <v>5463</v>
      </c>
    </row>
    <row r="53" spans="1:32">
      <c r="A53" s="74"/>
      <c r="B53" s="95"/>
      <c r="C53" s="95"/>
      <c r="D53" s="74"/>
      <c r="E53" s="74"/>
      <c r="F53" s="74"/>
      <c r="G53" s="74"/>
      <c r="H53" s="89"/>
      <c r="I53" s="74" t="s">
        <v>2578</v>
      </c>
      <c r="J53" s="74"/>
      <c r="K53" s="74"/>
      <c r="L53" s="74"/>
      <c r="M53" s="74">
        <v>370</v>
      </c>
      <c r="N53" s="93" t="s">
        <v>2232</v>
      </c>
      <c r="O53" s="93" t="s">
        <v>2229</v>
      </c>
      <c r="R53" s="38">
        <v>42437</v>
      </c>
      <c r="S53">
        <f>50+40+25+50</f>
        <v>165</v>
      </c>
      <c r="T53" t="s">
        <v>2242</v>
      </c>
      <c r="V53" t="s">
        <v>2418</v>
      </c>
      <c r="AB53" s="74" t="s">
        <v>2627</v>
      </c>
      <c r="AC53" s="74" t="s">
        <v>2628</v>
      </c>
      <c r="AD53" s="74">
        <f>359</f>
        <v>359</v>
      </c>
    </row>
    <row r="54" spans="1:32">
      <c r="A54" s="74"/>
      <c r="B54" s="95"/>
      <c r="C54" s="95"/>
      <c r="D54" s="74"/>
      <c r="E54" s="74"/>
      <c r="F54" s="74"/>
      <c r="G54" s="74"/>
      <c r="H54" s="89"/>
      <c r="I54" s="74" t="s">
        <v>2578</v>
      </c>
      <c r="J54" s="74"/>
      <c r="K54" s="74"/>
      <c r="L54" s="74"/>
      <c r="M54" s="74">
        <v>140</v>
      </c>
      <c r="N54" s="93" t="s">
        <v>2581</v>
      </c>
      <c r="O54" s="93" t="s">
        <v>2229</v>
      </c>
      <c r="R54" s="38">
        <v>42437</v>
      </c>
      <c r="S54">
        <v>1000</v>
      </c>
      <c r="T54" t="s">
        <v>2419</v>
      </c>
      <c r="AB54" s="74" t="s">
        <v>2627</v>
      </c>
      <c r="AC54" s="74" t="s">
        <v>2347</v>
      </c>
      <c r="AF54" s="74">
        <f>AF52+AD53</f>
        <v>5822</v>
      </c>
    </row>
    <row r="55" spans="1:32">
      <c r="A55" s="74"/>
      <c r="B55" s="95"/>
      <c r="C55" s="95"/>
      <c r="D55" s="74"/>
      <c r="E55" s="74"/>
      <c r="F55" s="74"/>
      <c r="G55" s="74"/>
      <c r="H55" s="89"/>
      <c r="I55" s="74" t="s">
        <v>2578</v>
      </c>
      <c r="J55" s="74"/>
      <c r="K55" s="74"/>
      <c r="L55" s="74"/>
      <c r="M55" s="74">
        <v>230</v>
      </c>
      <c r="N55" s="93" t="s">
        <v>2312</v>
      </c>
      <c r="O55" s="93" t="s">
        <v>2229</v>
      </c>
      <c r="R55" s="38">
        <v>42437</v>
      </c>
      <c r="S55">
        <v>200</v>
      </c>
      <c r="T55" t="s">
        <v>2420</v>
      </c>
      <c r="AB55" s="74" t="s">
        <v>2647</v>
      </c>
      <c r="AC55" s="74" t="s">
        <v>2650</v>
      </c>
      <c r="AE55" s="74">
        <f>5500</f>
        <v>5500</v>
      </c>
    </row>
    <row r="56" spans="1:32" ht="15.75" thickBot="1">
      <c r="A56" s="74"/>
      <c r="B56" s="95"/>
      <c r="C56" s="95"/>
      <c r="D56" s="74"/>
      <c r="E56" s="74"/>
      <c r="F56" s="74"/>
      <c r="G56" s="74"/>
      <c r="H56" s="89"/>
      <c r="I56" s="74" t="s">
        <v>2578</v>
      </c>
      <c r="J56" s="74"/>
      <c r="K56" s="74"/>
      <c r="L56" s="74"/>
      <c r="M56" s="74">
        <v>250</v>
      </c>
      <c r="N56" s="93" t="s">
        <v>2312</v>
      </c>
      <c r="O56" s="93" t="s">
        <v>2229</v>
      </c>
      <c r="R56" s="38">
        <v>42437</v>
      </c>
      <c r="S56" s="98">
        <f>S50+S51+S52-S53-S54-S55</f>
        <v>365</v>
      </c>
      <c r="T56" t="s">
        <v>2243</v>
      </c>
      <c r="W56" t="s">
        <v>2421</v>
      </c>
      <c r="AB56" s="74" t="s">
        <v>2647</v>
      </c>
      <c r="AC56" s="74" t="s">
        <v>2347</v>
      </c>
      <c r="AF56" s="74">
        <f>AF54-AE55</f>
        <v>322</v>
      </c>
    </row>
    <row r="57" spans="1:32" ht="15.75" thickTop="1">
      <c r="A57" s="74"/>
      <c r="B57" s="95"/>
      <c r="C57" s="95"/>
      <c r="D57" s="74"/>
      <c r="E57" s="74"/>
      <c r="F57" s="74"/>
      <c r="G57" s="74"/>
      <c r="H57" s="89"/>
      <c r="I57" s="74" t="s">
        <v>2578</v>
      </c>
      <c r="J57" s="74"/>
      <c r="K57" s="74"/>
      <c r="L57" s="74"/>
      <c r="M57" s="74">
        <v>230</v>
      </c>
      <c r="N57" s="93" t="s">
        <v>2312</v>
      </c>
      <c r="O57" s="93" t="s">
        <v>2229</v>
      </c>
      <c r="R57" s="38">
        <v>42468</v>
      </c>
      <c r="S57" s="119">
        <f>50+85</f>
        <v>135</v>
      </c>
      <c r="T57" t="s">
        <v>2242</v>
      </c>
      <c r="V57" t="s">
        <v>2418</v>
      </c>
      <c r="AB57" s="74" t="s">
        <v>2695</v>
      </c>
      <c r="AC57" s="74" t="s">
        <v>2714</v>
      </c>
      <c r="AD57" s="74">
        <f>2634+1025</f>
        <v>3659</v>
      </c>
    </row>
    <row r="58" spans="1:32" ht="15.75" thickBot="1">
      <c r="A58" s="74"/>
      <c r="B58" s="95"/>
      <c r="C58" s="95"/>
      <c r="D58" s="74"/>
      <c r="E58" s="74"/>
      <c r="F58" s="74"/>
      <c r="G58" s="74"/>
      <c r="H58" s="89"/>
      <c r="I58" s="74" t="s">
        <v>2578</v>
      </c>
      <c r="J58" s="74"/>
      <c r="K58" s="74"/>
      <c r="L58" s="74"/>
      <c r="M58" s="74">
        <v>230</v>
      </c>
      <c r="N58" s="93" t="s">
        <v>2312</v>
      </c>
      <c r="O58" s="93" t="s">
        <v>2229</v>
      </c>
      <c r="R58" s="38">
        <v>42468</v>
      </c>
      <c r="S58" s="98">
        <f>S56-S57</f>
        <v>230</v>
      </c>
      <c r="T58" t="s">
        <v>2243</v>
      </c>
      <c r="AB58" s="74" t="s">
        <v>2695</v>
      </c>
      <c r="AC58" s="74" t="s">
        <v>2715</v>
      </c>
      <c r="AD58" s="130">
        <v>10967</v>
      </c>
    </row>
    <row r="59" spans="1:32" ht="15.75" thickTop="1">
      <c r="A59" s="74"/>
      <c r="B59" s="95"/>
      <c r="C59" s="95"/>
      <c r="D59" s="74"/>
      <c r="E59" s="74"/>
      <c r="F59" s="74"/>
      <c r="G59" s="74"/>
      <c r="H59" s="89"/>
      <c r="I59" s="74" t="s">
        <v>2578</v>
      </c>
      <c r="J59" s="74"/>
      <c r="K59" s="74"/>
      <c r="L59" s="74"/>
      <c r="M59" s="74">
        <v>265</v>
      </c>
      <c r="N59" s="93" t="s">
        <v>2582</v>
      </c>
      <c r="O59" s="93" t="s">
        <v>2229</v>
      </c>
      <c r="R59" s="38">
        <v>42468</v>
      </c>
      <c r="S59">
        <f>300</f>
        <v>300</v>
      </c>
      <c r="T59" t="s">
        <v>2433</v>
      </c>
      <c r="AB59" s="74" t="s">
        <v>2695</v>
      </c>
      <c r="AC59" s="74" t="s">
        <v>2716</v>
      </c>
      <c r="AE59" s="74">
        <f>10500+4000</f>
        <v>14500</v>
      </c>
    </row>
    <row r="60" spans="1:32">
      <c r="A60" s="74"/>
      <c r="B60" s="95"/>
      <c r="C60" s="95"/>
      <c r="D60" s="74"/>
      <c r="E60" s="74"/>
      <c r="F60" s="74"/>
      <c r="G60" s="74"/>
      <c r="H60" s="89"/>
      <c r="I60" s="74" t="s">
        <v>2578</v>
      </c>
      <c r="J60" s="74"/>
      <c r="K60" s="74"/>
      <c r="L60" s="74"/>
      <c r="M60" s="74">
        <v>250</v>
      </c>
      <c r="N60" s="93" t="s">
        <v>2312</v>
      </c>
      <c r="O60" s="93" t="s">
        <v>2229</v>
      </c>
      <c r="R60" s="38">
        <v>42468</v>
      </c>
      <c r="S60">
        <f>210+50+50+40+130</f>
        <v>480</v>
      </c>
      <c r="T60" t="s">
        <v>2242</v>
      </c>
      <c r="V60" t="s">
        <v>2432</v>
      </c>
      <c r="AB60" s="74" t="s">
        <v>2695</v>
      </c>
      <c r="AC60" s="74" t="s">
        <v>2347</v>
      </c>
      <c r="AF60" s="130">
        <f>AF56+AD57+AD58-AE59</f>
        <v>448</v>
      </c>
    </row>
    <row r="61" spans="1:32" ht="15.75" thickBot="1">
      <c r="A61" s="74"/>
      <c r="B61" s="95"/>
      <c r="C61" s="95"/>
      <c r="D61" s="74"/>
      <c r="E61" s="74"/>
      <c r="F61" s="74"/>
      <c r="G61" s="74"/>
      <c r="H61" s="89"/>
      <c r="I61" s="74" t="s">
        <v>2578</v>
      </c>
      <c r="J61" s="74"/>
      <c r="K61" s="74"/>
      <c r="L61" s="74"/>
      <c r="M61" s="74">
        <v>230</v>
      </c>
      <c r="N61" s="93" t="s">
        <v>2312</v>
      </c>
      <c r="O61" s="93" t="s">
        <v>2229</v>
      </c>
      <c r="R61" s="38">
        <v>42468</v>
      </c>
      <c r="S61" s="98">
        <f>S58+S59-S60</f>
        <v>50</v>
      </c>
      <c r="T61" t="s">
        <v>2243</v>
      </c>
      <c r="AB61" s="86">
        <v>42378</v>
      </c>
      <c r="AC61" s="74" t="s">
        <v>2761</v>
      </c>
      <c r="AE61" s="74">
        <f>500</f>
        <v>500</v>
      </c>
    </row>
    <row r="62" spans="1:32" ht="15.75" thickTop="1">
      <c r="A62" s="74"/>
      <c r="B62" s="95"/>
      <c r="C62" s="95"/>
      <c r="D62" s="74"/>
      <c r="E62" s="74"/>
      <c r="F62" s="74"/>
      <c r="G62" s="74"/>
      <c r="H62" s="89"/>
      <c r="I62" s="74" t="s">
        <v>2578</v>
      </c>
      <c r="J62" s="74"/>
      <c r="K62" s="74"/>
      <c r="L62" s="74"/>
      <c r="M62" s="74">
        <v>230</v>
      </c>
      <c r="N62" s="93" t="s">
        <v>2312</v>
      </c>
      <c r="O62" s="93" t="s">
        <v>2229</v>
      </c>
      <c r="R62" s="38">
        <v>42498</v>
      </c>
      <c r="S62">
        <v>3500</v>
      </c>
      <c r="T62" t="s">
        <v>2369</v>
      </c>
      <c r="AB62" s="86">
        <v>42378</v>
      </c>
      <c r="AC62" s="74" t="s">
        <v>2347</v>
      </c>
      <c r="AF62" s="74">
        <v>16</v>
      </c>
    </row>
    <row r="63" spans="1:32">
      <c r="A63" s="74"/>
      <c r="B63" s="95"/>
      <c r="C63" s="95"/>
      <c r="D63" s="74"/>
      <c r="E63" s="74"/>
      <c r="F63" s="74"/>
      <c r="G63" s="74"/>
      <c r="H63" s="89"/>
      <c r="I63" s="74" t="s">
        <v>2578</v>
      </c>
      <c r="J63" s="74"/>
      <c r="K63" s="74"/>
      <c r="L63" s="74"/>
      <c r="M63" s="74">
        <v>265</v>
      </c>
      <c r="N63" s="93" t="s">
        <v>2582</v>
      </c>
      <c r="O63" s="93" t="s">
        <v>2229</v>
      </c>
      <c r="R63" s="38">
        <v>42498</v>
      </c>
      <c r="S63">
        <f>1030-150</f>
        <v>880</v>
      </c>
      <c r="T63" t="s">
        <v>2241</v>
      </c>
    </row>
    <row r="64" spans="1:32">
      <c r="A64" s="74"/>
      <c r="B64" s="95"/>
      <c r="C64" s="95"/>
      <c r="D64" s="74"/>
      <c r="E64" s="74"/>
      <c r="F64" s="74"/>
      <c r="G64" s="74"/>
      <c r="H64" s="89"/>
      <c r="I64" s="74" t="s">
        <v>2578</v>
      </c>
      <c r="J64" s="74"/>
      <c r="K64" s="74"/>
      <c r="L64" s="74"/>
      <c r="M64" s="74">
        <v>295</v>
      </c>
      <c r="N64" s="93" t="s">
        <v>2582</v>
      </c>
      <c r="O64" s="93" t="s">
        <v>2229</v>
      </c>
      <c r="R64" s="38">
        <v>42498</v>
      </c>
      <c r="S64">
        <v>3500</v>
      </c>
      <c r="T64" t="s">
        <v>2441</v>
      </c>
    </row>
    <row r="65" spans="1:22">
      <c r="A65" s="74"/>
      <c r="B65" s="95"/>
      <c r="C65" s="95"/>
      <c r="D65" s="74"/>
      <c r="E65" s="74"/>
      <c r="F65" s="74"/>
      <c r="G65" s="74"/>
      <c r="H65" s="89"/>
      <c r="I65" s="74" t="s">
        <v>2578</v>
      </c>
      <c r="J65" s="74"/>
      <c r="K65" s="74"/>
      <c r="L65" s="74"/>
      <c r="M65" s="74">
        <v>170</v>
      </c>
      <c r="N65" s="93" t="s">
        <v>2520</v>
      </c>
      <c r="O65" s="93" t="s">
        <v>2229</v>
      </c>
      <c r="R65" s="38">
        <v>42498</v>
      </c>
      <c r="S65">
        <v>550</v>
      </c>
      <c r="T65" t="s">
        <v>2442</v>
      </c>
    </row>
    <row r="66" spans="1:22">
      <c r="A66" s="74"/>
      <c r="B66" s="95"/>
      <c r="C66" s="95"/>
      <c r="D66" s="74"/>
      <c r="E66" s="74"/>
      <c r="F66" s="74"/>
      <c r="G66" s="74"/>
      <c r="H66" s="89"/>
      <c r="I66" s="74" t="s">
        <v>2578</v>
      </c>
      <c r="J66" s="74"/>
      <c r="K66" s="74"/>
      <c r="L66" s="74"/>
      <c r="M66" s="74">
        <v>710</v>
      </c>
      <c r="N66" s="93" t="s">
        <v>2583</v>
      </c>
      <c r="O66" s="93" t="s">
        <v>2229</v>
      </c>
      <c r="R66" s="38">
        <v>42498</v>
      </c>
      <c r="S66" s="119">
        <f>140+80</f>
        <v>220</v>
      </c>
      <c r="T66" t="s">
        <v>2242</v>
      </c>
      <c r="V66" t="s">
        <v>2445</v>
      </c>
    </row>
    <row r="67" spans="1:22" ht="15.75" thickBot="1">
      <c r="A67" s="74"/>
      <c r="B67" s="95"/>
      <c r="C67" s="95"/>
      <c r="D67" s="74"/>
      <c r="E67" s="74"/>
      <c r="F67" s="74"/>
      <c r="G67" s="74"/>
      <c r="H67" s="89"/>
      <c r="I67" s="74" t="s">
        <v>2578</v>
      </c>
      <c r="J67" s="74"/>
      <c r="K67" s="74"/>
      <c r="L67" s="74"/>
      <c r="M67" s="74">
        <v>180</v>
      </c>
      <c r="N67" s="93" t="s">
        <v>2520</v>
      </c>
      <c r="O67" s="93" t="s">
        <v>2229</v>
      </c>
      <c r="R67" s="38">
        <v>42498</v>
      </c>
      <c r="S67" s="98">
        <f>S62+S63-S64-S65-S66</f>
        <v>110</v>
      </c>
      <c r="T67" t="s">
        <v>2243</v>
      </c>
    </row>
    <row r="68" spans="1:22" ht="15.75" thickTop="1">
      <c r="A68" s="74"/>
      <c r="B68" s="95"/>
      <c r="C68" s="95"/>
      <c r="D68" s="74"/>
      <c r="E68" s="74"/>
      <c r="F68" s="74"/>
      <c r="G68" s="74"/>
      <c r="H68" s="89"/>
      <c r="I68" s="74" t="s">
        <v>2578</v>
      </c>
      <c r="J68" s="74"/>
      <c r="K68" s="74"/>
      <c r="L68" s="74"/>
      <c r="M68" s="74">
        <v>370</v>
      </c>
      <c r="N68" s="93" t="s">
        <v>2584</v>
      </c>
      <c r="O68" s="93" t="s">
        <v>2229</v>
      </c>
      <c r="R68" s="38">
        <v>42498</v>
      </c>
      <c r="S68">
        <f>350</f>
        <v>350</v>
      </c>
      <c r="T68" t="s">
        <v>2241</v>
      </c>
    </row>
    <row r="69" spans="1:22" ht="15.75" thickBot="1">
      <c r="A69" s="74"/>
      <c r="B69" s="95"/>
      <c r="C69" s="95"/>
      <c r="D69" s="74"/>
      <c r="E69" s="74"/>
      <c r="F69" s="74"/>
      <c r="G69" s="74"/>
      <c r="H69" s="89"/>
      <c r="I69" s="74" t="s">
        <v>2578</v>
      </c>
      <c r="J69" s="74"/>
      <c r="K69" s="74"/>
      <c r="L69" s="74"/>
      <c r="M69" s="74">
        <v>285</v>
      </c>
      <c r="N69" s="93" t="s">
        <v>2582</v>
      </c>
      <c r="O69" s="93" t="s">
        <v>2229</v>
      </c>
      <c r="R69" s="38">
        <v>42498</v>
      </c>
      <c r="S69" s="98">
        <f>S67+S68</f>
        <v>460</v>
      </c>
      <c r="T69" t="s">
        <v>2243</v>
      </c>
    </row>
    <row r="70" spans="1:22" ht="15.75" thickTop="1">
      <c r="A70" s="74"/>
      <c r="B70" s="95"/>
      <c r="C70" s="95"/>
      <c r="D70" s="74"/>
      <c r="E70" s="74"/>
      <c r="F70" s="74"/>
      <c r="G70" s="74"/>
      <c r="H70" s="89"/>
      <c r="I70" s="141" t="s">
        <v>2592</v>
      </c>
      <c r="J70" s="142"/>
      <c r="K70" s="142"/>
      <c r="L70" s="142"/>
      <c r="M70" s="142"/>
      <c r="N70" s="142"/>
      <c r="O70" s="143"/>
      <c r="R70" s="38">
        <v>42529</v>
      </c>
      <c r="S70">
        <f>930-150</f>
        <v>780</v>
      </c>
      <c r="T70" t="s">
        <v>2241</v>
      </c>
    </row>
    <row r="71" spans="1:22" ht="15.75" thickBot="1">
      <c r="A71" s="74"/>
      <c r="B71" s="95"/>
      <c r="C71" s="95"/>
      <c r="D71" s="74"/>
      <c r="E71" s="74"/>
      <c r="F71" s="74"/>
      <c r="G71" s="74"/>
      <c r="H71" s="89"/>
      <c r="I71" s="144"/>
      <c r="J71" s="145"/>
      <c r="K71" s="145"/>
      <c r="L71" s="145"/>
      <c r="M71" s="145"/>
      <c r="N71" s="145"/>
      <c r="O71" s="146"/>
      <c r="R71" s="38">
        <v>42529</v>
      </c>
      <c r="S71" s="98">
        <f>S69+S70</f>
        <v>1240</v>
      </c>
      <c r="T71" t="s">
        <v>2243</v>
      </c>
    </row>
    <row r="72" spans="1:22" ht="15.75" thickTop="1">
      <c r="A72" s="74"/>
      <c r="B72" s="95"/>
      <c r="C72" s="95"/>
      <c r="D72" s="74"/>
      <c r="E72" s="74"/>
      <c r="F72" s="74"/>
      <c r="G72" s="74"/>
      <c r="H72" s="89"/>
      <c r="I72" s="147"/>
      <c r="J72" s="148"/>
      <c r="K72" s="148"/>
      <c r="L72" s="148"/>
      <c r="M72" s="148"/>
      <c r="N72" s="148"/>
      <c r="O72" s="149"/>
      <c r="R72" s="38">
        <v>42559</v>
      </c>
      <c r="S72">
        <f>900</f>
        <v>900</v>
      </c>
      <c r="T72" t="s">
        <v>2242</v>
      </c>
      <c r="V72" t="s">
        <v>2495</v>
      </c>
    </row>
    <row r="73" spans="1:22" ht="15.75" thickBot="1">
      <c r="A73" s="74"/>
      <c r="B73" s="95"/>
      <c r="C73" s="95"/>
      <c r="D73" s="74"/>
      <c r="E73" s="74"/>
      <c r="F73" s="74"/>
      <c r="G73" s="74"/>
      <c r="H73" s="89"/>
      <c r="I73" s="74" t="s">
        <v>2627</v>
      </c>
      <c r="J73" s="74"/>
      <c r="K73" s="74"/>
      <c r="L73" s="74"/>
      <c r="M73" s="74">
        <v>75</v>
      </c>
      <c r="N73" s="93" t="s">
        <v>2629</v>
      </c>
      <c r="O73" s="93" t="s">
        <v>2229</v>
      </c>
      <c r="R73" s="38">
        <v>42559</v>
      </c>
      <c r="S73" s="98">
        <f>S71-S72</f>
        <v>340</v>
      </c>
      <c r="T73" t="s">
        <v>2243</v>
      </c>
    </row>
    <row r="74" spans="1:22" ht="15.75" thickTop="1">
      <c r="A74" s="74"/>
      <c r="B74" s="95"/>
      <c r="C74" s="95"/>
      <c r="D74" s="74"/>
      <c r="E74" s="74"/>
      <c r="F74" s="74"/>
      <c r="G74" s="74"/>
      <c r="H74" s="89"/>
      <c r="I74" s="74" t="s">
        <v>2683</v>
      </c>
      <c r="J74" s="74"/>
      <c r="K74" s="74"/>
      <c r="L74" s="74"/>
      <c r="M74" s="74">
        <v>222</v>
      </c>
      <c r="N74" s="93" t="s">
        <v>2684</v>
      </c>
      <c r="O74" s="93" t="s">
        <v>2229</v>
      </c>
      <c r="R74" s="38">
        <v>42590</v>
      </c>
      <c r="S74">
        <v>5000</v>
      </c>
      <c r="T74" t="s">
        <v>2383</v>
      </c>
    </row>
    <row r="75" spans="1:22">
      <c r="A75" s="74"/>
      <c r="B75" s="95"/>
      <c r="C75" s="95"/>
      <c r="D75" s="74"/>
      <c r="E75" s="74"/>
      <c r="F75" s="74"/>
      <c r="G75" s="74"/>
      <c r="H75" s="89"/>
      <c r="I75" s="74" t="s">
        <v>2695</v>
      </c>
      <c r="J75" s="74"/>
      <c r="K75" s="74"/>
      <c r="L75" s="74"/>
      <c r="M75" s="74">
        <v>200</v>
      </c>
      <c r="N75" s="93" t="s">
        <v>2232</v>
      </c>
      <c r="O75" s="93" t="s">
        <v>2229</v>
      </c>
      <c r="R75" s="38">
        <v>42590</v>
      </c>
      <c r="S75">
        <f>4000</f>
        <v>4000</v>
      </c>
      <c r="T75" t="s">
        <v>2505</v>
      </c>
    </row>
    <row r="76" spans="1:22">
      <c r="A76" s="74"/>
      <c r="B76" s="95"/>
      <c r="C76" s="95"/>
      <c r="D76" s="74"/>
      <c r="E76" s="74"/>
      <c r="F76" s="74"/>
      <c r="G76" s="74"/>
      <c r="H76" s="89"/>
      <c r="I76" s="74" t="s">
        <v>2695</v>
      </c>
      <c r="J76" s="74"/>
      <c r="K76" s="74"/>
      <c r="L76" s="74"/>
      <c r="M76" s="74">
        <v>357</v>
      </c>
      <c r="N76" s="93" t="s">
        <v>2718</v>
      </c>
      <c r="O76" s="93" t="s">
        <v>2229</v>
      </c>
      <c r="R76" s="38">
        <v>42590</v>
      </c>
      <c r="S76">
        <f>600+180+180-10</f>
        <v>950</v>
      </c>
      <c r="T76" t="s">
        <v>2506</v>
      </c>
    </row>
    <row r="77" spans="1:22">
      <c r="A77" s="74"/>
      <c r="B77" s="95"/>
      <c r="C77" s="95"/>
      <c r="D77" s="74"/>
      <c r="E77" s="74"/>
      <c r="F77" s="74"/>
      <c r="G77" s="74"/>
      <c r="H77" s="89"/>
      <c r="I77" s="74" t="s">
        <v>2695</v>
      </c>
      <c r="J77" s="74"/>
      <c r="K77" s="74"/>
      <c r="L77" s="74"/>
      <c r="M77" s="74">
        <v>311</v>
      </c>
      <c r="N77" s="93" t="s">
        <v>2719</v>
      </c>
      <c r="O77" s="93" t="s">
        <v>2229</v>
      </c>
      <c r="R77" s="38">
        <v>42590</v>
      </c>
      <c r="S77">
        <f>50+50</f>
        <v>100</v>
      </c>
      <c r="T77" t="s">
        <v>2242</v>
      </c>
      <c r="V77" t="s">
        <v>2507</v>
      </c>
    </row>
    <row r="78" spans="1:22" ht="15.75" thickBot="1">
      <c r="A78" s="74"/>
      <c r="B78" s="95"/>
      <c r="C78" s="95"/>
      <c r="D78" s="74"/>
      <c r="E78" s="74"/>
      <c r="F78" s="74"/>
      <c r="G78" s="74"/>
      <c r="H78" s="89"/>
      <c r="I78" s="74" t="s">
        <v>2695</v>
      </c>
      <c r="J78" s="74"/>
      <c r="K78" s="74"/>
      <c r="L78" s="74"/>
      <c r="M78" s="74">
        <v>274</v>
      </c>
      <c r="N78" s="93" t="s">
        <v>2720</v>
      </c>
      <c r="O78" s="93" t="s">
        <v>2229</v>
      </c>
      <c r="R78" s="38">
        <v>42590</v>
      </c>
      <c r="S78" s="98">
        <f>S73+S74-S75-S76-S77</f>
        <v>290</v>
      </c>
      <c r="T78" t="s">
        <v>2243</v>
      </c>
    </row>
    <row r="79" spans="1:22" ht="15.75" thickTop="1">
      <c r="A79" s="74"/>
      <c r="B79" s="95"/>
      <c r="C79" s="95"/>
      <c r="D79" s="74"/>
      <c r="E79" s="74"/>
      <c r="F79" s="74"/>
      <c r="G79" s="74"/>
      <c r="H79" s="89"/>
      <c r="I79" s="74" t="s">
        <v>2695</v>
      </c>
      <c r="J79" s="74"/>
      <c r="K79" s="74"/>
      <c r="L79" s="74"/>
      <c r="M79" s="74">
        <v>530</v>
      </c>
      <c r="N79" s="93" t="s">
        <v>2721</v>
      </c>
      <c r="O79" s="93" t="s">
        <v>2229</v>
      </c>
      <c r="R79" s="38">
        <v>42621</v>
      </c>
      <c r="S79">
        <f>1090-150</f>
        <v>940</v>
      </c>
      <c r="T79" t="s">
        <v>2241</v>
      </c>
    </row>
    <row r="80" spans="1:22">
      <c r="A80" s="74"/>
      <c r="B80" s="95"/>
      <c r="C80" s="95"/>
      <c r="D80" s="74"/>
      <c r="E80" s="74"/>
      <c r="F80" s="74"/>
      <c r="G80" s="74"/>
      <c r="H80" s="89"/>
      <c r="I80" s="74" t="s">
        <v>2695</v>
      </c>
      <c r="J80" s="74"/>
      <c r="K80" s="74"/>
      <c r="L80" s="74"/>
      <c r="M80" s="74">
        <v>405</v>
      </c>
      <c r="N80" s="93" t="s">
        <v>2722</v>
      </c>
      <c r="O80" s="93" t="s">
        <v>2229</v>
      </c>
      <c r="R80" s="38">
        <v>42621</v>
      </c>
      <c r="S80">
        <f>S78+S79-100</f>
        <v>1130</v>
      </c>
      <c r="T80" t="s">
        <v>2243</v>
      </c>
    </row>
    <row r="81" spans="1:22">
      <c r="A81" s="74"/>
      <c r="B81" s="95"/>
      <c r="C81" s="95"/>
      <c r="D81" s="74"/>
      <c r="E81" s="74"/>
      <c r="F81" s="74"/>
      <c r="G81" s="74"/>
      <c r="H81" s="89"/>
      <c r="I81" s="74" t="s">
        <v>2695</v>
      </c>
      <c r="J81" s="74"/>
      <c r="K81" s="74"/>
      <c r="L81" s="74"/>
      <c r="M81" s="74">
        <v>277</v>
      </c>
      <c r="N81" s="93" t="s">
        <v>2723</v>
      </c>
      <c r="O81" s="93" t="s">
        <v>2229</v>
      </c>
      <c r="R81" s="38">
        <v>42682</v>
      </c>
      <c r="S81">
        <f>70+430+100</f>
        <v>600</v>
      </c>
      <c r="T81" t="s">
        <v>2242</v>
      </c>
      <c r="V81" t="s">
        <v>2523</v>
      </c>
    </row>
    <row r="82" spans="1:22" ht="15.75" thickBot="1">
      <c r="A82" s="74"/>
      <c r="B82" s="95"/>
      <c r="C82" s="95"/>
      <c r="D82" s="74"/>
      <c r="E82" s="74"/>
      <c r="F82" s="74"/>
      <c r="G82" s="74"/>
      <c r="H82" s="89"/>
      <c r="I82" s="74" t="s">
        <v>2695</v>
      </c>
      <c r="J82" s="74"/>
      <c r="K82" s="74"/>
      <c r="L82" s="74"/>
      <c r="M82" s="74">
        <v>143</v>
      </c>
      <c r="N82" s="93" t="s">
        <v>2724</v>
      </c>
      <c r="O82" s="93" t="s">
        <v>2229</v>
      </c>
      <c r="R82" s="38">
        <v>42682</v>
      </c>
      <c r="S82" s="98">
        <f>S80-S81</f>
        <v>530</v>
      </c>
      <c r="T82" t="s">
        <v>2243</v>
      </c>
    </row>
    <row r="83" spans="1:22" ht="15.75" thickTop="1">
      <c r="A83" s="74"/>
      <c r="B83" s="95"/>
      <c r="C83" s="95"/>
      <c r="D83" s="74"/>
      <c r="E83" s="74"/>
      <c r="F83" s="74"/>
      <c r="G83" s="74"/>
      <c r="H83" s="89"/>
      <c r="I83" s="74" t="s">
        <v>2695</v>
      </c>
      <c r="J83" s="74"/>
      <c r="K83" s="74"/>
      <c r="L83" s="74"/>
      <c r="M83" s="74">
        <v>252</v>
      </c>
      <c r="N83" s="93" t="s">
        <v>2725</v>
      </c>
      <c r="O83" s="93" t="s">
        <v>2229</v>
      </c>
      <c r="R83" s="38">
        <v>42712</v>
      </c>
      <c r="S83">
        <f>2600</f>
        <v>2600</v>
      </c>
      <c r="T83" t="s">
        <v>2241</v>
      </c>
    </row>
    <row r="84" spans="1:22">
      <c r="A84" s="74"/>
      <c r="B84" s="95"/>
      <c r="C84" s="95"/>
      <c r="D84" s="74"/>
      <c r="E84" s="74"/>
      <c r="F84" s="74"/>
      <c r="G84" s="74"/>
      <c r="H84" s="89"/>
      <c r="I84" s="74" t="s">
        <v>2695</v>
      </c>
      <c r="J84" s="74"/>
      <c r="K84" s="74"/>
      <c r="L84" s="74"/>
      <c r="M84" s="74">
        <v>123</v>
      </c>
      <c r="N84" s="93" t="s">
        <v>2724</v>
      </c>
      <c r="O84" s="93" t="s">
        <v>2229</v>
      </c>
      <c r="R84" s="38">
        <v>42712</v>
      </c>
      <c r="S84">
        <f>70+40+100+20</f>
        <v>230</v>
      </c>
      <c r="T84" t="s">
        <v>2242</v>
      </c>
      <c r="V84" t="s">
        <v>2417</v>
      </c>
    </row>
    <row r="85" spans="1:22" ht="15.75" thickBot="1">
      <c r="A85" s="74"/>
      <c r="B85" s="95"/>
      <c r="C85" s="95"/>
      <c r="D85" s="74"/>
      <c r="E85" s="74"/>
      <c r="F85" s="74"/>
      <c r="G85" s="74"/>
      <c r="H85" s="89"/>
      <c r="I85" s="74" t="s">
        <v>2695</v>
      </c>
      <c r="J85" s="74"/>
      <c r="K85" s="74"/>
      <c r="L85" s="74"/>
      <c r="M85" s="74">
        <v>367</v>
      </c>
      <c r="N85" s="93" t="s">
        <v>2232</v>
      </c>
      <c r="O85" s="93" t="s">
        <v>2229</v>
      </c>
      <c r="R85" s="38">
        <v>42712</v>
      </c>
      <c r="S85" s="98">
        <f>S82+S83-S84</f>
        <v>2900</v>
      </c>
      <c r="T85" t="s">
        <v>2243</v>
      </c>
    </row>
    <row r="86" spans="1:22" ht="15.75" thickTop="1">
      <c r="A86" s="74"/>
      <c r="B86" s="95"/>
      <c r="C86" s="95"/>
      <c r="D86" s="74"/>
      <c r="E86" s="74"/>
      <c r="F86" s="74"/>
      <c r="G86" s="74"/>
      <c r="H86" s="89"/>
      <c r="I86" s="74" t="s">
        <v>2695</v>
      </c>
      <c r="J86" s="74"/>
      <c r="K86" s="74"/>
      <c r="L86" s="74"/>
      <c r="M86" s="74">
        <v>120</v>
      </c>
      <c r="N86" s="93" t="s">
        <v>2726</v>
      </c>
      <c r="O86" s="93" t="s">
        <v>2229</v>
      </c>
      <c r="R86" t="s">
        <v>2535</v>
      </c>
      <c r="S86">
        <f>2500</f>
        <v>2500</v>
      </c>
      <c r="T86" t="s">
        <v>2369</v>
      </c>
    </row>
    <row r="87" spans="1:22">
      <c r="A87" s="74"/>
      <c r="B87" s="95"/>
      <c r="C87" s="95"/>
      <c r="D87" s="74"/>
      <c r="E87" s="74"/>
      <c r="F87" s="74"/>
      <c r="G87" s="74"/>
      <c r="H87" s="89"/>
      <c r="I87" s="74" t="s">
        <v>2695</v>
      </c>
      <c r="J87" s="74"/>
      <c r="K87" s="74"/>
      <c r="L87" s="74"/>
      <c r="M87" s="74">
        <v>82</v>
      </c>
      <c r="N87" s="93" t="s">
        <v>2727</v>
      </c>
      <c r="O87" s="93" t="s">
        <v>2229</v>
      </c>
      <c r="R87" t="s">
        <v>2535</v>
      </c>
      <c r="S87">
        <f>4710</f>
        <v>4710</v>
      </c>
      <c r="T87" t="s">
        <v>2537</v>
      </c>
    </row>
    <row r="88" spans="1:22">
      <c r="A88" s="74"/>
      <c r="B88" s="95"/>
      <c r="C88" s="95"/>
      <c r="D88" s="74"/>
      <c r="E88" s="74"/>
      <c r="F88" s="74"/>
      <c r="G88" s="74"/>
      <c r="H88" s="89"/>
      <c r="I88" s="141" t="s">
        <v>2728</v>
      </c>
      <c r="J88" s="142"/>
      <c r="K88" s="142"/>
      <c r="L88" s="142"/>
      <c r="M88" s="142"/>
      <c r="N88" s="142"/>
      <c r="O88" s="143"/>
      <c r="R88" t="s">
        <v>2535</v>
      </c>
      <c r="S88">
        <f>50+100</f>
        <v>150</v>
      </c>
      <c r="T88" t="s">
        <v>2242</v>
      </c>
      <c r="V88" t="s">
        <v>2417</v>
      </c>
    </row>
    <row r="89" spans="1:22">
      <c r="A89" s="74"/>
      <c r="B89" s="95"/>
      <c r="C89" s="95"/>
      <c r="D89" s="74"/>
      <c r="E89" s="74"/>
      <c r="F89" s="74"/>
      <c r="G89" s="74"/>
      <c r="H89" s="89"/>
      <c r="I89" s="144"/>
      <c r="J89" s="145"/>
      <c r="K89" s="145"/>
      <c r="L89" s="145"/>
      <c r="M89" s="145"/>
      <c r="N89" s="145"/>
      <c r="O89" s="146"/>
      <c r="R89" t="s">
        <v>2535</v>
      </c>
      <c r="S89" s="119">
        <v>540</v>
      </c>
      <c r="T89" t="s">
        <v>2538</v>
      </c>
    </row>
    <row r="90" spans="1:22" ht="15.75" thickBot="1">
      <c r="A90" s="74"/>
      <c r="B90" s="95"/>
      <c r="C90" s="95"/>
      <c r="D90" s="74"/>
      <c r="E90" s="74"/>
      <c r="F90" s="74"/>
      <c r="G90" s="74"/>
      <c r="H90" s="89"/>
      <c r="I90" s="147"/>
      <c r="J90" s="148"/>
      <c r="K90" s="148"/>
      <c r="L90" s="148"/>
      <c r="M90" s="148"/>
      <c r="N90" s="148"/>
      <c r="O90" s="149"/>
      <c r="R90" t="s">
        <v>2535</v>
      </c>
      <c r="S90" s="98">
        <f>S85+S86-S87-S88-S89</f>
        <v>0</v>
      </c>
      <c r="T90" t="s">
        <v>2243</v>
      </c>
    </row>
    <row r="91" spans="1:22" ht="15.75" thickTop="1">
      <c r="A91" s="74"/>
      <c r="B91" s="95"/>
      <c r="C91" s="95"/>
      <c r="D91" s="74"/>
      <c r="E91" s="74"/>
      <c r="F91" s="74"/>
      <c r="G91" s="74"/>
      <c r="H91" s="89"/>
      <c r="I91" s="74" t="s">
        <v>2738</v>
      </c>
      <c r="J91" s="74"/>
      <c r="K91" s="74"/>
      <c r="L91" s="74"/>
      <c r="M91" s="74">
        <v>184</v>
      </c>
      <c r="N91" s="93" t="s">
        <v>2232</v>
      </c>
      <c r="O91" s="93" t="s">
        <v>2229</v>
      </c>
      <c r="R91" t="s">
        <v>2542</v>
      </c>
      <c r="S91">
        <f>1030-150</f>
        <v>880</v>
      </c>
      <c r="T91" t="s">
        <v>2241</v>
      </c>
    </row>
    <row r="92" spans="1:22">
      <c r="A92" s="74"/>
      <c r="B92" s="95"/>
      <c r="C92" s="95"/>
      <c r="D92" s="74"/>
      <c r="E92" s="74"/>
      <c r="F92" s="74"/>
      <c r="G92" s="74"/>
      <c r="H92" s="89"/>
      <c r="I92" s="74"/>
      <c r="J92" s="74"/>
      <c r="K92" s="74"/>
      <c r="L92" s="74"/>
      <c r="M92" s="74"/>
      <c r="N92" s="93"/>
      <c r="R92" t="s">
        <v>2542</v>
      </c>
      <c r="S92">
        <f>4500</f>
        <v>4500</v>
      </c>
      <c r="T92" t="s">
        <v>2369</v>
      </c>
    </row>
    <row r="93" spans="1:22">
      <c r="A93" s="74"/>
      <c r="B93" s="95"/>
      <c r="C93" s="95"/>
      <c r="D93" s="74"/>
      <c r="E93" s="74"/>
      <c r="F93" s="74"/>
      <c r="G93" s="74"/>
      <c r="H93" s="89"/>
      <c r="I93" s="74"/>
      <c r="J93" s="74"/>
      <c r="K93" s="74"/>
      <c r="L93" s="74"/>
      <c r="M93" s="74"/>
      <c r="N93" s="93"/>
      <c r="R93" t="s">
        <v>2542</v>
      </c>
      <c r="S93">
        <f>2000+1050+500</f>
        <v>3550</v>
      </c>
      <c r="T93" t="s">
        <v>2551</v>
      </c>
    </row>
    <row r="94" spans="1:22">
      <c r="A94" s="74"/>
      <c r="B94" s="95"/>
      <c r="C94" s="95"/>
      <c r="D94" s="74"/>
      <c r="E94" s="74"/>
      <c r="F94" s="74"/>
      <c r="G94" s="74"/>
      <c r="H94" s="89"/>
      <c r="I94" s="74"/>
      <c r="J94" s="74"/>
      <c r="K94" s="74"/>
      <c r="L94" s="74"/>
      <c r="M94" s="74"/>
      <c r="N94" s="93"/>
      <c r="R94" t="s">
        <v>2542</v>
      </c>
      <c r="S94">
        <f>50+100</f>
        <v>150</v>
      </c>
      <c r="T94" t="s">
        <v>2316</v>
      </c>
    </row>
    <row r="95" spans="1:22">
      <c r="A95" s="74"/>
      <c r="B95" s="95"/>
      <c r="C95" s="95"/>
      <c r="D95" s="74"/>
      <c r="E95" s="74"/>
      <c r="F95" s="74"/>
      <c r="G95" s="74"/>
      <c r="H95" s="89"/>
      <c r="I95" s="74"/>
      <c r="J95" s="74"/>
      <c r="K95" s="74"/>
      <c r="L95" s="74"/>
      <c r="M95" s="74"/>
      <c r="N95" s="93"/>
      <c r="R95" t="s">
        <v>2542</v>
      </c>
      <c r="S95">
        <f>300+20</f>
        <v>320</v>
      </c>
      <c r="T95" t="s">
        <v>2549</v>
      </c>
    </row>
    <row r="96" spans="1:22">
      <c r="A96" s="74"/>
      <c r="B96" s="95"/>
      <c r="C96" s="95"/>
      <c r="D96" s="74"/>
      <c r="E96" s="74"/>
      <c r="F96" s="74"/>
      <c r="G96" s="74"/>
      <c r="H96" s="89"/>
      <c r="I96" s="74"/>
      <c r="J96" s="74"/>
      <c r="K96" s="74"/>
      <c r="L96" s="74"/>
      <c r="M96" s="74"/>
      <c r="N96" s="93"/>
      <c r="R96" t="s">
        <v>2542</v>
      </c>
      <c r="S96">
        <f>930-150</f>
        <v>780</v>
      </c>
      <c r="T96" t="s">
        <v>2552</v>
      </c>
    </row>
    <row r="97" spans="1:22" ht="15.75" thickBot="1">
      <c r="A97" s="74"/>
      <c r="B97" s="95"/>
      <c r="C97" s="95"/>
      <c r="D97" s="74"/>
      <c r="E97" s="74"/>
      <c r="F97" s="74"/>
      <c r="G97" s="74"/>
      <c r="H97" s="89"/>
      <c r="I97" s="74"/>
      <c r="J97" s="74"/>
      <c r="K97" s="74"/>
      <c r="L97" s="74"/>
      <c r="M97" s="74"/>
      <c r="N97" s="93"/>
      <c r="R97" t="s">
        <v>2542</v>
      </c>
      <c r="S97" s="98">
        <f>S91+S92-S93-S94-S95-S96</f>
        <v>580</v>
      </c>
      <c r="T97" t="s">
        <v>2243</v>
      </c>
    </row>
    <row r="98" spans="1:22" ht="15.75" thickTop="1">
      <c r="A98" s="74"/>
      <c r="B98" s="95"/>
      <c r="C98" s="95"/>
      <c r="D98" s="74"/>
      <c r="E98" s="74"/>
      <c r="F98" s="74"/>
      <c r="G98" s="74"/>
      <c r="H98" s="89"/>
      <c r="I98" s="74"/>
      <c r="J98" s="74"/>
      <c r="K98" s="74"/>
      <c r="L98" s="74"/>
      <c r="M98" s="74"/>
      <c r="N98" s="93"/>
      <c r="R98" t="s">
        <v>2568</v>
      </c>
      <c r="S98">
        <f>80+50</f>
        <v>130</v>
      </c>
      <c r="T98" t="s">
        <v>2242</v>
      </c>
      <c r="V98" t="s">
        <v>2418</v>
      </c>
    </row>
    <row r="99" spans="1:22">
      <c r="A99" s="74"/>
      <c r="B99" s="95"/>
      <c r="C99" s="95"/>
      <c r="D99" s="74"/>
      <c r="E99" s="74"/>
      <c r="F99" s="74"/>
      <c r="G99" s="74"/>
      <c r="H99" s="89"/>
      <c r="I99" s="74"/>
      <c r="J99" s="74"/>
      <c r="K99" s="74"/>
      <c r="L99" s="74"/>
      <c r="M99" s="74"/>
      <c r="N99" s="93"/>
      <c r="R99" t="s">
        <v>2569</v>
      </c>
      <c r="S99">
        <f>50+50+80+70</f>
        <v>250</v>
      </c>
      <c r="T99" t="s">
        <v>2242</v>
      </c>
      <c r="V99" t="s">
        <v>2572</v>
      </c>
    </row>
    <row r="100" spans="1:22" ht="15.75" thickBot="1">
      <c r="A100" s="74"/>
      <c r="B100" s="95"/>
      <c r="C100" s="95"/>
      <c r="D100" s="74"/>
      <c r="E100" s="74"/>
      <c r="F100" s="74"/>
      <c r="G100" s="74"/>
      <c r="H100" s="89"/>
      <c r="I100" s="74"/>
      <c r="J100" s="74"/>
      <c r="K100" s="74"/>
      <c r="L100" s="74"/>
      <c r="M100" s="74"/>
      <c r="N100" s="93"/>
      <c r="R100" t="s">
        <v>2569</v>
      </c>
      <c r="S100" s="98">
        <f>S97-S98-S99</f>
        <v>200</v>
      </c>
      <c r="T100" t="s">
        <v>2243</v>
      </c>
    </row>
    <row r="101" spans="1:22" ht="15.75" thickTop="1">
      <c r="A101" s="74"/>
      <c r="B101" s="95"/>
      <c r="C101" s="95"/>
      <c r="D101" s="74"/>
      <c r="E101" s="74"/>
      <c r="F101" s="74"/>
      <c r="G101" s="74"/>
      <c r="H101" s="89"/>
      <c r="I101" s="74"/>
      <c r="J101" s="74"/>
      <c r="K101" s="74"/>
      <c r="L101" s="74"/>
      <c r="M101" s="74"/>
      <c r="N101" s="93"/>
      <c r="R101" t="s">
        <v>2578</v>
      </c>
      <c r="S101">
        <f>40+260</f>
        <v>300</v>
      </c>
      <c r="V101" t="s">
        <v>2587</v>
      </c>
    </row>
    <row r="102" spans="1:22">
      <c r="A102" s="74"/>
      <c r="B102" s="95"/>
      <c r="C102" s="95"/>
      <c r="D102" s="74"/>
      <c r="E102" s="74"/>
      <c r="F102" s="74"/>
      <c r="G102" s="74"/>
      <c r="H102" s="89"/>
      <c r="I102" s="74"/>
      <c r="J102" s="74"/>
      <c r="K102" s="74"/>
      <c r="L102" s="74"/>
      <c r="M102" s="74"/>
      <c r="N102" s="93"/>
      <c r="R102" t="s">
        <v>2578</v>
      </c>
      <c r="S102">
        <v>3000</v>
      </c>
      <c r="T102" t="s">
        <v>2223</v>
      </c>
    </row>
    <row r="103" spans="1:22">
      <c r="A103" s="74"/>
      <c r="B103" s="95"/>
      <c r="C103" s="95"/>
      <c r="D103" s="74"/>
      <c r="E103" s="74"/>
      <c r="F103" s="74"/>
      <c r="G103" s="74"/>
      <c r="H103" s="89"/>
      <c r="I103" s="74"/>
      <c r="J103" s="74"/>
      <c r="K103" s="74"/>
      <c r="L103" s="74"/>
      <c r="M103" s="74"/>
      <c r="N103" s="93"/>
      <c r="R103" t="s">
        <v>2578</v>
      </c>
      <c r="S103">
        <v>800</v>
      </c>
      <c r="T103" t="s">
        <v>2588</v>
      </c>
    </row>
    <row r="104" spans="1:22">
      <c r="A104" s="74"/>
      <c r="B104" s="95"/>
      <c r="C104" s="95"/>
      <c r="D104" s="74"/>
      <c r="E104" s="74"/>
      <c r="F104" s="74"/>
      <c r="G104" s="74"/>
      <c r="H104" s="89"/>
      <c r="I104" s="74"/>
      <c r="J104" s="74"/>
      <c r="K104" s="74"/>
      <c r="L104" s="74"/>
      <c r="M104" s="74"/>
      <c r="N104" s="93"/>
      <c r="R104" t="s">
        <v>2578</v>
      </c>
      <c r="S104">
        <v>500</v>
      </c>
      <c r="T104" t="s">
        <v>2589</v>
      </c>
    </row>
    <row r="105" spans="1:22">
      <c r="A105" s="74"/>
      <c r="B105" s="95"/>
      <c r="C105" s="95"/>
      <c r="D105" s="74"/>
      <c r="E105" s="74"/>
      <c r="F105" s="74"/>
      <c r="G105" s="74"/>
      <c r="H105" s="89"/>
      <c r="I105" s="74"/>
      <c r="J105" s="74"/>
      <c r="K105" s="74"/>
      <c r="L105" s="74"/>
      <c r="M105" s="74"/>
      <c r="N105" s="93"/>
      <c r="R105" t="s">
        <v>2578</v>
      </c>
      <c r="S105">
        <v>4500</v>
      </c>
      <c r="T105" t="s">
        <v>2369</v>
      </c>
    </row>
    <row r="106" spans="1:22" ht="15.75" thickBot="1">
      <c r="A106" s="74"/>
      <c r="B106" s="95"/>
      <c r="C106" s="95"/>
      <c r="D106" s="74"/>
      <c r="E106" s="74"/>
      <c r="F106" s="74"/>
      <c r="G106" s="74"/>
      <c r="H106" s="89"/>
      <c r="I106" s="74"/>
      <c r="J106" s="74"/>
      <c r="K106" s="74"/>
      <c r="L106" s="74"/>
      <c r="M106" s="74"/>
      <c r="N106" s="93"/>
      <c r="R106" t="s">
        <v>2578</v>
      </c>
      <c r="S106" s="98">
        <f>S105+S100-S101-S102-S103-S104</f>
        <v>100</v>
      </c>
      <c r="T106" t="s">
        <v>2243</v>
      </c>
    </row>
    <row r="107" spans="1:22" ht="15.75" thickTop="1">
      <c r="A107" s="74"/>
      <c r="B107" s="95"/>
      <c r="C107" s="95"/>
      <c r="D107" s="74"/>
      <c r="E107" s="74"/>
      <c r="F107" s="74"/>
      <c r="G107" s="74"/>
      <c r="H107" s="89"/>
      <c r="I107" s="74"/>
      <c r="J107" s="74"/>
      <c r="K107" s="74"/>
      <c r="L107" s="74"/>
      <c r="M107" s="74"/>
      <c r="N107" s="93"/>
      <c r="R107" t="s">
        <v>2607</v>
      </c>
      <c r="S107">
        <f>1500</f>
        <v>1500</v>
      </c>
      <c r="T107" t="s">
        <v>2369</v>
      </c>
    </row>
    <row r="108" spans="1:22">
      <c r="A108" s="74"/>
      <c r="B108" s="95"/>
      <c r="C108" s="95"/>
      <c r="D108" s="74"/>
      <c r="E108" s="74"/>
      <c r="F108" s="74"/>
      <c r="G108" s="74"/>
      <c r="H108" s="89"/>
      <c r="I108" s="74"/>
      <c r="J108" s="74"/>
      <c r="K108" s="74"/>
      <c r="L108" s="74"/>
      <c r="M108" s="74"/>
      <c r="N108" s="93"/>
      <c r="R108" t="s">
        <v>2607</v>
      </c>
      <c r="S108">
        <f>1100</f>
        <v>1100</v>
      </c>
      <c r="T108" t="s">
        <v>2613</v>
      </c>
    </row>
    <row r="109" spans="1:22">
      <c r="A109" s="74"/>
      <c r="B109" s="95"/>
      <c r="C109" s="95"/>
      <c r="D109" s="74"/>
      <c r="E109" s="74"/>
      <c r="F109" s="74"/>
      <c r="G109" s="74"/>
      <c r="H109" s="89"/>
      <c r="I109" s="74"/>
      <c r="J109" s="74"/>
      <c r="K109" s="74"/>
      <c r="L109" s="74"/>
      <c r="M109" s="74"/>
      <c r="N109" s="93"/>
      <c r="R109" t="s">
        <v>2607</v>
      </c>
      <c r="S109">
        <f>50</f>
        <v>50</v>
      </c>
      <c r="T109" t="s">
        <v>2316</v>
      </c>
    </row>
    <row r="110" spans="1:22" ht="15.75" thickBot="1">
      <c r="A110" s="74"/>
      <c r="B110" s="95"/>
      <c r="C110" s="95"/>
      <c r="D110" s="74"/>
      <c r="E110" s="74"/>
      <c r="F110" s="74"/>
      <c r="G110" s="74"/>
      <c r="H110" s="89"/>
      <c r="I110" s="74"/>
      <c r="J110" s="74"/>
      <c r="K110" s="74"/>
      <c r="L110" s="74"/>
      <c r="M110" s="74"/>
      <c r="N110" s="93"/>
      <c r="R110" t="s">
        <v>2607</v>
      </c>
      <c r="S110" s="98">
        <f>S106+S107-S108-S109</f>
        <v>450</v>
      </c>
      <c r="T110" t="s">
        <v>2243</v>
      </c>
    </row>
    <row r="111" spans="1:22" ht="15.75" thickTop="1">
      <c r="A111" s="74"/>
      <c r="B111" s="95"/>
      <c r="C111" s="95"/>
      <c r="D111" s="74"/>
      <c r="E111" s="74"/>
      <c r="F111" s="74"/>
      <c r="G111" s="74"/>
      <c r="H111" s="89"/>
      <c r="I111" s="74"/>
      <c r="J111" s="74"/>
      <c r="K111" s="74"/>
      <c r="L111" s="74"/>
      <c r="M111" s="74"/>
      <c r="N111" s="93"/>
      <c r="R111" t="s">
        <v>2614</v>
      </c>
      <c r="S111">
        <v>11000</v>
      </c>
      <c r="T111" t="s">
        <v>2369</v>
      </c>
    </row>
    <row r="112" spans="1:22">
      <c r="A112" s="74"/>
      <c r="B112" s="95"/>
      <c r="C112" s="95"/>
      <c r="D112" s="74"/>
      <c r="E112" s="74"/>
      <c r="F112" s="74"/>
      <c r="G112" s="74"/>
      <c r="H112" s="89"/>
      <c r="I112" s="74"/>
      <c r="J112" s="74"/>
      <c r="K112" s="74"/>
      <c r="L112" s="74"/>
      <c r="M112" s="74"/>
      <c r="N112" s="93"/>
      <c r="R112" t="s">
        <v>2614</v>
      </c>
      <c r="S112">
        <v>10900</v>
      </c>
      <c r="T112" t="s">
        <v>2616</v>
      </c>
    </row>
    <row r="113" spans="1:20">
      <c r="A113" s="74"/>
      <c r="B113" s="95"/>
      <c r="C113" s="95"/>
      <c r="D113" s="74"/>
      <c r="E113" s="74"/>
      <c r="F113" s="74"/>
      <c r="G113" s="74"/>
      <c r="H113" s="89"/>
      <c r="I113" s="74"/>
      <c r="J113" s="74"/>
      <c r="K113" s="74"/>
      <c r="L113" s="74"/>
      <c r="M113" s="74"/>
      <c r="N113" s="93"/>
      <c r="R113" t="s">
        <v>2614</v>
      </c>
      <c r="S113">
        <v>80</v>
      </c>
      <c r="T113" t="s">
        <v>2316</v>
      </c>
    </row>
    <row r="114" spans="1:20" ht="15.75" thickBot="1">
      <c r="A114" s="74"/>
      <c r="B114" s="95"/>
      <c r="C114" s="95"/>
      <c r="D114" s="74"/>
      <c r="E114" s="74"/>
      <c r="F114" s="74"/>
      <c r="G114" s="74"/>
      <c r="H114" s="89"/>
      <c r="I114" s="74"/>
      <c r="J114" s="74"/>
      <c r="K114" s="74"/>
      <c r="L114" s="74"/>
      <c r="M114" s="74"/>
      <c r="N114" s="93"/>
      <c r="R114" t="s">
        <v>2614</v>
      </c>
      <c r="S114" s="98">
        <f>S110+S111-S112-S113</f>
        <v>470</v>
      </c>
      <c r="T114" t="s">
        <v>2243</v>
      </c>
    </row>
    <row r="115" spans="1:20" ht="15.75" thickTop="1">
      <c r="A115" s="74"/>
      <c r="B115" s="95"/>
      <c r="C115" s="95"/>
      <c r="D115" s="74"/>
      <c r="E115" s="74"/>
      <c r="F115" s="74"/>
      <c r="G115" s="74"/>
      <c r="H115" s="89"/>
      <c r="I115" s="74"/>
      <c r="J115" s="74"/>
      <c r="K115" s="74"/>
      <c r="L115" s="74"/>
      <c r="M115" s="74"/>
      <c r="N115" s="93"/>
      <c r="R115" t="s">
        <v>2627</v>
      </c>
      <c r="S115">
        <f>2460</f>
        <v>2460</v>
      </c>
      <c r="T115" t="s">
        <v>2652</v>
      </c>
    </row>
    <row r="116" spans="1:20">
      <c r="A116" s="74"/>
      <c r="B116" s="95"/>
      <c r="C116" s="95"/>
      <c r="D116" s="74"/>
      <c r="E116" s="74"/>
      <c r="F116" s="74"/>
      <c r="G116" s="74"/>
      <c r="H116" s="89"/>
      <c r="I116" s="74"/>
      <c r="J116" s="74"/>
      <c r="K116" s="74"/>
      <c r="L116" s="74"/>
      <c r="M116" s="74"/>
      <c r="N116" s="93"/>
      <c r="R116" t="s">
        <v>2634</v>
      </c>
      <c r="S116">
        <f>S115+S114</f>
        <v>2930</v>
      </c>
      <c r="T116" t="s">
        <v>2653</v>
      </c>
    </row>
    <row r="117" spans="1:20" ht="15.75" thickBot="1">
      <c r="A117" s="74"/>
      <c r="B117" s="95"/>
      <c r="C117" s="95"/>
      <c r="D117" s="74"/>
      <c r="E117" s="74"/>
      <c r="F117" s="74"/>
      <c r="G117" s="74"/>
      <c r="H117" s="89"/>
      <c r="I117" s="74"/>
      <c r="J117" s="74"/>
      <c r="K117" s="74"/>
      <c r="L117" s="74"/>
      <c r="M117" s="74"/>
      <c r="N117" s="93"/>
      <c r="R117" t="s">
        <v>2634</v>
      </c>
      <c r="S117" s="98">
        <v>0</v>
      </c>
      <c r="T117" t="s">
        <v>2243</v>
      </c>
    </row>
    <row r="118" spans="1:20" ht="15.75" thickTop="1">
      <c r="A118" s="74"/>
      <c r="B118" s="95"/>
      <c r="C118" s="95"/>
      <c r="D118" s="74"/>
      <c r="E118" s="74"/>
      <c r="F118" s="74"/>
      <c r="G118" s="74"/>
      <c r="H118" s="89"/>
      <c r="I118" s="74"/>
      <c r="J118" s="74"/>
      <c r="K118" s="74"/>
      <c r="L118" s="74"/>
      <c r="M118" s="74"/>
      <c r="N118" s="93"/>
      <c r="R118" t="s">
        <v>2676</v>
      </c>
      <c r="S118">
        <v>2000</v>
      </c>
      <c r="T118" t="s">
        <v>2433</v>
      </c>
    </row>
    <row r="119" spans="1:20">
      <c r="A119" s="74"/>
      <c r="B119" s="95"/>
      <c r="C119" s="95"/>
      <c r="D119" s="74"/>
      <c r="E119" s="74"/>
      <c r="F119" s="74"/>
      <c r="G119" s="74"/>
      <c r="H119" s="89"/>
      <c r="I119" s="74"/>
      <c r="J119" s="74"/>
      <c r="K119" s="74"/>
      <c r="L119" s="74"/>
      <c r="M119" s="74"/>
      <c r="N119" s="93"/>
      <c r="R119" t="s">
        <v>2676</v>
      </c>
      <c r="S119">
        <v>1000</v>
      </c>
      <c r="T119" t="s">
        <v>2677</v>
      </c>
    </row>
    <row r="120" spans="1:20">
      <c r="A120" s="74"/>
      <c r="B120" s="95"/>
      <c r="C120" s="95"/>
      <c r="D120" s="74"/>
      <c r="E120" s="74"/>
      <c r="F120" s="74"/>
      <c r="G120" s="74"/>
      <c r="H120" s="89"/>
      <c r="I120" s="74"/>
      <c r="J120" s="74"/>
      <c r="K120" s="74"/>
      <c r="L120" s="74"/>
      <c r="M120" s="74"/>
      <c r="N120" s="93"/>
      <c r="R120" t="s">
        <v>2676</v>
      </c>
      <c r="S120">
        <v>135</v>
      </c>
      <c r="T120" t="s">
        <v>2445</v>
      </c>
    </row>
    <row r="121" spans="1:20">
      <c r="A121" s="74"/>
      <c r="B121" s="95"/>
      <c r="C121" s="95"/>
      <c r="D121" s="74"/>
      <c r="E121" s="74"/>
      <c r="F121" s="74"/>
      <c r="G121" s="74"/>
      <c r="H121" s="89"/>
      <c r="I121" s="74"/>
      <c r="J121" s="74"/>
      <c r="K121" s="74"/>
      <c r="L121" s="74"/>
      <c r="M121" s="74"/>
      <c r="N121" s="93"/>
      <c r="R121" t="s">
        <v>2676</v>
      </c>
      <c r="S121">
        <v>700</v>
      </c>
      <c r="T121" t="s">
        <v>2678</v>
      </c>
    </row>
    <row r="122" spans="1:20">
      <c r="R122" t="s">
        <v>2676</v>
      </c>
      <c r="S122">
        <v>100</v>
      </c>
      <c r="T122" t="s">
        <v>2679</v>
      </c>
    </row>
    <row r="123" spans="1:20">
      <c r="R123" t="s">
        <v>2676</v>
      </c>
      <c r="S123" s="74">
        <f>S118-S119-S120-S121-S122</f>
        <v>65</v>
      </c>
      <c r="T123" t="s">
        <v>2243</v>
      </c>
    </row>
    <row r="124" spans="1:20">
      <c r="R124" t="s">
        <v>2685</v>
      </c>
      <c r="S124" s="125">
        <v>540</v>
      </c>
      <c r="T124" t="s">
        <v>2241</v>
      </c>
    </row>
    <row r="125" spans="1:20">
      <c r="R125" t="s">
        <v>2685</v>
      </c>
      <c r="S125">
        <f>65+40</f>
        <v>105</v>
      </c>
      <c r="T125" t="s">
        <v>2417</v>
      </c>
    </row>
    <row r="126" spans="1:20" ht="15.75" thickBot="1">
      <c r="R126" t="s">
        <v>2685</v>
      </c>
      <c r="S126" s="98">
        <f>S124+S123-S125</f>
        <v>500</v>
      </c>
      <c r="T126" t="s">
        <v>2243</v>
      </c>
    </row>
    <row r="127" spans="1:20" ht="15.75" thickTop="1">
      <c r="R127" t="s">
        <v>2712</v>
      </c>
      <c r="S127">
        <v>140</v>
      </c>
      <c r="T127" t="s">
        <v>2713</v>
      </c>
    </row>
    <row r="128" spans="1:20">
      <c r="R128" t="s">
        <v>2712</v>
      </c>
      <c r="S128">
        <v>360</v>
      </c>
      <c r="T128" t="s">
        <v>2713</v>
      </c>
    </row>
    <row r="129" spans="18:20" ht="15.75" thickBot="1">
      <c r="R129" t="s">
        <v>2712</v>
      </c>
      <c r="S129" s="98">
        <v>0</v>
      </c>
      <c r="T129" t="s">
        <v>2243</v>
      </c>
    </row>
    <row r="130" spans="18:20" ht="15.75" thickTop="1">
      <c r="R130" t="s">
        <v>2695</v>
      </c>
      <c r="S130" s="125">
        <v>14500</v>
      </c>
      <c r="T130" t="s">
        <v>2383</v>
      </c>
    </row>
    <row r="131" spans="18:20">
      <c r="R131" t="s">
        <v>2695</v>
      </c>
      <c r="S131" s="125">
        <v>3000</v>
      </c>
      <c r="T131" t="s">
        <v>31</v>
      </c>
    </row>
    <row r="132" spans="18:20">
      <c r="R132" t="s">
        <v>2695</v>
      </c>
      <c r="S132">
        <f>2500</f>
        <v>2500</v>
      </c>
      <c r="T132" t="s">
        <v>2442</v>
      </c>
    </row>
    <row r="133" spans="18:20">
      <c r="R133" t="s">
        <v>2695</v>
      </c>
      <c r="S133">
        <f>1200</f>
        <v>1200</v>
      </c>
      <c r="T133" t="s">
        <v>2538</v>
      </c>
    </row>
    <row r="134" spans="18:20">
      <c r="R134" t="s">
        <v>2695</v>
      </c>
      <c r="S134">
        <f>50+100+200</f>
        <v>350</v>
      </c>
      <c r="T134" t="s">
        <v>2729</v>
      </c>
    </row>
    <row r="135" spans="18:20">
      <c r="R135" t="s">
        <v>2695</v>
      </c>
      <c r="S135" s="119">
        <v>500</v>
      </c>
      <c r="T135" s="119" t="s">
        <v>2730</v>
      </c>
    </row>
    <row r="136" spans="18:20" ht="15.75" thickBot="1">
      <c r="R136" t="s">
        <v>2695</v>
      </c>
      <c r="S136" s="98">
        <f>S130-S131-S132-S133-S134-S135</f>
        <v>6950</v>
      </c>
      <c r="T136" s="125" t="s">
        <v>2243</v>
      </c>
    </row>
    <row r="137" spans="18:20" ht="15.75" thickTop="1">
      <c r="R137" t="s">
        <v>2695</v>
      </c>
      <c r="S137">
        <f>5700+600</f>
        <v>6300</v>
      </c>
      <c r="T137" s="125" t="s">
        <v>2743</v>
      </c>
    </row>
    <row r="138" spans="18:20" ht="15.75" thickBot="1">
      <c r="R138" t="s">
        <v>2695</v>
      </c>
      <c r="S138" s="98">
        <f>S136-S137</f>
        <v>650</v>
      </c>
      <c r="T138" s="125" t="s">
        <v>2243</v>
      </c>
    </row>
    <row r="139" spans="18:20" ht="15.75" thickTop="1">
      <c r="R139" t="s">
        <v>2738</v>
      </c>
      <c r="S139">
        <f>50+30+30</f>
        <v>110</v>
      </c>
      <c r="T139" s="125" t="s">
        <v>2316</v>
      </c>
    </row>
    <row r="140" spans="18:20">
      <c r="R140" t="s">
        <v>2738</v>
      </c>
      <c r="S140">
        <v>1950</v>
      </c>
      <c r="T140" s="125" t="s">
        <v>2241</v>
      </c>
    </row>
    <row r="141" spans="18:20" ht="15.75" thickBot="1">
      <c r="R141" t="s">
        <v>2738</v>
      </c>
      <c r="S141" s="98">
        <f>S138+S140-S139</f>
        <v>2490</v>
      </c>
      <c r="T141" s="125" t="s">
        <v>2243</v>
      </c>
    </row>
    <row r="142" spans="18:20" ht="15.75" thickTop="1">
      <c r="R142" t="s">
        <v>2738</v>
      </c>
      <c r="S142">
        <v>4400</v>
      </c>
      <c r="T142" s="125" t="s">
        <v>2433</v>
      </c>
    </row>
    <row r="143" spans="18:20">
      <c r="R143" t="s">
        <v>2738</v>
      </c>
      <c r="S143">
        <v>2500</v>
      </c>
      <c r="T143" s="125" t="s">
        <v>2743</v>
      </c>
    </row>
    <row r="144" spans="18:20">
      <c r="R144" t="s">
        <v>2738</v>
      </c>
      <c r="S144" s="123">
        <f>1900</f>
        <v>1900</v>
      </c>
      <c r="T144" s="125" t="s">
        <v>2744</v>
      </c>
    </row>
    <row r="145" spans="18:20" ht="15.75" thickBot="1">
      <c r="R145" t="s">
        <v>2738</v>
      </c>
      <c r="S145" s="98">
        <v>100</v>
      </c>
      <c r="T145" s="125" t="s">
        <v>2243</v>
      </c>
    </row>
    <row r="146" spans="18:20" ht="15.75" thickTop="1">
      <c r="R146" s="38">
        <v>42378</v>
      </c>
      <c r="S146" s="125">
        <v>500</v>
      </c>
      <c r="T146" s="125" t="s">
        <v>2369</v>
      </c>
    </row>
    <row r="147" spans="18:20">
      <c r="R147" s="38">
        <v>42378</v>
      </c>
      <c r="S147">
        <f>230*2</f>
        <v>460</v>
      </c>
      <c r="T147" s="125" t="s">
        <v>2760</v>
      </c>
    </row>
    <row r="148" spans="18:20">
      <c r="R148" s="38">
        <v>42378</v>
      </c>
      <c r="S148">
        <f>100+40</f>
        <v>140</v>
      </c>
      <c r="T148" s="125" t="s">
        <v>2242</v>
      </c>
    </row>
    <row r="149" spans="18:20" ht="15.75" thickBot="1">
      <c r="R149" s="38">
        <v>42378</v>
      </c>
      <c r="S149" s="98">
        <f>S145+S146-S147-S148</f>
        <v>0</v>
      </c>
      <c r="T149" s="125" t="s">
        <v>2243</v>
      </c>
    </row>
    <row r="150" spans="18:20" ht="15.75" thickTop="1"/>
  </sheetData>
  <mergeCells count="9">
    <mergeCell ref="AQ2:AW3"/>
    <mergeCell ref="BA1:BG2"/>
    <mergeCell ref="A1:G4"/>
    <mergeCell ref="I1:O4"/>
    <mergeCell ref="AB1:AF3"/>
    <mergeCell ref="AI1:AN3"/>
    <mergeCell ref="I88:O90"/>
    <mergeCell ref="I70:O72"/>
    <mergeCell ref="I33:O33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4"/>
  <sheetViews>
    <sheetView workbookViewId="0">
      <selection activeCell="E27" sqref="E27"/>
    </sheetView>
  </sheetViews>
  <sheetFormatPr defaultRowHeight="15"/>
  <cols>
    <col min="1" max="1" width="15.28515625" style="74" bestFit="1" customWidth="1"/>
    <col min="2" max="5" width="9.140625" style="74"/>
  </cols>
  <sheetData>
    <row r="3" spans="1:4">
      <c r="A3" s="74" t="s">
        <v>2223</v>
      </c>
      <c r="C3" s="74">
        <v>7047</v>
      </c>
    </row>
    <row r="4" spans="1:4">
      <c r="A4" s="74" t="s">
        <v>2282</v>
      </c>
      <c r="C4" s="74">
        <f>2145</f>
        <v>2145</v>
      </c>
    </row>
    <row r="5" spans="1:4" ht="15.75" thickBot="1">
      <c r="A5" s="74" t="s">
        <v>2227</v>
      </c>
      <c r="C5" s="113">
        <f>(10*50)+(15*50)</f>
        <v>1250</v>
      </c>
    </row>
    <row r="6" spans="1:4" ht="15.75" thickBot="1">
      <c r="A6" s="99" t="s">
        <v>2352</v>
      </c>
      <c r="B6" s="94"/>
      <c r="C6" s="115">
        <f>1900</f>
        <v>1900</v>
      </c>
      <c r="D6" s="112"/>
    </row>
    <row r="7" spans="1:4">
      <c r="A7" s="99"/>
      <c r="B7" s="99"/>
      <c r="C7" s="114"/>
    </row>
    <row r="10" spans="1:4">
      <c r="A10" s="121" t="s">
        <v>2434</v>
      </c>
      <c r="B10" s="121"/>
      <c r="C10" s="121">
        <f>C3-C4-C5-C6-C7</f>
        <v>1752</v>
      </c>
      <c r="D10" s="86">
        <v>42498</v>
      </c>
    </row>
    <row r="11" spans="1:4">
      <c r="A11" s="74" t="s">
        <v>2460</v>
      </c>
      <c r="C11" s="74">
        <f>(1000)</f>
        <v>1000</v>
      </c>
    </row>
    <row r="12" spans="1:4">
      <c r="A12" s="74" t="s">
        <v>2461</v>
      </c>
      <c r="C12" s="74">
        <f>C10-C11</f>
        <v>752</v>
      </c>
    </row>
    <row r="15" spans="1:4">
      <c r="A15" s="74" t="s">
        <v>2591</v>
      </c>
      <c r="C15" s="74">
        <v>9918</v>
      </c>
      <c r="D15" s="74" t="s">
        <v>2578</v>
      </c>
    </row>
    <row r="16" spans="1:4">
      <c r="A16" s="74" t="s">
        <v>2242</v>
      </c>
      <c r="C16" s="74">
        <v>-4541</v>
      </c>
    </row>
    <row r="17" spans="1:4">
      <c r="A17" s="74" t="s">
        <v>2459</v>
      </c>
      <c r="C17" s="74">
        <v>-3500</v>
      </c>
    </row>
    <row r="18" spans="1:4">
      <c r="A18" s="74" t="s">
        <v>2461</v>
      </c>
      <c r="C18" s="74">
        <f>SUM(C15:C17)</f>
        <v>1877</v>
      </c>
    </row>
    <row r="21" spans="1:4">
      <c r="A21" s="74" t="s">
        <v>2591</v>
      </c>
      <c r="C21" s="74">
        <v>3738</v>
      </c>
      <c r="D21" s="74" t="s">
        <v>2695</v>
      </c>
    </row>
    <row r="22" spans="1:4">
      <c r="A22" s="74" t="s">
        <v>2242</v>
      </c>
      <c r="C22" s="74">
        <v>1136</v>
      </c>
    </row>
    <row r="23" spans="1:4">
      <c r="A23" s="74" t="s">
        <v>2459</v>
      </c>
      <c r="C23" s="74">
        <f>1600</f>
        <v>1600</v>
      </c>
    </row>
    <row r="24" spans="1:4">
      <c r="A24" s="74" t="s">
        <v>2461</v>
      </c>
      <c r="C24" s="74">
        <f>C21-C22-C23</f>
        <v>1002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D11" sqref="D11"/>
    </sheetView>
  </sheetViews>
  <sheetFormatPr defaultRowHeight="15"/>
  <cols>
    <col min="2" max="2" width="30.28515625" customWidth="1"/>
    <col min="3" max="3" width="27.42578125" customWidth="1"/>
    <col min="4" max="4" width="15.85546875" customWidth="1"/>
    <col min="5" max="5" width="19.85546875" customWidth="1"/>
    <col min="6" max="6" width="27.28515625" customWidth="1"/>
    <col min="7" max="7" width="14.5703125" bestFit="1" customWidth="1"/>
    <col min="8" max="8" width="11.7109375" bestFit="1" customWidth="1"/>
  </cols>
  <sheetData>
    <row r="1" spans="1:10" ht="28.5">
      <c r="A1" s="168" t="s">
        <v>2160</v>
      </c>
      <c r="B1" s="168"/>
      <c r="C1" s="168"/>
      <c r="D1" s="168"/>
      <c r="E1" s="168"/>
      <c r="F1" s="168"/>
      <c r="G1" s="168"/>
      <c r="H1" s="168"/>
    </row>
    <row r="2" spans="1:10" ht="18.75">
      <c r="A2" s="84" t="s">
        <v>2158</v>
      </c>
      <c r="B2" s="84" t="s">
        <v>2157</v>
      </c>
      <c r="C2" s="84" t="s">
        <v>2164</v>
      </c>
      <c r="D2" s="84" t="s">
        <v>2159</v>
      </c>
      <c r="E2" s="84" t="s">
        <v>122</v>
      </c>
      <c r="F2" s="84" t="s">
        <v>2165</v>
      </c>
      <c r="G2" s="84" t="s">
        <v>2168</v>
      </c>
      <c r="H2" s="84" t="s">
        <v>2166</v>
      </c>
    </row>
    <row r="3" spans="1:10" ht="18.75">
      <c r="A3" s="85">
        <v>2015</v>
      </c>
      <c r="B3" s="85" t="s">
        <v>2163</v>
      </c>
      <c r="C3" s="85">
        <v>24</v>
      </c>
      <c r="D3" s="85">
        <v>23</v>
      </c>
      <c r="E3" s="85">
        <v>1</v>
      </c>
      <c r="F3" s="85"/>
      <c r="G3" s="85"/>
    </row>
    <row r="4" spans="1:10" ht="23.25">
      <c r="A4" s="85">
        <v>2015</v>
      </c>
      <c r="B4" s="82" t="s">
        <v>2167</v>
      </c>
      <c r="C4" s="82">
        <v>97</v>
      </c>
      <c r="D4" s="82">
        <v>94</v>
      </c>
      <c r="E4" s="82">
        <v>3</v>
      </c>
      <c r="F4" s="82"/>
      <c r="G4" s="82"/>
      <c r="H4" s="82"/>
      <c r="J4" s="83" t="s">
        <v>2161</v>
      </c>
    </row>
    <row r="5" spans="1:10">
      <c r="A5" s="82">
        <v>2015</v>
      </c>
      <c r="B5" s="82" t="s">
        <v>2169</v>
      </c>
      <c r="C5" s="82">
        <v>137</v>
      </c>
      <c r="D5" s="82">
        <f>C5-E5</f>
        <v>127</v>
      </c>
      <c r="E5" s="82">
        <v>10</v>
      </c>
      <c r="F5" s="82"/>
      <c r="G5" s="82"/>
      <c r="H5" s="82"/>
    </row>
    <row r="6" spans="1:10" ht="18.75">
      <c r="A6" s="85">
        <v>2015</v>
      </c>
      <c r="B6" s="82" t="s">
        <v>2170</v>
      </c>
      <c r="C6" s="82">
        <v>108</v>
      </c>
      <c r="D6" s="82">
        <f t="shared" ref="D6:D19" si="0">C6-E6</f>
        <v>97</v>
      </c>
      <c r="E6" s="82">
        <v>11</v>
      </c>
      <c r="F6" s="82"/>
      <c r="G6" s="82"/>
    </row>
    <row r="7" spans="1:10" ht="18.75">
      <c r="A7" s="85">
        <v>2016</v>
      </c>
      <c r="B7" s="82" t="s">
        <v>2171</v>
      </c>
      <c r="C7" s="82">
        <v>72</v>
      </c>
      <c r="D7" s="82">
        <f t="shared" si="0"/>
        <v>66</v>
      </c>
      <c r="E7" s="82">
        <v>6</v>
      </c>
      <c r="F7" s="82"/>
      <c r="G7" s="82"/>
    </row>
    <row r="8" spans="1:10" ht="18.75">
      <c r="A8" s="85">
        <v>2016</v>
      </c>
      <c r="B8" s="82" t="s">
        <v>2172</v>
      </c>
      <c r="C8" s="82">
        <v>77</v>
      </c>
      <c r="D8" s="82">
        <f t="shared" si="0"/>
        <v>72</v>
      </c>
      <c r="E8" s="82">
        <v>5</v>
      </c>
      <c r="F8" s="82"/>
      <c r="G8" s="82"/>
    </row>
    <row r="9" spans="1:10" ht="18.75">
      <c r="A9" s="85">
        <v>2016</v>
      </c>
      <c r="B9" s="82" t="s">
        <v>2173</v>
      </c>
      <c r="C9" s="82">
        <v>72</v>
      </c>
      <c r="D9" s="82">
        <f t="shared" si="0"/>
        <v>61</v>
      </c>
      <c r="E9" s="82">
        <v>11</v>
      </c>
      <c r="F9" s="82"/>
      <c r="G9" s="82"/>
    </row>
    <row r="10" spans="1:10" ht="18.75">
      <c r="A10" s="85">
        <v>2016</v>
      </c>
      <c r="B10" s="82" t="s">
        <v>2174</v>
      </c>
      <c r="C10" s="82">
        <v>90</v>
      </c>
      <c r="D10" s="82">
        <f t="shared" si="0"/>
        <v>84</v>
      </c>
      <c r="E10" s="82">
        <v>6</v>
      </c>
      <c r="F10" s="82"/>
      <c r="G10" s="82"/>
    </row>
    <row r="11" spans="1:10" ht="18.75">
      <c r="A11" s="85">
        <v>2016</v>
      </c>
      <c r="B11" s="82" t="s">
        <v>2175</v>
      </c>
      <c r="C11" s="82">
        <v>76</v>
      </c>
      <c r="D11" s="82">
        <f t="shared" si="0"/>
        <v>70</v>
      </c>
      <c r="E11" s="82">
        <v>6</v>
      </c>
      <c r="F11" s="82"/>
      <c r="G11" s="82"/>
    </row>
    <row r="12" spans="1:10" ht="18.75">
      <c r="A12" s="85">
        <v>2016</v>
      </c>
      <c r="B12" s="82" t="s">
        <v>2176</v>
      </c>
      <c r="C12" s="82">
        <v>73</v>
      </c>
      <c r="D12" s="82">
        <f t="shared" si="0"/>
        <v>69</v>
      </c>
      <c r="E12" s="82">
        <v>4</v>
      </c>
      <c r="F12" s="82"/>
      <c r="G12" s="82"/>
    </row>
    <row r="13" spans="1:10" ht="18.75">
      <c r="A13" s="85">
        <v>2016</v>
      </c>
      <c r="B13" s="82" t="s">
        <v>2177</v>
      </c>
      <c r="C13" s="82"/>
      <c r="D13" s="82">
        <f t="shared" si="0"/>
        <v>0</v>
      </c>
      <c r="E13" s="82"/>
      <c r="F13" s="82">
        <f>763*300</f>
        <v>228900</v>
      </c>
      <c r="G13" s="82"/>
    </row>
    <row r="14" spans="1:10" ht="18.75">
      <c r="A14" s="85">
        <v>2016</v>
      </c>
      <c r="B14" s="82"/>
      <c r="C14" s="82"/>
      <c r="D14" s="82">
        <f t="shared" si="0"/>
        <v>0</v>
      </c>
      <c r="E14" s="82"/>
      <c r="F14" s="82">
        <f>600*63</f>
        <v>37800</v>
      </c>
      <c r="G14" s="82"/>
    </row>
    <row r="15" spans="1:10" ht="18.75">
      <c r="A15" s="85">
        <v>2016</v>
      </c>
      <c r="B15" s="82"/>
      <c r="C15" s="82">
        <f>SUM(C3:C12)</f>
        <v>826</v>
      </c>
      <c r="D15" s="82">
        <f t="shared" si="0"/>
        <v>763</v>
      </c>
      <c r="E15" s="82">
        <f>SUM(E3:E12)</f>
        <v>63</v>
      </c>
      <c r="F15" s="82">
        <f>150000</f>
        <v>150000</v>
      </c>
      <c r="G15" s="82"/>
    </row>
    <row r="16" spans="1:10" ht="18.75">
      <c r="A16" s="85">
        <v>2016</v>
      </c>
      <c r="B16" s="82"/>
      <c r="C16" s="82"/>
      <c r="D16" s="82">
        <f t="shared" si="0"/>
        <v>0</v>
      </c>
      <c r="E16" s="82"/>
      <c r="F16" s="82"/>
      <c r="G16" s="82"/>
    </row>
    <row r="17" spans="1:7" ht="18.75">
      <c r="A17" s="85">
        <v>2016</v>
      </c>
      <c r="B17" s="82"/>
      <c r="C17" s="82"/>
      <c r="D17" s="82">
        <f t="shared" si="0"/>
        <v>0</v>
      </c>
      <c r="E17" s="82"/>
      <c r="F17" s="82"/>
      <c r="G17" s="82"/>
    </row>
    <row r="18" spans="1:7" ht="18.75">
      <c r="A18" s="85">
        <v>2016</v>
      </c>
      <c r="B18" s="82"/>
      <c r="C18" s="82"/>
      <c r="D18" s="82">
        <f t="shared" si="0"/>
        <v>0</v>
      </c>
      <c r="E18" s="82"/>
      <c r="F18" s="82"/>
      <c r="G18" s="82"/>
    </row>
    <row r="19" spans="1:7" ht="18.75">
      <c r="A19" s="85">
        <v>2016</v>
      </c>
      <c r="B19" s="82"/>
      <c r="C19" s="82"/>
      <c r="D19" s="82">
        <f t="shared" si="0"/>
        <v>0</v>
      </c>
      <c r="E19" s="82"/>
      <c r="F19" s="82"/>
      <c r="G19" s="82"/>
    </row>
    <row r="20" spans="1:7">
      <c r="A20" s="82"/>
      <c r="B20" s="82"/>
      <c r="C20" s="82"/>
      <c r="D20" s="82"/>
      <c r="E20" s="82"/>
      <c r="F20" s="82"/>
      <c r="G20" s="82"/>
    </row>
    <row r="21" spans="1:7">
      <c r="A21" s="82"/>
      <c r="B21" s="82"/>
      <c r="C21" s="82"/>
      <c r="D21" s="82"/>
      <c r="E21" s="82"/>
      <c r="F21" s="82"/>
      <c r="G21" s="82"/>
    </row>
    <row r="22" spans="1:7">
      <c r="A22" s="82"/>
      <c r="B22" s="82"/>
      <c r="C22" s="82"/>
      <c r="D22" s="82"/>
      <c r="E22" s="82"/>
      <c r="F22" s="82"/>
      <c r="G22" s="82"/>
    </row>
    <row r="23" spans="1:7">
      <c r="A23" s="82"/>
      <c r="B23" s="82"/>
      <c r="C23" s="82"/>
      <c r="D23" s="82"/>
      <c r="E23" s="82"/>
      <c r="F23" s="82"/>
      <c r="G23" s="82"/>
    </row>
    <row r="24" spans="1:7">
      <c r="A24" s="82"/>
      <c r="B24" s="82"/>
      <c r="C24" s="82"/>
      <c r="D24" s="82"/>
      <c r="E24" s="82"/>
      <c r="F24" s="82"/>
      <c r="G24" s="82"/>
    </row>
    <row r="25" spans="1:7">
      <c r="A25" s="82"/>
      <c r="B25" s="82"/>
      <c r="C25" s="82"/>
      <c r="D25" s="82"/>
      <c r="E25" s="82"/>
      <c r="F25" s="82"/>
      <c r="G25" s="82"/>
    </row>
    <row r="26" spans="1:7">
      <c r="A26" s="82"/>
      <c r="B26" s="82"/>
      <c r="C26" s="82"/>
      <c r="D26" s="82"/>
      <c r="E26" s="82"/>
      <c r="F26" s="82"/>
      <c r="G26" s="82"/>
    </row>
    <row r="27" spans="1:7">
      <c r="A27" s="82"/>
      <c r="B27" s="82"/>
      <c r="C27" s="82"/>
      <c r="D27" s="82"/>
      <c r="E27" s="82"/>
      <c r="F27" s="82"/>
      <c r="G27" s="82"/>
    </row>
    <row r="28" spans="1:7">
      <c r="A28" s="82"/>
      <c r="B28" s="82"/>
      <c r="C28" s="82"/>
      <c r="D28" s="82"/>
      <c r="E28" s="82"/>
      <c r="F28" s="82"/>
      <c r="G28" s="82"/>
    </row>
    <row r="29" spans="1:7">
      <c r="A29" s="82"/>
      <c r="B29" s="82"/>
      <c r="C29" s="82"/>
      <c r="D29" s="82"/>
      <c r="E29" s="82"/>
      <c r="F29" s="82"/>
      <c r="G29" s="82"/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72"/>
  <sheetViews>
    <sheetView workbookViewId="0">
      <selection activeCell="B2" sqref="B2"/>
    </sheetView>
  </sheetViews>
  <sheetFormatPr defaultRowHeight="15"/>
  <cols>
    <col min="1" max="1" width="20.7109375" customWidth="1"/>
  </cols>
  <sheetData>
    <row r="1" spans="1:1">
      <c r="A1" s="9" t="s">
        <v>1</v>
      </c>
    </row>
    <row r="2" spans="1:1">
      <c r="A2" s="20">
        <v>3475052949</v>
      </c>
    </row>
    <row r="3" spans="1:1">
      <c r="A3" s="2">
        <v>3135501222</v>
      </c>
    </row>
    <row r="4" spans="1:1">
      <c r="A4" s="2">
        <v>3004282632</v>
      </c>
    </row>
    <row r="5" spans="1:1">
      <c r="A5" s="2">
        <v>3432082407</v>
      </c>
    </row>
    <row r="6" spans="1:1">
      <c r="A6" s="2">
        <v>3222228676</v>
      </c>
    </row>
    <row r="7" spans="1:1">
      <c r="A7" s="2">
        <v>3339127895</v>
      </c>
    </row>
    <row r="8" spans="1:1">
      <c r="A8" s="2">
        <v>3327550332</v>
      </c>
    </row>
    <row r="9" spans="1:1">
      <c r="A9" s="2">
        <v>3009504813</v>
      </c>
    </row>
    <row r="10" spans="1:1">
      <c r="A10" s="2">
        <v>3310288116</v>
      </c>
    </row>
    <row r="11" spans="1:1">
      <c r="A11" s="2">
        <v>3360200470</v>
      </c>
    </row>
    <row r="12" spans="1:1">
      <c r="A12" s="2">
        <v>3018668802</v>
      </c>
    </row>
    <row r="13" spans="1:1">
      <c r="A13" s="2">
        <v>3007711632</v>
      </c>
    </row>
    <row r="14" spans="1:1">
      <c r="A14" s="2">
        <v>3034080363</v>
      </c>
    </row>
    <row r="15" spans="1:1">
      <c r="A15" s="2">
        <v>3154047321</v>
      </c>
    </row>
    <row r="16" spans="1:1">
      <c r="A16" s="2">
        <v>3139445328</v>
      </c>
    </row>
    <row r="17" spans="1:1">
      <c r="A17" s="2">
        <v>3449790116</v>
      </c>
    </row>
    <row r="18" spans="1:1">
      <c r="A18" s="2">
        <v>3439110000</v>
      </c>
    </row>
    <row r="19" spans="1:1">
      <c r="A19" s="30">
        <v>3361757517</v>
      </c>
    </row>
    <row r="20" spans="1:1">
      <c r="A20" s="2">
        <v>3332116015</v>
      </c>
    </row>
    <row r="21" spans="1:1">
      <c r="A21" s="2">
        <v>3462579579</v>
      </c>
    </row>
    <row r="22" spans="1:1">
      <c r="A22" s="2">
        <v>3343808400</v>
      </c>
    </row>
    <row r="23" spans="1:1">
      <c r="A23" s="2">
        <v>3345466101</v>
      </c>
    </row>
    <row r="24" spans="1:1">
      <c r="A24" s="2">
        <v>3313890188</v>
      </c>
    </row>
    <row r="25" spans="1:1">
      <c r="A25" s="2">
        <v>3072771611</v>
      </c>
    </row>
    <row r="26" spans="1:1">
      <c r="A26" s="2">
        <v>3035210796</v>
      </c>
    </row>
    <row r="27" spans="1:1">
      <c r="A27" s="27">
        <v>3139120912</v>
      </c>
    </row>
    <row r="28" spans="1:1">
      <c r="A28" s="2">
        <v>3227220585</v>
      </c>
    </row>
    <row r="29" spans="1:1">
      <c r="A29" s="2">
        <v>3004113225</v>
      </c>
    </row>
    <row r="30" spans="1:1">
      <c r="A30" s="30">
        <v>3249495181</v>
      </c>
    </row>
    <row r="31" spans="1:1">
      <c r="A31" s="2">
        <v>3030533041</v>
      </c>
    </row>
    <row r="32" spans="1:1">
      <c r="A32" s="2">
        <v>3332182155</v>
      </c>
    </row>
    <row r="33" spans="1:1">
      <c r="A33" s="2">
        <v>3135974447</v>
      </c>
    </row>
    <row r="34" spans="1:1">
      <c r="A34" s="20">
        <v>3322215251</v>
      </c>
    </row>
    <row r="35" spans="1:1">
      <c r="A35" s="2">
        <v>3338628258</v>
      </c>
    </row>
    <row r="36" spans="1:1">
      <c r="A36" s="2">
        <v>3073310592</v>
      </c>
    </row>
    <row r="37" spans="1:1">
      <c r="A37" s="2">
        <v>3111681317</v>
      </c>
    </row>
    <row r="38" spans="1:1">
      <c r="A38" s="2">
        <v>3212371775</v>
      </c>
    </row>
    <row r="39" spans="1:1">
      <c r="A39" s="2">
        <v>3207366457</v>
      </c>
    </row>
    <row r="40" spans="1:1">
      <c r="A40" s="2">
        <v>3411484525</v>
      </c>
    </row>
    <row r="41" spans="1:1">
      <c r="A41" s="2">
        <v>3133149408</v>
      </c>
    </row>
    <row r="42" spans="1:1">
      <c r="A42" s="2">
        <v>3218823930</v>
      </c>
    </row>
    <row r="43" spans="1:1">
      <c r="A43" s="2">
        <v>3133426091</v>
      </c>
    </row>
    <row r="44" spans="1:1">
      <c r="A44" s="30">
        <v>3119462795</v>
      </c>
    </row>
    <row r="45" spans="1:1">
      <c r="A45" s="2">
        <v>3315301911</v>
      </c>
    </row>
    <row r="46" spans="1:1">
      <c r="A46" s="2">
        <v>3322244123</v>
      </c>
    </row>
    <row r="47" spans="1:1">
      <c r="A47" s="20">
        <v>3222141820</v>
      </c>
    </row>
    <row r="48" spans="1:1">
      <c r="A48" s="2">
        <v>3245400004</v>
      </c>
    </row>
    <row r="49" spans="1:1">
      <c r="A49" s="2">
        <v>3475564903</v>
      </c>
    </row>
    <row r="50" spans="1:1">
      <c r="A50" s="2">
        <v>3070614559</v>
      </c>
    </row>
    <row r="51" spans="1:1">
      <c r="A51" s="2">
        <v>3151880753</v>
      </c>
    </row>
    <row r="52" spans="1:1">
      <c r="A52" s="2">
        <v>3462220229</v>
      </c>
    </row>
    <row r="53" spans="1:1">
      <c r="A53" s="2">
        <v>3102879934</v>
      </c>
    </row>
    <row r="54" spans="1:1">
      <c r="A54" s="2">
        <v>3218383567</v>
      </c>
    </row>
    <row r="55" spans="1:1">
      <c r="A55" s="2">
        <v>3217555548</v>
      </c>
    </row>
    <row r="56" spans="1:1">
      <c r="A56" s="2">
        <v>3214226230</v>
      </c>
    </row>
    <row r="57" spans="1:1">
      <c r="A57" s="2">
        <v>3460337677</v>
      </c>
    </row>
    <row r="58" spans="1:1">
      <c r="A58" s="2">
        <v>3127095434</v>
      </c>
    </row>
    <row r="59" spans="1:1">
      <c r="A59" s="2">
        <v>3349195544</v>
      </c>
    </row>
    <row r="60" spans="1:1">
      <c r="A60" s="30">
        <v>3337546833</v>
      </c>
    </row>
    <row r="61" spans="1:1">
      <c r="A61" s="2">
        <v>3064451812</v>
      </c>
    </row>
    <row r="62" spans="1:1">
      <c r="A62" s="2">
        <v>3114790647</v>
      </c>
    </row>
    <row r="63" spans="1:1">
      <c r="A63" s="5">
        <v>3131015717</v>
      </c>
    </row>
    <row r="64" spans="1:1">
      <c r="A64" s="5">
        <v>3217279170</v>
      </c>
    </row>
    <row r="65" spans="1:1">
      <c r="A65" s="5">
        <v>3319614452</v>
      </c>
    </row>
    <row r="66" spans="1:1">
      <c r="A66" s="5">
        <v>3455281827</v>
      </c>
    </row>
    <row r="67" spans="1:1">
      <c r="A67" s="5">
        <v>3217555548</v>
      </c>
    </row>
    <row r="68" spans="1:1">
      <c r="A68" s="5">
        <v>3151316294</v>
      </c>
    </row>
    <row r="69" spans="1:1">
      <c r="A69" s="5">
        <v>3227264703</v>
      </c>
    </row>
    <row r="70" spans="1:1">
      <c r="A70" s="5">
        <v>3015141428</v>
      </c>
    </row>
    <row r="71" spans="1:1">
      <c r="A71" s="2">
        <v>3360067883</v>
      </c>
    </row>
    <row r="72" spans="1:1">
      <c r="A72" s="21">
        <v>3232052231</v>
      </c>
    </row>
    <row r="73" spans="1:1">
      <c r="A73" s="2">
        <v>3452492689</v>
      </c>
    </row>
    <row r="74" spans="1:1">
      <c r="A74" s="2">
        <v>3354941966</v>
      </c>
    </row>
    <row r="75" spans="1:1">
      <c r="A75" s="2">
        <v>3355976801</v>
      </c>
    </row>
    <row r="76" spans="1:1">
      <c r="A76" s="2">
        <v>3465317632</v>
      </c>
    </row>
    <row r="77" spans="1:1">
      <c r="A77" s="5">
        <v>3122124938</v>
      </c>
    </row>
    <row r="78" spans="1:1">
      <c r="A78" s="5">
        <v>3414002096</v>
      </c>
    </row>
    <row r="79" spans="1:1">
      <c r="A79" s="5">
        <v>3243372882</v>
      </c>
    </row>
    <row r="80" spans="1:1">
      <c r="A80" s="2">
        <v>3329216611</v>
      </c>
    </row>
    <row r="81" spans="1:1">
      <c r="A81" s="2">
        <v>3358407040</v>
      </c>
    </row>
    <row r="82" spans="1:1">
      <c r="A82" s="2">
        <v>3318200117</v>
      </c>
    </row>
    <row r="83" spans="1:1">
      <c r="A83" s="2">
        <v>3101828048</v>
      </c>
    </row>
    <row r="84" spans="1:1">
      <c r="A84" s="2">
        <v>3337028705</v>
      </c>
    </row>
    <row r="85" spans="1:1">
      <c r="A85" s="2">
        <v>3432778874</v>
      </c>
    </row>
    <row r="86" spans="1:1">
      <c r="A86" s="2">
        <v>3330514491</v>
      </c>
    </row>
    <row r="87" spans="1:1">
      <c r="A87" s="2">
        <v>3101828048</v>
      </c>
    </row>
    <row r="88" spans="1:1">
      <c r="A88" s="2">
        <v>3417580739</v>
      </c>
    </row>
    <row r="89" spans="1:1">
      <c r="A89" s="2">
        <v>3337028705</v>
      </c>
    </row>
    <row r="90" spans="1:1">
      <c r="A90" s="2">
        <v>3412589950</v>
      </c>
    </row>
    <row r="91" spans="1:1">
      <c r="A91" s="2">
        <v>3145858090</v>
      </c>
    </row>
    <row r="92" spans="1:1">
      <c r="A92" s="2">
        <v>3322588749</v>
      </c>
    </row>
    <row r="93" spans="1:1">
      <c r="A93" s="19">
        <v>3314409501</v>
      </c>
    </row>
    <row r="94" spans="1:1">
      <c r="A94" s="2">
        <v>3343400800</v>
      </c>
    </row>
    <row r="95" spans="1:1">
      <c r="A95" s="2">
        <v>3324000084</v>
      </c>
    </row>
    <row r="96" spans="1:1">
      <c r="A96" s="2" t="s">
        <v>313</v>
      </c>
    </row>
    <row r="97" spans="1:1">
      <c r="A97" s="2">
        <v>3212885297</v>
      </c>
    </row>
    <row r="98" spans="1:1">
      <c r="A98" s="2">
        <v>3242444067</v>
      </c>
    </row>
    <row r="99" spans="1:1">
      <c r="A99" s="2">
        <v>3368284355</v>
      </c>
    </row>
    <row r="100" spans="1:1">
      <c r="A100" s="2">
        <v>3073265414</v>
      </c>
    </row>
    <row r="101" spans="1:1">
      <c r="A101" s="20"/>
    </row>
    <row r="102" spans="1:1">
      <c r="A102" s="5">
        <v>3332191203</v>
      </c>
    </row>
    <row r="103" spans="1:1">
      <c r="A103" s="5">
        <v>3115444842</v>
      </c>
    </row>
    <row r="104" spans="1:1">
      <c r="A104" s="5">
        <v>3062130357</v>
      </c>
    </row>
    <row r="105" spans="1:1">
      <c r="A105" s="5">
        <v>3355127192</v>
      </c>
    </row>
    <row r="106" spans="1:1">
      <c r="A106" s="5">
        <v>3047376569</v>
      </c>
    </row>
    <row r="107" spans="1:1">
      <c r="A107" s="5">
        <v>3337845133</v>
      </c>
    </row>
    <row r="108" spans="1:1">
      <c r="A108" s="5">
        <v>3238106362</v>
      </c>
    </row>
    <row r="109" spans="1:1">
      <c r="A109" s="5">
        <v>3315359798</v>
      </c>
    </row>
    <row r="110" spans="1:1">
      <c r="A110" s="2">
        <v>3052651435</v>
      </c>
    </row>
    <row r="111" spans="1:1">
      <c r="A111" s="5">
        <v>3341664164</v>
      </c>
    </row>
    <row r="112" spans="1:1">
      <c r="A112" s="5">
        <v>3335573787</v>
      </c>
    </row>
    <row r="113" spans="1:1">
      <c r="A113" s="5">
        <v>3008274645</v>
      </c>
    </row>
    <row r="114" spans="1:1">
      <c r="A114" s="5">
        <v>3333263266</v>
      </c>
    </row>
    <row r="115" spans="1:1">
      <c r="A115" s="5">
        <v>3148001545</v>
      </c>
    </row>
    <row r="116" spans="1:1">
      <c r="A116" s="5">
        <v>3003664225</v>
      </c>
    </row>
    <row r="117" spans="1:1">
      <c r="A117" s="5">
        <v>3222788979</v>
      </c>
    </row>
    <row r="118" spans="1:1">
      <c r="A118" s="2">
        <v>3458645481</v>
      </c>
    </row>
    <row r="119" spans="1:1">
      <c r="A119" s="2">
        <v>3334556734</v>
      </c>
    </row>
    <row r="120" spans="1:1">
      <c r="A120" s="2">
        <v>3346854512</v>
      </c>
    </row>
    <row r="121" spans="1:1">
      <c r="A121" s="2">
        <v>3332949188</v>
      </c>
    </row>
    <row r="122" spans="1:1">
      <c r="A122" s="2">
        <v>3008037786</v>
      </c>
    </row>
    <row r="123" spans="1:1">
      <c r="A123" s="2">
        <v>3434940982</v>
      </c>
    </row>
    <row r="124" spans="1:1">
      <c r="A124" s="2">
        <v>3465317632</v>
      </c>
    </row>
    <row r="125" spans="1:1">
      <c r="A125" s="2">
        <v>3321461107</v>
      </c>
    </row>
    <row r="126" spans="1:1">
      <c r="A126" s="2">
        <v>3429150025</v>
      </c>
    </row>
    <row r="127" spans="1:1">
      <c r="A127" s="2">
        <v>3008359466</v>
      </c>
    </row>
    <row r="128" spans="1:1">
      <c r="A128" s="2">
        <v>3405195710</v>
      </c>
    </row>
    <row r="129" spans="1:1">
      <c r="A129" s="30">
        <v>3352740403</v>
      </c>
    </row>
    <row r="130" spans="1:1">
      <c r="A130" s="2">
        <v>3342275717</v>
      </c>
    </row>
    <row r="131" spans="1:1">
      <c r="A131" s="2"/>
    </row>
    <row r="132" spans="1:1">
      <c r="A132" s="2">
        <v>3452260945</v>
      </c>
    </row>
    <row r="133" spans="1:1">
      <c r="A133" s="2">
        <v>3109980080</v>
      </c>
    </row>
    <row r="134" spans="1:1">
      <c r="A134" s="2">
        <v>3064208400</v>
      </c>
    </row>
    <row r="135" spans="1:1">
      <c r="A135" s="30">
        <v>3083730969</v>
      </c>
    </row>
    <row r="136" spans="1:1">
      <c r="A136" s="2">
        <v>3487699561</v>
      </c>
    </row>
    <row r="137" spans="1:1">
      <c r="A137" s="2">
        <v>3013345679</v>
      </c>
    </row>
    <row r="138" spans="1:1">
      <c r="A138" s="2">
        <v>3343501747</v>
      </c>
    </row>
    <row r="139" spans="1:1">
      <c r="A139" s="2">
        <v>3452820133</v>
      </c>
    </row>
    <row r="140" spans="1:1">
      <c r="A140" s="2">
        <v>3024784064</v>
      </c>
    </row>
    <row r="141" spans="1:1">
      <c r="A141" s="2">
        <v>3004710338</v>
      </c>
    </row>
    <row r="142" spans="1:1">
      <c r="A142" s="30">
        <v>3007517443</v>
      </c>
    </row>
    <row r="143" spans="1:1">
      <c r="A143" s="2" t="s">
        <v>104</v>
      </c>
    </row>
    <row r="144" spans="1:1">
      <c r="A144" s="2" t="s">
        <v>445</v>
      </c>
    </row>
    <row r="145" spans="1:1">
      <c r="A145" s="2">
        <v>3016620720</v>
      </c>
    </row>
    <row r="146" spans="1:1">
      <c r="A146" s="2">
        <v>3435000168</v>
      </c>
    </row>
    <row r="147" spans="1:1">
      <c r="A147" s="2">
        <v>3334707299</v>
      </c>
    </row>
    <row r="148" spans="1:1">
      <c r="A148" s="2" t="s">
        <v>456</v>
      </c>
    </row>
    <row r="149" spans="1:1">
      <c r="A149" s="2">
        <v>3464161233</v>
      </c>
    </row>
    <row r="150" spans="1:1">
      <c r="A150" s="2">
        <v>3223345939</v>
      </c>
    </row>
    <row r="151" spans="1:1">
      <c r="A151" s="2">
        <v>3327925644</v>
      </c>
    </row>
    <row r="152" spans="1:1">
      <c r="A152" s="2">
        <v>3453053894</v>
      </c>
    </row>
    <row r="153" spans="1:1">
      <c r="A153" s="20" t="s">
        <v>463</v>
      </c>
    </row>
    <row r="154" spans="1:1">
      <c r="A154" s="2">
        <v>3332831141</v>
      </c>
    </row>
    <row r="155" spans="1:1">
      <c r="A155" s="30">
        <v>3456463762</v>
      </c>
    </row>
    <row r="156" spans="1:1">
      <c r="A156" s="2">
        <v>3357731777</v>
      </c>
    </row>
    <row r="157" spans="1:1">
      <c r="A157" s="30">
        <v>3017461453</v>
      </c>
    </row>
    <row r="158" spans="1:1">
      <c r="A158" s="2">
        <v>3126969609</v>
      </c>
    </row>
    <row r="159" spans="1:1">
      <c r="A159" s="2">
        <v>3449385746</v>
      </c>
    </row>
    <row r="160" spans="1:1">
      <c r="A160" s="2">
        <v>3335559707</v>
      </c>
    </row>
    <row r="161" spans="1:1">
      <c r="A161" s="2">
        <v>3430100223</v>
      </c>
    </row>
    <row r="162" spans="1:1">
      <c r="A162" s="2">
        <v>3030972411</v>
      </c>
    </row>
    <row r="163" spans="1:1">
      <c r="A163" s="2">
        <v>3333666960</v>
      </c>
    </row>
    <row r="164" spans="1:1">
      <c r="A164" s="30">
        <v>3157697376</v>
      </c>
    </row>
    <row r="165" spans="1:1">
      <c r="A165" s="2">
        <v>3334512471</v>
      </c>
    </row>
    <row r="166" spans="1:1">
      <c r="A166" s="2">
        <v>3314645434</v>
      </c>
    </row>
    <row r="167" spans="1:1">
      <c r="A167" s="2">
        <v>3242984905</v>
      </c>
    </row>
    <row r="168" spans="1:1">
      <c r="A168" s="2">
        <v>3461283211</v>
      </c>
    </row>
    <row r="169" spans="1:1">
      <c r="A169" s="2">
        <v>3432998344</v>
      </c>
    </row>
    <row r="170" spans="1:1">
      <c r="A170" s="2">
        <v>3216442684</v>
      </c>
    </row>
    <row r="171" spans="1:1">
      <c r="A171" s="2">
        <v>3315050582</v>
      </c>
    </row>
    <row r="172" spans="1:1">
      <c r="A172" s="2">
        <v>3454882587</v>
      </c>
    </row>
    <row r="173" spans="1:1">
      <c r="A173" s="2">
        <v>3218387575</v>
      </c>
    </row>
    <row r="174" spans="1:1">
      <c r="A174" s="2">
        <v>3333334358</v>
      </c>
    </row>
    <row r="175" spans="1:1">
      <c r="A175" s="2">
        <v>3212401473</v>
      </c>
    </row>
    <row r="176" spans="1:1">
      <c r="A176" s="2">
        <v>3152613344</v>
      </c>
    </row>
    <row r="177" spans="1:1">
      <c r="A177" s="2">
        <v>3248259757</v>
      </c>
    </row>
    <row r="178" spans="1:1">
      <c r="A178" s="2">
        <v>3472820633</v>
      </c>
    </row>
    <row r="179" spans="1:1">
      <c r="A179" s="2">
        <v>3318012874</v>
      </c>
    </row>
    <row r="180" spans="1:1">
      <c r="A180" s="2">
        <v>3126853922</v>
      </c>
    </row>
    <row r="181" spans="1:1">
      <c r="A181" s="2">
        <v>3338427273</v>
      </c>
    </row>
    <row r="182" spans="1:1">
      <c r="A182" s="2">
        <v>3331238966</v>
      </c>
    </row>
    <row r="183" spans="1:1">
      <c r="A183" s="2">
        <v>3002114818</v>
      </c>
    </row>
    <row r="184" spans="1:1">
      <c r="A184" s="2">
        <v>3152838664</v>
      </c>
    </row>
    <row r="185" spans="1:1">
      <c r="A185" s="2">
        <v>3321663774</v>
      </c>
    </row>
    <row r="186" spans="1:1">
      <c r="A186" s="2">
        <v>3003730465</v>
      </c>
    </row>
    <row r="187" spans="1:1">
      <c r="A187" s="2">
        <v>3120580010</v>
      </c>
    </row>
    <row r="188" spans="1:1">
      <c r="A188" s="2">
        <v>3458335737</v>
      </c>
    </row>
    <row r="189" spans="1:1">
      <c r="A189" s="2">
        <v>3205355678</v>
      </c>
    </row>
    <row r="190" spans="1:1">
      <c r="A190" s="2">
        <v>3002023010</v>
      </c>
    </row>
    <row r="191" spans="1:1">
      <c r="A191" s="2">
        <v>3000914867</v>
      </c>
    </row>
    <row r="192" spans="1:1">
      <c r="A192" s="2">
        <v>3333277749</v>
      </c>
    </row>
    <row r="193" spans="1:1">
      <c r="A193" s="2">
        <v>3083241726</v>
      </c>
    </row>
    <row r="194" spans="1:1">
      <c r="A194" s="2">
        <v>3012302366</v>
      </c>
    </row>
    <row r="195" spans="1:1">
      <c r="A195" s="2">
        <v>3339738004</v>
      </c>
    </row>
    <row r="196" spans="1:1">
      <c r="A196" s="2">
        <v>3334504878</v>
      </c>
    </row>
    <row r="197" spans="1:1">
      <c r="A197" s="2">
        <v>3452944853</v>
      </c>
    </row>
    <row r="198" spans="1:1">
      <c r="A198" s="2" t="s">
        <v>581</v>
      </c>
    </row>
    <row r="199" spans="1:1">
      <c r="A199" s="2">
        <v>3136015944</v>
      </c>
    </row>
    <row r="200" spans="1:1">
      <c r="A200" s="2">
        <v>3455161120</v>
      </c>
    </row>
    <row r="201" spans="1:1">
      <c r="A201" s="2">
        <v>3003648233</v>
      </c>
    </row>
    <row r="202" spans="1:1">
      <c r="A202" s="2">
        <v>3365188073</v>
      </c>
    </row>
    <row r="203" spans="1:1">
      <c r="A203" s="2">
        <v>3406041445</v>
      </c>
    </row>
    <row r="204" spans="1:1">
      <c r="A204" s="2">
        <v>3062452564</v>
      </c>
    </row>
    <row r="205" spans="1:1">
      <c r="A205" s="2">
        <v>3323056946</v>
      </c>
    </row>
    <row r="206" spans="1:1">
      <c r="A206" s="2">
        <v>3032966289</v>
      </c>
    </row>
    <row r="207" spans="1:1">
      <c r="A207" s="2">
        <v>3340079332</v>
      </c>
    </row>
    <row r="208" spans="1:1">
      <c r="A208" s="2">
        <v>3234143885</v>
      </c>
    </row>
    <row r="209" spans="1:1">
      <c r="A209" s="2">
        <v>3105054377</v>
      </c>
    </row>
    <row r="210" spans="1:1">
      <c r="A210" s="2">
        <v>3076302425</v>
      </c>
    </row>
    <row r="211" spans="1:1">
      <c r="A211" s="2">
        <v>3152022232</v>
      </c>
    </row>
    <row r="212" spans="1:1">
      <c r="A212" s="2">
        <v>3036126022</v>
      </c>
    </row>
    <row r="213" spans="1:1">
      <c r="A213" s="2">
        <v>3323117901</v>
      </c>
    </row>
    <row r="214" spans="1:1">
      <c r="A214" s="2">
        <v>3016702001</v>
      </c>
    </row>
    <row r="215" spans="1:1">
      <c r="A215" s="2">
        <v>3083241726</v>
      </c>
    </row>
    <row r="216" spans="1:1">
      <c r="A216" s="2">
        <v>3075124714</v>
      </c>
    </row>
    <row r="217" spans="1:1">
      <c r="A217" s="2">
        <v>3145452288</v>
      </c>
    </row>
    <row r="218" spans="1:1">
      <c r="A218" s="2">
        <v>3337813378</v>
      </c>
    </row>
    <row r="219" spans="1:1">
      <c r="A219" s="2">
        <v>3028504782</v>
      </c>
    </row>
    <row r="220" spans="1:1">
      <c r="A220" s="2">
        <v>3012302366</v>
      </c>
    </row>
    <row r="221" spans="1:1">
      <c r="A221" s="2">
        <v>3070767802</v>
      </c>
    </row>
    <row r="222" spans="1:1">
      <c r="A222" s="2">
        <v>3312485821</v>
      </c>
    </row>
    <row r="223" spans="1:1">
      <c r="A223" s="2">
        <v>3475743765</v>
      </c>
    </row>
    <row r="224" spans="1:1">
      <c r="A224" s="2">
        <v>3004332031</v>
      </c>
    </row>
    <row r="225" spans="1:1">
      <c r="A225" s="2">
        <v>3342677825</v>
      </c>
    </row>
    <row r="226" spans="1:1">
      <c r="A226" s="2">
        <v>3363007276</v>
      </c>
    </row>
    <row r="227" spans="1:1">
      <c r="A227" s="2">
        <v>3343397629</v>
      </c>
    </row>
    <row r="228" spans="1:1">
      <c r="A228" s="2">
        <v>3455161120</v>
      </c>
    </row>
    <row r="229" spans="1:1">
      <c r="A229" s="30">
        <v>3341686433</v>
      </c>
    </row>
    <row r="230" spans="1:1">
      <c r="A230" s="2">
        <v>3239919990</v>
      </c>
    </row>
    <row r="231" spans="1:1">
      <c r="A231" s="2">
        <v>3234014432</v>
      </c>
    </row>
    <row r="232" spans="1:1">
      <c r="A232" s="2">
        <v>3218481000</v>
      </c>
    </row>
    <row r="233" spans="1:1">
      <c r="A233" s="2">
        <v>3336841523</v>
      </c>
    </row>
    <row r="234" spans="1:1">
      <c r="A234" s="2">
        <v>3062643135</v>
      </c>
    </row>
    <row r="235" spans="1:1">
      <c r="A235" s="2">
        <v>3313514458</v>
      </c>
    </row>
    <row r="236" spans="1:1">
      <c r="A236" s="30">
        <v>3458203470</v>
      </c>
    </row>
    <row r="237" spans="1:1">
      <c r="A237" s="2">
        <v>3447067287</v>
      </c>
    </row>
    <row r="238" spans="1:1">
      <c r="A238" s="2">
        <v>3479292532</v>
      </c>
    </row>
    <row r="239" spans="1:1">
      <c r="A239" s="2">
        <v>3123549950</v>
      </c>
    </row>
    <row r="240" spans="1:1">
      <c r="A240" s="2">
        <v>3337400001</v>
      </c>
    </row>
    <row r="241" spans="1:1">
      <c r="A241" s="2">
        <v>3128637219</v>
      </c>
    </row>
    <row r="242" spans="1:1">
      <c r="A242" s="2">
        <v>3045999001</v>
      </c>
    </row>
    <row r="243" spans="1:1">
      <c r="A243" s="2">
        <v>3151030034</v>
      </c>
    </row>
    <row r="244" spans="1:1">
      <c r="A244" s="2">
        <v>3028265444</v>
      </c>
    </row>
    <row r="245" spans="1:1">
      <c r="A245" s="2">
        <v>3446396211</v>
      </c>
    </row>
    <row r="246" spans="1:1">
      <c r="A246" s="2">
        <v>3316884447</v>
      </c>
    </row>
    <row r="247" spans="1:1">
      <c r="A247" s="2">
        <v>3451643002</v>
      </c>
    </row>
    <row r="248" spans="1:1">
      <c r="A248" s="30">
        <v>3480224998</v>
      </c>
    </row>
    <row r="249" spans="1:1">
      <c r="A249" s="2">
        <v>3430100223</v>
      </c>
    </row>
    <row r="250" spans="1:1">
      <c r="A250" s="2">
        <v>3023975197</v>
      </c>
    </row>
    <row r="251" spans="1:1">
      <c r="A251" s="2">
        <v>3022296281</v>
      </c>
    </row>
    <row r="252" spans="1:1">
      <c r="A252" s="2">
        <v>3417098506</v>
      </c>
    </row>
    <row r="253" spans="1:1">
      <c r="A253" s="2">
        <v>3316161193</v>
      </c>
    </row>
    <row r="254" spans="1:1">
      <c r="A254" s="2">
        <v>3000570683</v>
      </c>
    </row>
    <row r="255" spans="1:1">
      <c r="A255" s="30">
        <v>3162032302</v>
      </c>
    </row>
    <row r="256" spans="1:1">
      <c r="A256" s="2">
        <v>3110265125</v>
      </c>
    </row>
    <row r="257" spans="1:1">
      <c r="A257" s="2" t="s">
        <v>456</v>
      </c>
    </row>
    <row r="258" spans="1:1">
      <c r="A258" s="2">
        <v>3453060329</v>
      </c>
    </row>
    <row r="259" spans="1:1">
      <c r="A259" s="2">
        <v>3430100223</v>
      </c>
    </row>
    <row r="260" spans="1:1">
      <c r="A260" s="2">
        <v>3330350428</v>
      </c>
    </row>
    <row r="261" spans="1:1">
      <c r="A261" s="2">
        <v>3330377333</v>
      </c>
    </row>
    <row r="262" spans="1:1">
      <c r="A262" s="30">
        <v>3339013930</v>
      </c>
    </row>
    <row r="263" spans="1:1">
      <c r="A263" s="2">
        <v>3335170418</v>
      </c>
    </row>
    <row r="264" spans="1:1">
      <c r="A264" s="2">
        <v>3043343118</v>
      </c>
    </row>
    <row r="265" spans="1:1">
      <c r="A265" s="2">
        <v>3443230698</v>
      </c>
    </row>
    <row r="266" spans="1:1">
      <c r="A266" s="2">
        <v>3313538399</v>
      </c>
    </row>
    <row r="267" spans="1:1">
      <c r="A267" s="2">
        <v>3469000224</v>
      </c>
    </row>
    <row r="268" spans="1:1">
      <c r="A268" s="20">
        <v>3112115833</v>
      </c>
    </row>
    <row r="269" spans="1:1">
      <c r="A269" s="2">
        <v>3348000805</v>
      </c>
    </row>
    <row r="270" spans="1:1">
      <c r="A270" s="2">
        <v>3349612737</v>
      </c>
    </row>
    <row r="271" spans="1:1">
      <c r="A271" s="30">
        <v>3238863226</v>
      </c>
    </row>
    <row r="272" spans="1:1">
      <c r="A272" s="2">
        <v>3009383770</v>
      </c>
    </row>
    <row r="273" spans="1:1">
      <c r="A273" s="2">
        <v>3214429242</v>
      </c>
    </row>
    <row r="274" spans="1:1">
      <c r="A274" s="2">
        <v>3459058303</v>
      </c>
    </row>
    <row r="275" spans="1:1">
      <c r="A275" s="2">
        <v>3335315332</v>
      </c>
    </row>
    <row r="276" spans="1:1">
      <c r="A276" s="2">
        <v>3068727512</v>
      </c>
    </row>
    <row r="277" spans="1:1">
      <c r="A277" s="2">
        <v>3242828490</v>
      </c>
    </row>
    <row r="278" spans="1:1">
      <c r="A278" s="2">
        <v>3212388329</v>
      </c>
    </row>
    <row r="279" spans="1:1">
      <c r="A279" s="2">
        <v>3343509054</v>
      </c>
    </row>
    <row r="280" spans="1:1">
      <c r="A280" s="2">
        <v>3332380958</v>
      </c>
    </row>
    <row r="281" spans="1:1">
      <c r="A281" s="2">
        <v>3335007679</v>
      </c>
    </row>
    <row r="282" spans="1:1">
      <c r="A282" s="2">
        <v>3331294639</v>
      </c>
    </row>
    <row r="283" spans="1:1">
      <c r="A283" s="2">
        <v>3435282919</v>
      </c>
    </row>
    <row r="284" spans="1:1">
      <c r="A284" s="2">
        <v>3008144988</v>
      </c>
    </row>
    <row r="285" spans="1:1">
      <c r="A285" s="2">
        <v>3454687068</v>
      </c>
    </row>
    <row r="286" spans="1:1">
      <c r="A286" s="2">
        <v>3035735688</v>
      </c>
    </row>
    <row r="287" spans="1:1">
      <c r="A287" s="2">
        <v>3335528384</v>
      </c>
    </row>
    <row r="288" spans="1:1">
      <c r="A288" s="2">
        <v>3007699957</v>
      </c>
    </row>
    <row r="289" spans="1:1">
      <c r="A289" s="2">
        <v>3218739739</v>
      </c>
    </row>
    <row r="290" spans="1:1">
      <c r="A290" s="2">
        <v>3126644372</v>
      </c>
    </row>
    <row r="291" spans="1:1">
      <c r="A291" s="30">
        <v>3004867728</v>
      </c>
    </row>
    <row r="292" spans="1:1">
      <c r="A292" s="2">
        <v>3451995204</v>
      </c>
    </row>
    <row r="293" spans="1:1">
      <c r="A293" s="2">
        <v>3343755124</v>
      </c>
    </row>
    <row r="294" spans="1:1">
      <c r="A294" s="2">
        <v>3162586693</v>
      </c>
    </row>
    <row r="295" spans="1:1">
      <c r="A295" s="20">
        <v>3363002138</v>
      </c>
    </row>
    <row r="296" spans="1:1">
      <c r="A296" s="2">
        <v>3313538399</v>
      </c>
    </row>
    <row r="297" spans="1:1">
      <c r="A297" s="2">
        <v>3423658160</v>
      </c>
    </row>
    <row r="298" spans="1:1">
      <c r="A298" s="30">
        <v>3322214786</v>
      </c>
    </row>
    <row r="299" spans="1:1">
      <c r="A299" s="2">
        <v>3202727166</v>
      </c>
    </row>
    <row r="300" spans="1:1">
      <c r="A300" s="2">
        <v>3431514024</v>
      </c>
    </row>
    <row r="301" spans="1:1">
      <c r="A301" s="2">
        <v>3365346459</v>
      </c>
    </row>
    <row r="302" spans="1:1">
      <c r="A302" s="2">
        <v>3345859538</v>
      </c>
    </row>
    <row r="303" spans="1:1">
      <c r="A303" s="2">
        <v>3319387977</v>
      </c>
    </row>
    <row r="304" spans="1:1">
      <c r="A304" s="2">
        <v>3333732020</v>
      </c>
    </row>
    <row r="305" spans="1:1">
      <c r="A305" s="2">
        <v>3103315164</v>
      </c>
    </row>
    <row r="306" spans="1:1">
      <c r="A306" s="30">
        <v>3149234627</v>
      </c>
    </row>
    <row r="307" spans="1:1">
      <c r="A307" s="2">
        <v>3222852980</v>
      </c>
    </row>
    <row r="308" spans="1:1">
      <c r="A308" s="2">
        <v>3462004228</v>
      </c>
    </row>
    <row r="309" spans="1:1">
      <c r="A309" s="2">
        <v>3084247557</v>
      </c>
    </row>
    <row r="310" spans="1:1">
      <c r="A310" s="30">
        <v>3460536480</v>
      </c>
    </row>
    <row r="311" spans="1:1">
      <c r="A311" s="2">
        <v>3334757431</v>
      </c>
    </row>
    <row r="312" spans="1:1">
      <c r="A312" s="2">
        <v>3482641122</v>
      </c>
    </row>
    <row r="313" spans="1:1">
      <c r="A313" s="20">
        <v>3363309947</v>
      </c>
    </row>
    <row r="314" spans="1:1">
      <c r="A314" s="2">
        <v>3129373225</v>
      </c>
    </row>
    <row r="315" spans="1:1">
      <c r="A315" s="2">
        <v>3162258515</v>
      </c>
    </row>
    <row r="316" spans="1:1">
      <c r="A316" s="2"/>
    </row>
    <row r="317" spans="1:1">
      <c r="A317" s="2"/>
    </row>
    <row r="318" spans="1:1">
      <c r="A318" s="20">
        <v>3223171243</v>
      </c>
    </row>
    <row r="319" spans="1:1">
      <c r="A319" s="20" t="s">
        <v>819</v>
      </c>
    </row>
    <row r="320" spans="1:1">
      <c r="A320" s="2">
        <v>3235937576</v>
      </c>
    </row>
    <row r="321" spans="1:1">
      <c r="A321" s="2">
        <v>3244057005</v>
      </c>
    </row>
    <row r="322" spans="1:1">
      <c r="A322" s="2">
        <v>3331240388</v>
      </c>
    </row>
    <row r="323" spans="1:1">
      <c r="A323" s="2">
        <v>3008636416</v>
      </c>
    </row>
    <row r="324" spans="1:1">
      <c r="A324" s="2">
        <v>3218405230</v>
      </c>
    </row>
    <row r="325" spans="1:1">
      <c r="A325" s="2">
        <v>3214054321</v>
      </c>
    </row>
    <row r="326" spans="1:1">
      <c r="A326" s="2">
        <v>3364444314</v>
      </c>
    </row>
    <row r="327" spans="1:1">
      <c r="A327" s="2">
        <v>3118259985</v>
      </c>
    </row>
    <row r="328" spans="1:1">
      <c r="A328" s="2">
        <v>3333185102</v>
      </c>
    </row>
    <row r="329" spans="1:1">
      <c r="A329" s="2">
        <v>3132460151</v>
      </c>
    </row>
    <row r="330" spans="1:1">
      <c r="A330" s="2">
        <v>3312329488</v>
      </c>
    </row>
    <row r="331" spans="1:1">
      <c r="A331" s="2">
        <v>3138167084</v>
      </c>
    </row>
    <row r="332" spans="1:1">
      <c r="A332" s="30">
        <v>3429319988</v>
      </c>
    </row>
    <row r="333" spans="1:1">
      <c r="A333" s="2">
        <v>3322414834</v>
      </c>
    </row>
    <row r="334" spans="1:1">
      <c r="A334" s="2">
        <v>3212301799</v>
      </c>
    </row>
    <row r="335" spans="1:1">
      <c r="A335" s="2">
        <v>3224061447</v>
      </c>
    </row>
    <row r="336" spans="1:1">
      <c r="A336" s="30">
        <v>3480233432</v>
      </c>
    </row>
    <row r="337" spans="1:1">
      <c r="A337" s="2">
        <v>3008500279</v>
      </c>
    </row>
    <row r="338" spans="1:1">
      <c r="A338" s="2">
        <v>3035611666</v>
      </c>
    </row>
    <row r="339" spans="1:1">
      <c r="A339" s="2">
        <v>3451227441</v>
      </c>
    </row>
    <row r="340" spans="1:1">
      <c r="A340" s="2">
        <v>3012938786</v>
      </c>
    </row>
    <row r="341" spans="1:1">
      <c r="A341" s="2">
        <v>3471223575</v>
      </c>
    </row>
    <row r="342" spans="1:1">
      <c r="A342" s="2">
        <v>3332211267</v>
      </c>
    </row>
    <row r="343" spans="1:1">
      <c r="A343" s="11">
        <v>3009796963</v>
      </c>
    </row>
    <row r="344" spans="1:1">
      <c r="A344" s="11">
        <v>3041413414</v>
      </c>
    </row>
    <row r="345" spans="1:1">
      <c r="A345" s="11">
        <v>3014483533</v>
      </c>
    </row>
    <row r="346" spans="1:1">
      <c r="A346" s="11">
        <v>3135947845</v>
      </c>
    </row>
    <row r="347" spans="1:1">
      <c r="A347" s="11">
        <v>3002006311</v>
      </c>
    </row>
    <row r="348" spans="1:1">
      <c r="A348" s="11">
        <v>3430560331</v>
      </c>
    </row>
    <row r="349" spans="1:1">
      <c r="A349" s="11">
        <v>3002136197</v>
      </c>
    </row>
    <row r="350" spans="1:1">
      <c r="A350" s="11">
        <v>3014747681</v>
      </c>
    </row>
    <row r="351" spans="1:1">
      <c r="A351" s="11">
        <v>3004257308</v>
      </c>
    </row>
    <row r="352" spans="1:1">
      <c r="A352" s="11">
        <v>3312007563</v>
      </c>
    </row>
    <row r="353" spans="1:1">
      <c r="A353" s="33">
        <v>3002863448</v>
      </c>
    </row>
    <row r="354" spans="1:1">
      <c r="A354" s="11">
        <v>3212663316</v>
      </c>
    </row>
    <row r="355" spans="1:1">
      <c r="A355" s="11">
        <v>3056406100</v>
      </c>
    </row>
    <row r="356" spans="1:1">
      <c r="A356" s="11">
        <v>3076670516</v>
      </c>
    </row>
    <row r="357" spans="1:1">
      <c r="A357" s="40">
        <v>3400151070</v>
      </c>
    </row>
    <row r="358" spans="1:1">
      <c r="A358" s="11">
        <v>3149974400</v>
      </c>
    </row>
    <row r="359" spans="1:1">
      <c r="A359" s="11">
        <v>3329784782</v>
      </c>
    </row>
    <row r="360" spans="1:1">
      <c r="A360" s="11">
        <v>3159090791</v>
      </c>
    </row>
    <row r="361" spans="1:1">
      <c r="A361" s="11">
        <v>3439255007</v>
      </c>
    </row>
    <row r="362" spans="1:1">
      <c r="A362" s="40">
        <v>3342900998</v>
      </c>
    </row>
    <row r="363" spans="1:1">
      <c r="A363" s="11">
        <v>3105156669</v>
      </c>
    </row>
    <row r="364" spans="1:1">
      <c r="A364" s="40">
        <v>3347233398</v>
      </c>
    </row>
    <row r="365" spans="1:1">
      <c r="A365" s="11">
        <v>3102481987</v>
      </c>
    </row>
    <row r="366" spans="1:1">
      <c r="A366" s="11">
        <v>3102720426</v>
      </c>
    </row>
    <row r="367" spans="1:1">
      <c r="A367" s="11">
        <v>3327529216</v>
      </c>
    </row>
    <row r="368" spans="1:1">
      <c r="A368" s="2">
        <v>3145452288</v>
      </c>
    </row>
    <row r="369" spans="1:1">
      <c r="A369" s="11">
        <v>3489348238</v>
      </c>
    </row>
    <row r="370" spans="1:1">
      <c r="A370" s="11">
        <v>3459178555</v>
      </c>
    </row>
    <row r="371" spans="1:1">
      <c r="A371" s="11">
        <v>3111910017</v>
      </c>
    </row>
    <row r="372" spans="1:1">
      <c r="A372" s="11">
        <v>3242347886</v>
      </c>
    </row>
    <row r="373" spans="1:1">
      <c r="A373" s="11">
        <v>2134016969</v>
      </c>
    </row>
    <row r="374" spans="1:1">
      <c r="A374">
        <v>3018964628</v>
      </c>
    </row>
    <row r="375" spans="1:1">
      <c r="A375">
        <v>3332727705</v>
      </c>
    </row>
    <row r="376" spans="1:1">
      <c r="A376">
        <v>3121133661</v>
      </c>
    </row>
    <row r="377" spans="1:1">
      <c r="A377" s="11">
        <v>3347200900</v>
      </c>
    </row>
    <row r="378" spans="1:1">
      <c r="A378" s="11">
        <v>3412322189</v>
      </c>
    </row>
    <row r="379" spans="1:1">
      <c r="A379" s="11">
        <v>3331431384</v>
      </c>
    </row>
    <row r="380" spans="1:1">
      <c r="A380" s="2">
        <v>3149234627</v>
      </c>
    </row>
    <row r="381" spans="1:1">
      <c r="A381" s="11">
        <v>3360016955</v>
      </c>
    </row>
    <row r="382" spans="1:1">
      <c r="A382" s="11">
        <v>3204730757</v>
      </c>
    </row>
    <row r="383" spans="1:1">
      <c r="A383" s="11">
        <v>3125588008</v>
      </c>
    </row>
    <row r="384" spans="1:1">
      <c r="A384" s="11">
        <v>3126709049</v>
      </c>
    </row>
    <row r="385" spans="1:1">
      <c r="A385" s="11">
        <v>3334406896</v>
      </c>
    </row>
    <row r="386" spans="1:1">
      <c r="A386" s="11">
        <v>3039196147</v>
      </c>
    </row>
    <row r="387" spans="1:1">
      <c r="A387" s="11">
        <v>3128073357</v>
      </c>
    </row>
    <row r="388" spans="1:1">
      <c r="A388" s="11">
        <v>2136706570</v>
      </c>
    </row>
    <row r="389" spans="1:1">
      <c r="A389" s="11">
        <v>3314140989</v>
      </c>
    </row>
    <row r="390" spans="1:1">
      <c r="A390" s="11">
        <v>3319385316</v>
      </c>
    </row>
    <row r="391" spans="1:1">
      <c r="A391" s="40">
        <v>3159066000</v>
      </c>
    </row>
    <row r="392" spans="1:1">
      <c r="A392" s="11">
        <v>3033801600</v>
      </c>
    </row>
    <row r="393" spans="1:1">
      <c r="A393" s="2">
        <v>3008500279</v>
      </c>
    </row>
    <row r="394" spans="1:1">
      <c r="A394" s="11">
        <v>3456026972</v>
      </c>
    </row>
    <row r="395" spans="1:1">
      <c r="A395" s="11">
        <v>3352019908</v>
      </c>
    </row>
    <row r="396" spans="1:1">
      <c r="A396" t="s">
        <v>1074</v>
      </c>
    </row>
    <row r="397" spans="1:1">
      <c r="A397" s="11">
        <v>3345452412</v>
      </c>
    </row>
    <row r="398" spans="1:1">
      <c r="A398" s="11">
        <v>3467888855</v>
      </c>
    </row>
    <row r="399" spans="1:1">
      <c r="A399" s="2">
        <v>3008144988</v>
      </c>
    </row>
    <row r="400" spans="1:1">
      <c r="A400" s="11">
        <v>3026833084</v>
      </c>
    </row>
    <row r="401" spans="1:1">
      <c r="A401" s="11">
        <v>3364786857</v>
      </c>
    </row>
    <row r="402" spans="1:1">
      <c r="A402" s="11">
        <v>3111047409</v>
      </c>
    </row>
    <row r="403" spans="1:1">
      <c r="A403" s="11">
        <v>3002951048</v>
      </c>
    </row>
    <row r="404" spans="1:1">
      <c r="A404" s="11">
        <v>3244662889</v>
      </c>
    </row>
    <row r="405" spans="1:1">
      <c r="A405" s="2">
        <v>3008500279</v>
      </c>
    </row>
    <row r="406" spans="1:1">
      <c r="A406" s="11">
        <v>3217418226</v>
      </c>
    </row>
    <row r="407" spans="1:1">
      <c r="A407" s="40">
        <v>3363804011</v>
      </c>
    </row>
    <row r="408" spans="1:1">
      <c r="A408" s="11">
        <v>3478828753</v>
      </c>
    </row>
    <row r="409" spans="1:1">
      <c r="A409" s="40">
        <v>3487932662</v>
      </c>
    </row>
    <row r="410" spans="1:1">
      <c r="A410" s="11">
        <v>3236918898</v>
      </c>
    </row>
    <row r="411" spans="1:1">
      <c r="A411" s="11">
        <v>3218669182</v>
      </c>
    </row>
    <row r="412" spans="1:1">
      <c r="A412" s="11">
        <v>3004225206</v>
      </c>
    </row>
    <row r="413" spans="1:1">
      <c r="A413" s="11">
        <v>3224954434</v>
      </c>
    </row>
    <row r="414" spans="1:1">
      <c r="A414" s="11">
        <v>3133101076</v>
      </c>
    </row>
    <row r="415" spans="1:1">
      <c r="A415" s="11">
        <v>3130037964</v>
      </c>
    </row>
    <row r="416" spans="1:1">
      <c r="A416" s="40">
        <v>3336099929</v>
      </c>
    </row>
    <row r="417" spans="1:1">
      <c r="A417" s="40">
        <v>3002174650</v>
      </c>
    </row>
    <row r="418" spans="1:1">
      <c r="A418" s="11">
        <v>3069076480</v>
      </c>
    </row>
    <row r="419" spans="1:1">
      <c r="A419" s="11">
        <v>3212632899</v>
      </c>
    </row>
    <row r="420" spans="1:1">
      <c r="A420" s="11">
        <v>3336060959</v>
      </c>
    </row>
    <row r="421" spans="1:1">
      <c r="A421" t="s">
        <v>1074</v>
      </c>
    </row>
    <row r="422" spans="1:1">
      <c r="A422" s="11">
        <v>3433249198</v>
      </c>
    </row>
    <row r="423" spans="1:1">
      <c r="A423" s="40">
        <v>3121709220</v>
      </c>
    </row>
    <row r="424" spans="1:1">
      <c r="A424" s="11">
        <v>3159583505</v>
      </c>
    </row>
    <row r="425" spans="1:1">
      <c r="A425" s="11">
        <v>3437367729</v>
      </c>
    </row>
    <row r="426" spans="1:1">
      <c r="A426" s="11">
        <v>3014737576</v>
      </c>
    </row>
    <row r="427" spans="1:1">
      <c r="A427" s="11">
        <v>3132841514</v>
      </c>
    </row>
    <row r="428" spans="1:1">
      <c r="A428" s="11">
        <v>3322607818</v>
      </c>
    </row>
    <row r="429" spans="1:1">
      <c r="A429">
        <v>3083730366</v>
      </c>
    </row>
    <row r="430" spans="1:1">
      <c r="A430" s="11">
        <v>3422952101</v>
      </c>
    </row>
    <row r="431" spans="1:1">
      <c r="A431" s="11">
        <v>3017229588</v>
      </c>
    </row>
    <row r="432" spans="1:1">
      <c r="A432">
        <v>3333194615</v>
      </c>
    </row>
    <row r="433" spans="1:1">
      <c r="A433" s="11">
        <v>3215228312</v>
      </c>
    </row>
    <row r="434" spans="1:1">
      <c r="A434" s="11">
        <v>3448444882</v>
      </c>
    </row>
    <row r="435" spans="1:1">
      <c r="A435" s="11">
        <v>3336915037</v>
      </c>
    </row>
    <row r="436" spans="1:1">
      <c r="A436">
        <v>3242496688</v>
      </c>
    </row>
    <row r="437" spans="1:1">
      <c r="A437" s="11">
        <v>3337241045</v>
      </c>
    </row>
    <row r="438" spans="1:1">
      <c r="A438" s="11">
        <v>3476319135</v>
      </c>
    </row>
    <row r="439" spans="1:1">
      <c r="A439" s="11">
        <v>3101010121</v>
      </c>
    </row>
    <row r="441" spans="1:1">
      <c r="A441" s="11">
        <v>3047715525</v>
      </c>
    </row>
    <row r="442" spans="1:1">
      <c r="A442" s="11">
        <v>3014135981</v>
      </c>
    </row>
    <row r="443" spans="1:1">
      <c r="A443" s="11">
        <v>3429438680</v>
      </c>
    </row>
    <row r="444" spans="1:1">
      <c r="A444" s="11">
        <v>3046466665</v>
      </c>
    </row>
    <row r="445" spans="1:1">
      <c r="A445">
        <v>3162306919</v>
      </c>
    </row>
    <row r="446" spans="1:1">
      <c r="A446" s="41">
        <v>2136324642</v>
      </c>
    </row>
    <row r="447" spans="1:1">
      <c r="A447">
        <v>3242927198</v>
      </c>
    </row>
    <row r="448" spans="1:1">
      <c r="A448" s="44">
        <v>3121709220</v>
      </c>
    </row>
    <row r="449" spans="1:1">
      <c r="A449" s="11">
        <v>3325520512</v>
      </c>
    </row>
    <row r="450" spans="1:1">
      <c r="A450" s="11">
        <v>3345879392</v>
      </c>
    </row>
    <row r="451" spans="1:1">
      <c r="A451" s="11">
        <v>3206839924</v>
      </c>
    </row>
    <row r="452" spans="1:1">
      <c r="A452" s="11">
        <v>3087715897</v>
      </c>
    </row>
    <row r="453" spans="1:1">
      <c r="A453" s="11">
        <v>3224009944</v>
      </c>
    </row>
    <row r="454" spans="1:1">
      <c r="A454" s="11">
        <v>3331347355</v>
      </c>
    </row>
    <row r="455" spans="1:1">
      <c r="A455" s="11">
        <v>3208489399</v>
      </c>
    </row>
    <row r="456" spans="1:1">
      <c r="A456" s="11">
        <v>3023787424</v>
      </c>
    </row>
    <row r="457" spans="1:1">
      <c r="A457" s="11">
        <v>3335408840</v>
      </c>
    </row>
    <row r="458" spans="1:1">
      <c r="A458" s="11">
        <v>3325520512</v>
      </c>
    </row>
    <row r="459" spans="1:1">
      <c r="A459" s="11">
        <v>3009809200</v>
      </c>
    </row>
    <row r="460" spans="1:1">
      <c r="A460" s="11">
        <v>3356893231</v>
      </c>
    </row>
    <row r="461" spans="1:1">
      <c r="A461" s="11">
        <v>3075100022</v>
      </c>
    </row>
    <row r="462" spans="1:1">
      <c r="A462" s="11">
        <v>3024748972</v>
      </c>
    </row>
    <row r="463" spans="1:1">
      <c r="A463" s="11"/>
    </row>
    <row r="464" spans="1:1">
      <c r="A464" s="11">
        <v>3430577277</v>
      </c>
    </row>
    <row r="465" spans="1:1">
      <c r="A465" s="11">
        <v>3362329166</v>
      </c>
    </row>
    <row r="466" spans="1:1">
      <c r="A466" s="11">
        <v>3085502040</v>
      </c>
    </row>
    <row r="467" spans="1:1">
      <c r="A467" s="11">
        <v>3155825090</v>
      </c>
    </row>
    <row r="468" spans="1:1">
      <c r="A468" s="40">
        <v>3444416090</v>
      </c>
    </row>
    <row r="469" spans="1:1">
      <c r="A469" s="11">
        <v>3218861525</v>
      </c>
    </row>
    <row r="470" spans="1:1">
      <c r="A470" s="11">
        <v>3030720696</v>
      </c>
    </row>
    <row r="471" spans="1:1">
      <c r="A471" s="11">
        <v>3321710700</v>
      </c>
    </row>
    <row r="472" spans="1:1">
      <c r="A472" s="40">
        <v>3327322226</v>
      </c>
    </row>
    <row r="473" spans="1:1">
      <c r="A473" s="11">
        <v>3009683079</v>
      </c>
    </row>
    <row r="474" spans="1:1">
      <c r="A474" s="11">
        <v>3009809200</v>
      </c>
    </row>
    <row r="475" spans="1:1">
      <c r="A475" s="11">
        <v>3351582384</v>
      </c>
    </row>
    <row r="476" spans="1:1">
      <c r="A476" s="33">
        <v>3433450912</v>
      </c>
    </row>
    <row r="477" spans="1:1">
      <c r="A477" s="11">
        <v>3128999038</v>
      </c>
    </row>
    <row r="478" spans="1:1">
      <c r="A478" s="11">
        <v>3332712350</v>
      </c>
    </row>
    <row r="479" spans="1:1">
      <c r="A479" s="11">
        <v>3342068834</v>
      </c>
    </row>
    <row r="480" spans="1:1">
      <c r="A480" s="11">
        <v>3363445544</v>
      </c>
    </row>
    <row r="481" spans="1:1">
      <c r="A481" s="11">
        <v>3368161603</v>
      </c>
    </row>
    <row r="482" spans="1:1">
      <c r="A482" s="44">
        <v>3119602392</v>
      </c>
    </row>
    <row r="483" spans="1:1">
      <c r="A483" s="55">
        <v>3026833084</v>
      </c>
    </row>
    <row r="484" spans="1:1">
      <c r="A484" s="11">
        <v>3074444388</v>
      </c>
    </row>
    <row r="485" spans="1:1">
      <c r="A485" s="40">
        <v>3337232990</v>
      </c>
    </row>
    <row r="486" spans="1:1">
      <c r="A486" s="11">
        <v>3134436426</v>
      </c>
    </row>
    <row r="487" spans="1:1">
      <c r="A487" s="11">
        <v>3006166771</v>
      </c>
    </row>
    <row r="488" spans="1:1">
      <c r="A488" s="11">
        <v>3347076751</v>
      </c>
    </row>
    <row r="489" spans="1:1">
      <c r="A489" s="11">
        <v>3006904465</v>
      </c>
    </row>
    <row r="490" spans="1:1">
      <c r="A490" s="11">
        <v>3347361837</v>
      </c>
    </row>
    <row r="491" spans="1:1">
      <c r="A491" s="11">
        <v>3162032194</v>
      </c>
    </row>
    <row r="492" spans="1:1">
      <c r="A492" s="11">
        <v>3102493837</v>
      </c>
    </row>
    <row r="493" spans="1:1">
      <c r="A493" s="11">
        <v>3332593444</v>
      </c>
    </row>
    <row r="494" spans="1:1">
      <c r="A494" s="11">
        <v>3234500046</v>
      </c>
    </row>
    <row r="495" spans="1:1">
      <c r="A495" s="11">
        <v>3227493733</v>
      </c>
    </row>
    <row r="496" spans="1:1">
      <c r="A496" s="11">
        <v>3370392953</v>
      </c>
    </row>
    <row r="497" spans="1:1">
      <c r="A497" s="11">
        <v>3158237545</v>
      </c>
    </row>
    <row r="498" spans="1:1">
      <c r="A498" s="11">
        <v>3355412742</v>
      </c>
    </row>
    <row r="499" spans="1:1">
      <c r="A499" s="11">
        <v>3351313515</v>
      </c>
    </row>
    <row r="500" spans="1:1">
      <c r="A500" s="11">
        <v>3351582384</v>
      </c>
    </row>
    <row r="501" spans="1:1">
      <c r="A501" s="11">
        <v>3316130173</v>
      </c>
    </row>
    <row r="502" spans="1:1">
      <c r="A502" s="11">
        <v>3325520512</v>
      </c>
    </row>
    <row r="503" spans="1:1">
      <c r="A503" s="11">
        <v>3440904003</v>
      </c>
    </row>
    <row r="504" spans="1:1">
      <c r="A504" s="40">
        <v>3005702344</v>
      </c>
    </row>
    <row r="505" spans="1:1">
      <c r="A505" s="11">
        <v>3105088711</v>
      </c>
    </row>
    <row r="506" spans="1:1">
      <c r="A506" s="11">
        <v>3041585296</v>
      </c>
    </row>
    <row r="507" spans="1:1">
      <c r="A507" s="11">
        <v>3488690493</v>
      </c>
    </row>
    <row r="508" spans="1:1">
      <c r="A508" s="11">
        <v>3052032306</v>
      </c>
    </row>
    <row r="509" spans="1:1">
      <c r="A509" s="2">
        <v>3452820133</v>
      </c>
    </row>
    <row r="510" spans="1:1">
      <c r="A510" s="11">
        <v>3462703609</v>
      </c>
    </row>
    <row r="511" spans="1:1">
      <c r="A511" s="11">
        <v>3315186665</v>
      </c>
    </row>
    <row r="512" spans="1:1">
      <c r="A512" s="11">
        <v>3344433146</v>
      </c>
    </row>
    <row r="513" spans="1:1">
      <c r="A513" s="11">
        <v>3338172131</v>
      </c>
    </row>
    <row r="514" spans="1:1">
      <c r="A514" s="11">
        <v>3007111471</v>
      </c>
    </row>
    <row r="515" spans="1:1">
      <c r="A515" s="11">
        <v>3053609240</v>
      </c>
    </row>
    <row r="516" spans="1:1">
      <c r="A516" s="11">
        <v>3314245931</v>
      </c>
    </row>
    <row r="517" spans="1:1">
      <c r="A517" s="11">
        <v>3129774999</v>
      </c>
    </row>
    <row r="519" spans="1:1">
      <c r="A519">
        <v>3242251937</v>
      </c>
    </row>
    <row r="520" spans="1:1">
      <c r="A520" s="11">
        <v>3346114544</v>
      </c>
    </row>
    <row r="521" spans="1:1">
      <c r="A521" s="11">
        <v>3445026780</v>
      </c>
    </row>
    <row r="522" spans="1:1">
      <c r="A522" s="55">
        <v>3154333477</v>
      </c>
    </row>
    <row r="523" spans="1:1">
      <c r="A523" s="11">
        <v>3413343123</v>
      </c>
    </row>
    <row r="524" spans="1:1">
      <c r="A524" s="57">
        <v>3216275988</v>
      </c>
    </row>
    <row r="525" spans="1:1">
      <c r="A525" s="11">
        <v>3341804175</v>
      </c>
    </row>
    <row r="526" spans="1:1">
      <c r="A526" s="11">
        <v>3084345869</v>
      </c>
    </row>
    <row r="527" spans="1:1">
      <c r="A527" s="55">
        <v>3409224035</v>
      </c>
    </row>
    <row r="528" spans="1:1">
      <c r="A528" s="11">
        <v>3432540958</v>
      </c>
    </row>
    <row r="529" spans="1:1">
      <c r="A529" s="11">
        <v>3475600508</v>
      </c>
    </row>
    <row r="530" spans="1:1">
      <c r="A530" s="11">
        <v>3485781061</v>
      </c>
    </row>
    <row r="531" spans="1:1">
      <c r="A531" s="11">
        <v>3323131747</v>
      </c>
    </row>
    <row r="532" spans="1:1">
      <c r="A532" s="11">
        <v>3002546579</v>
      </c>
    </row>
    <row r="533" spans="1:1">
      <c r="A533" s="11">
        <v>3346008036</v>
      </c>
    </row>
    <row r="534" spans="1:1">
      <c r="A534" s="11">
        <v>3408000010</v>
      </c>
    </row>
    <row r="535" spans="1:1">
      <c r="A535" s="11">
        <v>3335224554</v>
      </c>
    </row>
    <row r="536" spans="1:1">
      <c r="A536" s="11">
        <v>3332106061</v>
      </c>
    </row>
    <row r="537" spans="1:1">
      <c r="A537" s="11">
        <v>3207121671</v>
      </c>
    </row>
    <row r="538" spans="1:1">
      <c r="A538" s="57">
        <v>3151171335</v>
      </c>
    </row>
    <row r="539" spans="1:1">
      <c r="A539" s="11">
        <v>3074903589</v>
      </c>
    </row>
    <row r="540" spans="1:1">
      <c r="A540" s="11">
        <v>3236553522</v>
      </c>
    </row>
    <row r="541" spans="1:1">
      <c r="A541" s="11">
        <v>3457372255</v>
      </c>
    </row>
    <row r="542" spans="1:1">
      <c r="A542" s="11">
        <v>3214839002</v>
      </c>
    </row>
    <row r="543" spans="1:1">
      <c r="A543" s="11">
        <v>3106018788</v>
      </c>
    </row>
    <row r="544" spans="1:1">
      <c r="A544" s="11">
        <v>3456699174</v>
      </c>
    </row>
    <row r="545" spans="1:1">
      <c r="A545" s="11">
        <v>3486918157</v>
      </c>
    </row>
    <row r="546" spans="1:1">
      <c r="A546" s="55">
        <v>3436343006</v>
      </c>
    </row>
    <row r="547" spans="1:1">
      <c r="A547" s="11">
        <v>3042429829</v>
      </c>
    </row>
    <row r="548" spans="1:1">
      <c r="A548" s="55">
        <v>3222872666</v>
      </c>
    </row>
    <row r="549" spans="1:1">
      <c r="A549" s="11">
        <v>3402143100</v>
      </c>
    </row>
    <row r="550" spans="1:1">
      <c r="A550" s="11">
        <v>3327825346</v>
      </c>
    </row>
    <row r="551" spans="1:1">
      <c r="A551" s="11">
        <v>3314406669</v>
      </c>
    </row>
    <row r="552" spans="1:1">
      <c r="A552" s="55">
        <v>3035936695</v>
      </c>
    </row>
    <row r="553" spans="1:1">
      <c r="A553" s="11">
        <v>3338762549</v>
      </c>
    </row>
    <row r="554" spans="1:1">
      <c r="A554" s="11">
        <v>3202204888</v>
      </c>
    </row>
    <row r="555" spans="1:1">
      <c r="A555">
        <v>3358094450</v>
      </c>
    </row>
    <row r="556" spans="1:1">
      <c r="A556" s="11">
        <v>3017494048</v>
      </c>
    </row>
    <row r="557" spans="1:1">
      <c r="A557" s="11">
        <v>3004201004</v>
      </c>
    </row>
    <row r="558" spans="1:1">
      <c r="A558" s="55">
        <v>3318165342</v>
      </c>
    </row>
    <row r="559" spans="1:1">
      <c r="A559" s="11">
        <v>3149445350</v>
      </c>
    </row>
    <row r="560" spans="1:1">
      <c r="A560" s="11">
        <v>3457372255</v>
      </c>
    </row>
    <row r="561" spans="1:1">
      <c r="A561" s="11">
        <v>3135440173</v>
      </c>
    </row>
    <row r="562" spans="1:1">
      <c r="A562" s="11">
        <v>3153795441</v>
      </c>
    </row>
    <row r="563" spans="1:1">
      <c r="A563" s="11">
        <v>3006407556</v>
      </c>
    </row>
    <row r="564" spans="1:1">
      <c r="A564" s="11">
        <v>3214538134</v>
      </c>
    </row>
    <row r="565" spans="1:1">
      <c r="A565" s="11">
        <v>3331616616</v>
      </c>
    </row>
    <row r="566" spans="1:1">
      <c r="A566" s="11">
        <v>3157018522</v>
      </c>
    </row>
    <row r="567" spans="1:1">
      <c r="A567" s="11">
        <v>3027241698</v>
      </c>
    </row>
    <row r="568" spans="1:1">
      <c r="A568" s="11">
        <v>3217322257</v>
      </c>
    </row>
    <row r="569" spans="1:1">
      <c r="A569" s="11">
        <v>3083282846</v>
      </c>
    </row>
    <row r="570" spans="1:1">
      <c r="A570" s="11">
        <v>3121155888</v>
      </c>
    </row>
    <row r="571" spans="1:1">
      <c r="A571" s="11">
        <v>3453347722</v>
      </c>
    </row>
    <row r="572" spans="1:1">
      <c r="A572" s="11">
        <v>3212097199</v>
      </c>
    </row>
    <row r="573" spans="1:1">
      <c r="A573" s="11">
        <v>3142150368</v>
      </c>
    </row>
    <row r="574" spans="1:1">
      <c r="A574" s="55">
        <v>3129065652</v>
      </c>
    </row>
    <row r="575" spans="1:1">
      <c r="A575" s="11">
        <v>3145052886</v>
      </c>
    </row>
    <row r="576" spans="1:1">
      <c r="A576" s="11">
        <v>3324253991</v>
      </c>
    </row>
    <row r="577" spans="1:1">
      <c r="A577" s="59">
        <v>3323360178</v>
      </c>
    </row>
    <row r="578" spans="1:1">
      <c r="A578" s="11">
        <v>3212274284</v>
      </c>
    </row>
    <row r="579" spans="1:1">
      <c r="A579" s="11">
        <v>3423190330</v>
      </c>
    </row>
    <row r="580" spans="1:1">
      <c r="A580" s="11">
        <v>3028360285</v>
      </c>
    </row>
    <row r="581" spans="1:1">
      <c r="A581" s="11">
        <v>3352366051</v>
      </c>
    </row>
    <row r="582" spans="1:1">
      <c r="A582" s="55">
        <v>3070176137</v>
      </c>
    </row>
    <row r="583" spans="1:1">
      <c r="A583" s="11">
        <v>3136350450</v>
      </c>
    </row>
    <row r="584" spans="1:1">
      <c r="A584" s="11">
        <v>3341396673</v>
      </c>
    </row>
    <row r="585" spans="1:1">
      <c r="A585" s="11">
        <v>3155091600</v>
      </c>
    </row>
    <row r="586" spans="1:1">
      <c r="A586" s="55">
        <v>3043377623</v>
      </c>
    </row>
    <row r="587" spans="1:1">
      <c r="A587" s="11">
        <v>3008252533</v>
      </c>
    </row>
    <row r="588" spans="1:1">
      <c r="A588" s="11">
        <v>3005116791</v>
      </c>
    </row>
    <row r="589" spans="1:1">
      <c r="A589" s="11">
        <v>3224102541</v>
      </c>
    </row>
    <row r="590" spans="1:1">
      <c r="A590" s="11">
        <v>3214568137</v>
      </c>
    </row>
    <row r="591" spans="1:1">
      <c r="A591" s="59">
        <v>3232560521</v>
      </c>
    </row>
    <row r="592" spans="1:1">
      <c r="A592" s="11">
        <v>3222085576</v>
      </c>
    </row>
    <row r="593" spans="1:1">
      <c r="A593" s="11">
        <v>3362245536</v>
      </c>
    </row>
    <row r="594" spans="1:1">
      <c r="A594" s="11">
        <v>3219666648</v>
      </c>
    </row>
    <row r="595" spans="1:1">
      <c r="A595" s="55">
        <v>3214193926</v>
      </c>
    </row>
    <row r="596" spans="1:1">
      <c r="A596" s="11">
        <v>3002174755</v>
      </c>
    </row>
    <row r="597" spans="1:1">
      <c r="A597" s="11">
        <v>3327424572</v>
      </c>
    </row>
    <row r="598" spans="1:1">
      <c r="A598" s="11">
        <v>3052032306</v>
      </c>
    </row>
    <row r="599" spans="1:1">
      <c r="A599" s="11">
        <v>3310275799</v>
      </c>
    </row>
    <row r="600" spans="1:1">
      <c r="A600" s="11">
        <v>3112873870</v>
      </c>
    </row>
    <row r="601" spans="1:1">
      <c r="A601" s="11">
        <v>3333502295</v>
      </c>
    </row>
    <row r="602" spans="1:1">
      <c r="A602" s="11">
        <v>3134742462</v>
      </c>
    </row>
    <row r="603" spans="1:1">
      <c r="A603" s="11">
        <v>3219595283</v>
      </c>
    </row>
    <row r="604" spans="1:1">
      <c r="A604" s="11">
        <v>3118080503</v>
      </c>
    </row>
    <row r="605" spans="1:1">
      <c r="A605" s="11">
        <v>3333916915</v>
      </c>
    </row>
    <row r="606" spans="1:1">
      <c r="A606" s="11">
        <v>3460187695</v>
      </c>
    </row>
    <row r="607" spans="1:1">
      <c r="A607" s="11">
        <v>3334829890</v>
      </c>
    </row>
    <row r="608" spans="1:1">
      <c r="A608" s="11">
        <v>3217771718</v>
      </c>
    </row>
    <row r="609" spans="1:1">
      <c r="A609" s="11">
        <v>3003035339</v>
      </c>
    </row>
    <row r="610" spans="1:1">
      <c r="A610" s="11">
        <v>3409583449</v>
      </c>
    </row>
    <row r="611" spans="1:1">
      <c r="A611" s="11">
        <v>3348089689</v>
      </c>
    </row>
    <row r="612" spans="1:1">
      <c r="A612" s="11">
        <v>3332319343</v>
      </c>
    </row>
    <row r="613" spans="1:1">
      <c r="A613" s="11">
        <v>3455612391</v>
      </c>
    </row>
    <row r="614" spans="1:1">
      <c r="A614" s="11">
        <v>3132843337</v>
      </c>
    </row>
    <row r="615" spans="1:1">
      <c r="A615" s="67">
        <v>3335990046</v>
      </c>
    </row>
    <row r="616" spans="1:1">
      <c r="A616" s="71">
        <v>3370697083</v>
      </c>
    </row>
    <row r="617" spans="1:1">
      <c r="A617" s="67">
        <v>3339628728</v>
      </c>
    </row>
    <row r="618" spans="1:1">
      <c r="A618" s="67">
        <v>3203690065</v>
      </c>
    </row>
    <row r="619" spans="1:1">
      <c r="A619" s="66">
        <v>3216357732</v>
      </c>
    </row>
    <row r="620" spans="1:1">
      <c r="A620" s="67">
        <v>3119517610</v>
      </c>
    </row>
    <row r="621" spans="1:1">
      <c r="A621" s="11">
        <v>3206988369</v>
      </c>
    </row>
    <row r="622" spans="1:1">
      <c r="A622" s="11">
        <v>3214715651</v>
      </c>
    </row>
    <row r="623" spans="1:1">
      <c r="A623" s="59">
        <v>3162827934</v>
      </c>
    </row>
    <row r="624" spans="1:1">
      <c r="A624" s="63">
        <v>2134623731</v>
      </c>
    </row>
    <row r="625" spans="1:1">
      <c r="A625" s="70">
        <v>3357593143</v>
      </c>
    </row>
    <row r="626" spans="1:1">
      <c r="A626" s="11">
        <v>3322708067</v>
      </c>
    </row>
    <row r="627" spans="1:1">
      <c r="A627" s="59">
        <v>3332306009</v>
      </c>
    </row>
    <row r="628" spans="1:1">
      <c r="A628" s="11">
        <v>3212567037</v>
      </c>
    </row>
    <row r="629" spans="1:1">
      <c r="A629" s="11">
        <v>3329645487</v>
      </c>
    </row>
    <row r="630" spans="1:1">
      <c r="A630" s="11">
        <v>3008333769</v>
      </c>
    </row>
    <row r="631" spans="1:1">
      <c r="A631" s="11">
        <v>3346997038</v>
      </c>
    </row>
    <row r="632" spans="1:1">
      <c r="A632" s="11">
        <v>3006854906</v>
      </c>
    </row>
    <row r="633" spans="1:1">
      <c r="A633" s="11">
        <v>3317899965</v>
      </c>
    </row>
    <row r="634" spans="1:1">
      <c r="A634" s="11">
        <v>3003605287</v>
      </c>
    </row>
    <row r="635" spans="1:1">
      <c r="A635" s="11">
        <v>3404517137</v>
      </c>
    </row>
    <row r="636" spans="1:1">
      <c r="A636" s="11">
        <v>3323399759</v>
      </c>
    </row>
    <row r="637" spans="1:1">
      <c r="A637" s="59">
        <v>3243343814</v>
      </c>
    </row>
    <row r="638" spans="1:1">
      <c r="A638" s="73">
        <v>3330372297</v>
      </c>
    </row>
    <row r="639" spans="1:1">
      <c r="A639" s="11">
        <v>3219603303</v>
      </c>
    </row>
    <row r="640" spans="1:1">
      <c r="A640" s="11">
        <v>3338975454</v>
      </c>
    </row>
    <row r="641" spans="1:1">
      <c r="A641" s="11">
        <v>3325611765</v>
      </c>
    </row>
    <row r="642" spans="1:1">
      <c r="A642" s="55">
        <v>3420728237</v>
      </c>
    </row>
    <row r="643" spans="1:1">
      <c r="A643" s="11">
        <v>3476306897</v>
      </c>
    </row>
    <row r="644" spans="1:1">
      <c r="A644" s="11">
        <v>3334506455</v>
      </c>
    </row>
    <row r="645" spans="1:1">
      <c r="A645" s="11">
        <v>3153517730</v>
      </c>
    </row>
    <row r="646" spans="1:1">
      <c r="A646" s="11">
        <v>3009665177</v>
      </c>
    </row>
    <row r="647" spans="1:1">
      <c r="A647" s="11">
        <v>3218892065</v>
      </c>
    </row>
    <row r="648" spans="1:1">
      <c r="A648" s="11">
        <v>3006862124</v>
      </c>
    </row>
    <row r="649" spans="1:1">
      <c r="A649" s="11">
        <v>3102923034</v>
      </c>
    </row>
    <row r="650" spans="1:1">
      <c r="A650" s="11">
        <v>3409583449</v>
      </c>
    </row>
    <row r="651" spans="1:1">
      <c r="A651" s="11">
        <v>3135451566</v>
      </c>
    </row>
    <row r="652" spans="1:1">
      <c r="A652" s="11">
        <v>3343434083</v>
      </c>
    </row>
    <row r="653" spans="1:1">
      <c r="A653" s="11">
        <v>3346329459</v>
      </c>
    </row>
    <row r="654" spans="1:1">
      <c r="A654" s="11">
        <v>3349032535</v>
      </c>
    </row>
    <row r="655" spans="1:1">
      <c r="A655" s="11">
        <v>0</v>
      </c>
    </row>
    <row r="656" spans="1:1">
      <c r="A656" s="11">
        <v>3363480170</v>
      </c>
    </row>
    <row r="657" spans="1:1">
      <c r="A657" s="11">
        <v>3312302971</v>
      </c>
    </row>
    <row r="658" spans="1:1">
      <c r="A658">
        <v>3215033870</v>
      </c>
    </row>
    <row r="659" spans="1:1">
      <c r="A659" s="11">
        <v>3033388588</v>
      </c>
    </row>
    <row r="660" spans="1:1">
      <c r="A660" s="11">
        <v>3338646161</v>
      </c>
    </row>
    <row r="661" spans="1:1">
      <c r="A661" s="11">
        <v>3150757000</v>
      </c>
    </row>
    <row r="662" spans="1:1">
      <c r="A662" s="11">
        <v>3002936283</v>
      </c>
    </row>
    <row r="663" spans="1:1">
      <c r="A663" s="59">
        <v>3112612853</v>
      </c>
    </row>
    <row r="664" spans="1:1">
      <c r="A664" s="11">
        <v>3115067543</v>
      </c>
    </row>
    <row r="665" spans="1:1">
      <c r="A665" s="57">
        <v>3364501822</v>
      </c>
    </row>
    <row r="666" spans="1:1">
      <c r="A666" s="11">
        <v>3088676655</v>
      </c>
    </row>
    <row r="667" spans="1:1">
      <c r="A667" s="48">
        <v>3323636764</v>
      </c>
    </row>
    <row r="668" spans="1:1">
      <c r="A668" s="11">
        <v>3035684039</v>
      </c>
    </row>
    <row r="669" spans="1:1">
      <c r="A669" s="11">
        <v>3324545458</v>
      </c>
    </row>
    <row r="670" spans="1:1">
      <c r="A670" s="11">
        <v>3321323232</v>
      </c>
    </row>
    <row r="671" spans="1:1">
      <c r="A671" s="11">
        <v>3432363727</v>
      </c>
    </row>
    <row r="672" spans="1:1">
      <c r="A672" s="11">
        <v>3216061942</v>
      </c>
    </row>
    <row r="673" spans="1:1">
      <c r="A673" s="11">
        <v>3014995001</v>
      </c>
    </row>
    <row r="674" spans="1:1">
      <c r="A674" s="11">
        <v>3088074457</v>
      </c>
    </row>
    <row r="675" spans="1:1">
      <c r="A675" s="11">
        <v>3364354519</v>
      </c>
    </row>
    <row r="676" spans="1:1">
      <c r="A676" s="59">
        <v>3350133886</v>
      </c>
    </row>
    <row r="677" spans="1:1">
      <c r="A677" s="11">
        <v>3455886396</v>
      </c>
    </row>
    <row r="678" spans="1:1">
      <c r="A678" s="11">
        <v>3000788684</v>
      </c>
    </row>
    <row r="679" spans="1:1">
      <c r="A679" s="11">
        <v>3332115471</v>
      </c>
    </row>
    <row r="680" spans="1:1">
      <c r="A680" s="11">
        <v>3112795026</v>
      </c>
    </row>
    <row r="681" spans="1:1">
      <c r="A681" s="11">
        <v>3339101293</v>
      </c>
    </row>
    <row r="682" spans="1:1">
      <c r="A682" s="55">
        <v>3350456292</v>
      </c>
    </row>
    <row r="683" spans="1:1">
      <c r="A683" s="11">
        <v>3006854906</v>
      </c>
    </row>
    <row r="684" spans="1:1">
      <c r="A684" s="11">
        <v>3009457722</v>
      </c>
    </row>
    <row r="685" spans="1:1">
      <c r="A685" s="11">
        <v>3135825865</v>
      </c>
    </row>
    <row r="686" spans="1:1">
      <c r="A686" s="59">
        <v>3222243888</v>
      </c>
    </row>
    <row r="687" spans="1:1">
      <c r="A687" s="11">
        <v>3361847076</v>
      </c>
    </row>
    <row r="688" spans="1:1">
      <c r="A688" s="59">
        <v>3343682694</v>
      </c>
    </row>
    <row r="689" spans="1:1">
      <c r="A689" s="11">
        <v>3042602038</v>
      </c>
    </row>
    <row r="690" spans="1:1">
      <c r="A690" s="11">
        <v>3137342090</v>
      </c>
    </row>
    <row r="691" spans="1:1">
      <c r="A691" s="11">
        <v>3214451743</v>
      </c>
    </row>
    <row r="692" spans="1:1">
      <c r="A692" s="11">
        <v>3317057150</v>
      </c>
    </row>
    <row r="693" spans="1:1">
      <c r="A693" s="11">
        <v>3006339266</v>
      </c>
    </row>
    <row r="694" spans="1:1">
      <c r="A694" s="40">
        <v>3376332626</v>
      </c>
    </row>
    <row r="695" spans="1:1">
      <c r="A695" s="11">
        <v>3033854690</v>
      </c>
    </row>
    <row r="696" spans="1:1">
      <c r="A696" s="11">
        <v>3456000097</v>
      </c>
    </row>
    <row r="697" spans="1:1">
      <c r="A697" s="11">
        <v>3344716212</v>
      </c>
    </row>
    <row r="698" spans="1:1">
      <c r="A698" s="11">
        <v>3334423914</v>
      </c>
    </row>
    <row r="699" spans="1:1">
      <c r="A699" s="11">
        <v>3067766449</v>
      </c>
    </row>
    <row r="700" spans="1:1">
      <c r="A700" s="11">
        <v>3206212007</v>
      </c>
    </row>
    <row r="701" spans="1:1">
      <c r="A701" s="11">
        <v>3431751277</v>
      </c>
    </row>
    <row r="702" spans="1:1">
      <c r="A702" s="11">
        <v>3144607042</v>
      </c>
    </row>
    <row r="703" spans="1:1">
      <c r="A703" s="11">
        <v>3459520009</v>
      </c>
    </row>
    <row r="704" spans="1:1">
      <c r="A704" s="11">
        <v>3025378788</v>
      </c>
    </row>
    <row r="705" spans="1:1">
      <c r="A705" s="11">
        <v>3218511822</v>
      </c>
    </row>
    <row r="706" spans="1:1">
      <c r="A706" s="11">
        <v>3459636320</v>
      </c>
    </row>
    <row r="707" spans="1:1">
      <c r="A707" s="11">
        <v>3046310415</v>
      </c>
    </row>
    <row r="708" spans="1:1">
      <c r="A708" s="11">
        <v>3244498994</v>
      </c>
    </row>
    <row r="709" spans="1:1">
      <c r="A709" s="11">
        <v>915255287</v>
      </c>
    </row>
    <row r="710" spans="1:1">
      <c r="A710" s="11">
        <v>3365191685</v>
      </c>
    </row>
    <row r="711" spans="1:1">
      <c r="A711" s="11">
        <v>3015115543</v>
      </c>
    </row>
    <row r="712" spans="1:1">
      <c r="A712" s="11">
        <v>3154304925</v>
      </c>
    </row>
    <row r="713" spans="1:1">
      <c r="A713" s="44">
        <v>3409583449</v>
      </c>
    </row>
    <row r="714" spans="1:1">
      <c r="A714" s="11">
        <v>3113516997</v>
      </c>
    </row>
    <row r="715" spans="1:1">
      <c r="A715" s="11">
        <v>3453195759</v>
      </c>
    </row>
    <row r="716" spans="1:1">
      <c r="A716" s="11">
        <v>3113516997</v>
      </c>
    </row>
    <row r="717" spans="1:1">
      <c r="A717">
        <v>3432509858</v>
      </c>
    </row>
    <row r="718" spans="1:1">
      <c r="A718" s="11">
        <v>3456486805</v>
      </c>
    </row>
    <row r="719" spans="1:1">
      <c r="A719" s="11">
        <v>3169632526</v>
      </c>
    </row>
    <row r="720" spans="1:1">
      <c r="A720" s="11">
        <v>3206557287</v>
      </c>
    </row>
    <row r="721" spans="1:1">
      <c r="A721" s="11">
        <v>3033120687</v>
      </c>
    </row>
    <row r="722" spans="1:1">
      <c r="A722" s="11">
        <v>3337922469</v>
      </c>
    </row>
    <row r="723" spans="1:1">
      <c r="A723" s="11">
        <v>3368705540</v>
      </c>
    </row>
    <row r="724" spans="1:1">
      <c r="A724" s="11">
        <v>3235306118</v>
      </c>
    </row>
    <row r="725" spans="1:1">
      <c r="A725" s="11">
        <v>3226454851</v>
      </c>
    </row>
    <row r="726" spans="1:1">
      <c r="A726" s="11">
        <v>3344393178</v>
      </c>
    </row>
    <row r="727" spans="1:1">
      <c r="A727" s="11">
        <v>3219084614</v>
      </c>
    </row>
    <row r="728" spans="1:1">
      <c r="A728" s="11">
        <v>3222721051</v>
      </c>
    </row>
    <row r="729" spans="1:1">
      <c r="A729" s="11">
        <v>3332831141</v>
      </c>
    </row>
    <row r="730" spans="1:1">
      <c r="A730" s="11">
        <v>3052032306</v>
      </c>
    </row>
    <row r="731" spans="1:1">
      <c r="A731" s="59">
        <v>3139778828</v>
      </c>
    </row>
    <row r="732" spans="1:1">
      <c r="A732" s="11">
        <v>3213502861</v>
      </c>
    </row>
    <row r="733" spans="1:1">
      <c r="A733" s="40">
        <v>3060452293</v>
      </c>
    </row>
    <row r="734" spans="1:1">
      <c r="A734" s="78">
        <v>3212008213</v>
      </c>
    </row>
    <row r="735" spans="1:1">
      <c r="A735" s="11">
        <v>3433058898</v>
      </c>
    </row>
    <row r="736" spans="1:1">
      <c r="A736" s="11">
        <v>3333761855</v>
      </c>
    </row>
    <row r="737" spans="1:1">
      <c r="A737" s="11">
        <v>3422288288</v>
      </c>
    </row>
    <row r="738" spans="1:1">
      <c r="A738" s="11">
        <v>3008510093</v>
      </c>
    </row>
    <row r="739" spans="1:1">
      <c r="A739" s="11">
        <v>3334430734</v>
      </c>
    </row>
    <row r="740" spans="1:1">
      <c r="A740" s="11">
        <v>3329784782</v>
      </c>
    </row>
    <row r="741" spans="1:1">
      <c r="A741" s="11">
        <v>3218413711</v>
      </c>
    </row>
    <row r="742" spans="1:1">
      <c r="A742" s="11">
        <v>3073433933</v>
      </c>
    </row>
    <row r="743" spans="1:1">
      <c r="A743" s="11">
        <v>3438118161</v>
      </c>
    </row>
    <row r="744" spans="1:1">
      <c r="A744" s="11">
        <v>3060518701</v>
      </c>
    </row>
    <row r="745" spans="1:1">
      <c r="A745" s="11">
        <v>3226586009</v>
      </c>
    </row>
    <row r="746" spans="1:1">
      <c r="A746" s="11">
        <v>3075308650</v>
      </c>
    </row>
    <row r="747" spans="1:1">
      <c r="A747" s="59">
        <v>3452824966</v>
      </c>
    </row>
    <row r="748" spans="1:1">
      <c r="A748" s="40">
        <v>3153411370</v>
      </c>
    </row>
    <row r="749" spans="1:1">
      <c r="A749" s="40">
        <v>3005648647</v>
      </c>
    </row>
    <row r="750" spans="1:1">
      <c r="A750" s="40">
        <v>3229321640</v>
      </c>
    </row>
    <row r="751" spans="1:1">
      <c r="A751" s="11">
        <v>3203213250</v>
      </c>
    </row>
    <row r="752" spans="1:1">
      <c r="A752">
        <v>3120343914</v>
      </c>
    </row>
    <row r="753" spans="1:1">
      <c r="A753" s="11">
        <v>3459344772</v>
      </c>
    </row>
    <row r="754" spans="1:1">
      <c r="A754" s="11">
        <v>3445085164</v>
      </c>
    </row>
    <row r="755" spans="1:1">
      <c r="A755" s="11">
        <v>3155509718</v>
      </c>
    </row>
    <row r="756" spans="1:1">
      <c r="A756" s="11">
        <v>3103839616</v>
      </c>
    </row>
    <row r="757" spans="1:1">
      <c r="A757" s="11">
        <v>3442800005</v>
      </c>
    </row>
    <row r="758" spans="1:1">
      <c r="A758" s="11">
        <v>3313819752</v>
      </c>
    </row>
    <row r="759" spans="1:1">
      <c r="A759" s="11">
        <v>3219669900</v>
      </c>
    </row>
    <row r="760" spans="1:1">
      <c r="A760" s="11">
        <v>3248543074</v>
      </c>
    </row>
    <row r="761" spans="1:1">
      <c r="A761" s="11">
        <v>3016480283</v>
      </c>
    </row>
    <row r="762" spans="1:1">
      <c r="A762" s="11">
        <v>3312641360</v>
      </c>
    </row>
    <row r="763" spans="1:1">
      <c r="A763" s="11">
        <v>3242512020</v>
      </c>
    </row>
    <row r="764" spans="1:1">
      <c r="A764" s="11">
        <v>3012283334</v>
      </c>
    </row>
    <row r="765" spans="1:1">
      <c r="A765" s="11">
        <v>3447701877</v>
      </c>
    </row>
    <row r="766" spans="1:1">
      <c r="A766" s="11">
        <v>3334289855</v>
      </c>
    </row>
    <row r="767" spans="1:1">
      <c r="A767" s="40">
        <v>3204569380</v>
      </c>
    </row>
    <row r="768" spans="1:1">
      <c r="A768" s="40">
        <v>3359335779</v>
      </c>
    </row>
    <row r="769" spans="1:1">
      <c r="A769" s="40">
        <v>3006328424</v>
      </c>
    </row>
    <row r="770" spans="1:1">
      <c r="A770" s="11">
        <v>3312850590</v>
      </c>
    </row>
    <row r="771" spans="1:1">
      <c r="A771" s="11">
        <v>3212129330</v>
      </c>
    </row>
    <row r="772" spans="1:1">
      <c r="A772" s="2">
        <v>3452820133</v>
      </c>
    </row>
    <row r="773" spans="1:1">
      <c r="A773" s="59">
        <v>3122714928</v>
      </c>
    </row>
    <row r="774" spans="1:1">
      <c r="A774" s="11">
        <v>3343878349</v>
      </c>
    </row>
    <row r="775" spans="1:1">
      <c r="A775" s="11">
        <v>3214886486</v>
      </c>
    </row>
    <row r="776" spans="1:1">
      <c r="A776" s="11">
        <v>3022222063</v>
      </c>
    </row>
    <row r="778" spans="1:1">
      <c r="A778" s="11">
        <v>3064177293</v>
      </c>
    </row>
    <row r="779" spans="1:1">
      <c r="A779" s="11">
        <v>3425548253</v>
      </c>
    </row>
    <row r="780" spans="1:1">
      <c r="A780" s="11">
        <v>3119274380</v>
      </c>
    </row>
    <row r="781" spans="1:1">
      <c r="A781" s="11">
        <v>3138354081</v>
      </c>
    </row>
    <row r="782" spans="1:1">
      <c r="A782" s="11">
        <v>3053164608</v>
      </c>
    </row>
    <row r="783" spans="1:1">
      <c r="A783" s="11">
        <v>3344446951</v>
      </c>
    </row>
    <row r="784" spans="1:1">
      <c r="A784" s="11">
        <v>3214014600</v>
      </c>
    </row>
    <row r="785" spans="1:1">
      <c r="A785" s="11">
        <v>3009040858</v>
      </c>
    </row>
    <row r="786" spans="1:1">
      <c r="A786" s="11">
        <v>3162223444</v>
      </c>
    </row>
    <row r="787" spans="1:1">
      <c r="A787" s="11">
        <v>3401621592</v>
      </c>
    </row>
    <row r="788" spans="1:1">
      <c r="A788" s="11">
        <v>3067862229</v>
      </c>
    </row>
    <row r="789" spans="1:1">
      <c r="A789" s="11">
        <v>3118999661</v>
      </c>
    </row>
    <row r="790" spans="1:1">
      <c r="A790" s="11">
        <v>3023993065</v>
      </c>
    </row>
    <row r="791" spans="1:1">
      <c r="A791" s="11">
        <v>3346522125</v>
      </c>
    </row>
    <row r="792" spans="1:1">
      <c r="A792" s="11">
        <v>3352501300</v>
      </c>
    </row>
    <row r="793" spans="1:1">
      <c r="A793" s="11">
        <v>3228667279</v>
      </c>
    </row>
    <row r="794" spans="1:1">
      <c r="A794" s="11">
        <v>3446669467</v>
      </c>
    </row>
    <row r="795" spans="1:1">
      <c r="A795" s="11">
        <v>3053164608</v>
      </c>
    </row>
    <row r="796" spans="1:1">
      <c r="A796" s="11">
        <v>3204004069</v>
      </c>
    </row>
    <row r="797" spans="1:1">
      <c r="A797" s="11">
        <v>3228667279</v>
      </c>
    </row>
    <row r="798" spans="1:1">
      <c r="A798" s="59">
        <v>3110206562</v>
      </c>
    </row>
    <row r="799" spans="1:1">
      <c r="A799" s="11">
        <v>3402121437</v>
      </c>
    </row>
    <row r="800" spans="1:1">
      <c r="A800" s="11">
        <v>3122716295</v>
      </c>
    </row>
    <row r="801" spans="1:1">
      <c r="A801" s="11">
        <v>3359596999</v>
      </c>
    </row>
    <row r="802" spans="1:1">
      <c r="A802" s="11">
        <v>3009544209</v>
      </c>
    </row>
    <row r="803" spans="1:1">
      <c r="A803" s="55">
        <v>3088655410</v>
      </c>
    </row>
    <row r="804" spans="1:1">
      <c r="A804" s="11">
        <v>3029520288</v>
      </c>
    </row>
    <row r="805" spans="1:1">
      <c r="A805" s="11">
        <v>3315277544</v>
      </c>
    </row>
    <row r="806" spans="1:1">
      <c r="A806" s="11">
        <v>3435800425</v>
      </c>
    </row>
    <row r="807" spans="1:1">
      <c r="A807" s="11">
        <v>3459794949</v>
      </c>
    </row>
    <row r="808" spans="1:1">
      <c r="A808" s="11">
        <v>3480593188</v>
      </c>
    </row>
    <row r="809" spans="1:1">
      <c r="A809" s="11">
        <v>3354134177</v>
      </c>
    </row>
    <row r="810" spans="1:1">
      <c r="A810" s="11">
        <v>3214030903</v>
      </c>
    </row>
    <row r="811" spans="1:1">
      <c r="A811" s="11">
        <v>3472227393</v>
      </c>
    </row>
    <row r="812" spans="1:1">
      <c r="A812" s="11">
        <v>3218570366</v>
      </c>
    </row>
    <row r="813" spans="1:1">
      <c r="A813" s="11">
        <v>3024022758</v>
      </c>
    </row>
    <row r="814" spans="1:1">
      <c r="A814" s="11">
        <v>3134963933</v>
      </c>
    </row>
    <row r="815" spans="1:1">
      <c r="A815" s="11">
        <v>3435014610</v>
      </c>
    </row>
    <row r="816" spans="1:1">
      <c r="A816" s="11">
        <v>3454461877</v>
      </c>
    </row>
    <row r="817" spans="1:1">
      <c r="A817" s="11">
        <v>923644565</v>
      </c>
    </row>
    <row r="818" spans="1:1">
      <c r="A818" s="11">
        <v>3315011142</v>
      </c>
    </row>
    <row r="819" spans="1:1">
      <c r="A819" s="11">
        <v>3316147219</v>
      </c>
    </row>
    <row r="820" spans="1:1">
      <c r="A820" s="11">
        <v>3214014600</v>
      </c>
    </row>
    <row r="821" spans="1:1">
      <c r="A821" s="11">
        <v>3362167316</v>
      </c>
    </row>
    <row r="822" spans="1:1">
      <c r="A822" s="2">
        <v>3452820133</v>
      </c>
    </row>
    <row r="823" spans="1:1">
      <c r="A823" s="11">
        <v>3222220032</v>
      </c>
    </row>
    <row r="824" spans="1:1">
      <c r="A824" s="11">
        <v>3074440081</v>
      </c>
    </row>
    <row r="825" spans="1:1">
      <c r="A825" s="11">
        <v>3139854822</v>
      </c>
    </row>
    <row r="826" spans="1:1">
      <c r="A826" s="11">
        <v>3324473522</v>
      </c>
    </row>
    <row r="827" spans="1:1">
      <c r="A827" s="11">
        <v>3128999038</v>
      </c>
    </row>
    <row r="828" spans="1:1">
      <c r="A828" s="11">
        <v>3214340481</v>
      </c>
    </row>
    <row r="829" spans="1:1">
      <c r="A829" s="11">
        <v>3368737892</v>
      </c>
    </row>
    <row r="830" spans="1:1">
      <c r="A830" s="11">
        <v>3455346734</v>
      </c>
    </row>
    <row r="831" spans="1:1">
      <c r="A831" s="11">
        <v>3345631334</v>
      </c>
    </row>
    <row r="832" spans="1:1">
      <c r="A832" s="11">
        <v>3238508861</v>
      </c>
    </row>
    <row r="833" spans="1:1">
      <c r="A833" s="11">
        <v>3249664706</v>
      </c>
    </row>
    <row r="834" spans="1:1">
      <c r="A834" s="11">
        <v>3333046127</v>
      </c>
    </row>
    <row r="835" spans="1:1">
      <c r="A835" s="11">
        <v>3009257032</v>
      </c>
    </row>
    <row r="836" spans="1:1">
      <c r="A836" s="11">
        <v>3452218146</v>
      </c>
    </row>
    <row r="837" spans="1:1">
      <c r="A837" s="11">
        <v>3218779069</v>
      </c>
    </row>
    <row r="840" spans="1:1">
      <c r="A840" s="66">
        <v>3138527367</v>
      </c>
    </row>
    <row r="841" spans="1:1">
      <c r="A841" s="67">
        <v>3335722344</v>
      </c>
    </row>
    <row r="842" spans="1:1">
      <c r="A842">
        <v>3452148192</v>
      </c>
    </row>
    <row r="843" spans="1:1">
      <c r="A843" s="11">
        <v>3105410515</v>
      </c>
    </row>
    <row r="844" spans="1:1">
      <c r="A844" s="11">
        <v>3444261677</v>
      </c>
    </row>
    <row r="845" spans="1:1">
      <c r="A845" s="11">
        <v>3364241942</v>
      </c>
    </row>
    <row r="846" spans="1:1">
      <c r="A846" s="11">
        <v>3345449804</v>
      </c>
    </row>
    <row r="847" spans="1:1">
      <c r="A847" s="11">
        <v>3234151311</v>
      </c>
    </row>
    <row r="848" spans="1:1">
      <c r="A848" s="11">
        <v>3034169636</v>
      </c>
    </row>
    <row r="849" spans="1:1">
      <c r="A849" s="11">
        <v>3167035022</v>
      </c>
    </row>
    <row r="850" spans="1:1">
      <c r="A850" s="11">
        <v>3341243350</v>
      </c>
    </row>
    <row r="851" spans="1:1">
      <c r="A851" s="11">
        <v>3008684346</v>
      </c>
    </row>
    <row r="852" spans="1:1">
      <c r="A852" s="11">
        <v>3004548461</v>
      </c>
    </row>
    <row r="853" spans="1:1">
      <c r="A853" s="67">
        <v>3460200888</v>
      </c>
    </row>
    <row r="854" spans="1:1">
      <c r="A854" s="116">
        <v>3349836341</v>
      </c>
    </row>
    <row r="855" spans="1:1">
      <c r="A855" s="18">
        <v>3335580840</v>
      </c>
    </row>
    <row r="856" spans="1:1">
      <c r="A856" s="18">
        <v>3425194301</v>
      </c>
    </row>
    <row r="857" spans="1:1">
      <c r="A857" s="11">
        <v>3466277577</v>
      </c>
    </row>
    <row r="858" spans="1:1">
      <c r="A858" s="11">
        <v>3452997522</v>
      </c>
    </row>
    <row r="859" spans="1:1">
      <c r="A859" s="18">
        <v>3486367234</v>
      </c>
    </row>
    <row r="860" spans="1:1">
      <c r="A860" s="11"/>
    </row>
    <row r="861" spans="1:1">
      <c r="A861" s="11">
        <v>3314137844</v>
      </c>
    </row>
    <row r="862" spans="1:1">
      <c r="A862" s="11">
        <v>3132791124</v>
      </c>
    </row>
    <row r="863" spans="1:1">
      <c r="A863" s="18">
        <v>3155509718</v>
      </c>
    </row>
    <row r="864" spans="1:1">
      <c r="A864" s="18">
        <v>3455554432</v>
      </c>
    </row>
    <row r="865" spans="1:1">
      <c r="A865" s="18">
        <v>3067970510</v>
      </c>
    </row>
    <row r="866" spans="1:1">
      <c r="A866" s="11">
        <v>3002700105</v>
      </c>
    </row>
    <row r="867" spans="1:1">
      <c r="A867" s="11">
        <v>3363811234</v>
      </c>
    </row>
    <row r="868" spans="1:1">
      <c r="A868" s="11">
        <v>3066882434</v>
      </c>
    </row>
    <row r="869" spans="1:1">
      <c r="A869" s="18">
        <v>3129415000</v>
      </c>
    </row>
    <row r="870" spans="1:1">
      <c r="A870" s="18">
        <v>3052762727</v>
      </c>
    </row>
    <row r="871" spans="1:1">
      <c r="A871" s="18">
        <v>3424724587</v>
      </c>
    </row>
    <row r="872" spans="1:1">
      <c r="A872" s="18">
        <v>3431662542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Pivot table</vt:lpstr>
      <vt:lpstr>Customer sale sheet</vt:lpstr>
      <vt:lpstr>Accounts</vt:lpstr>
      <vt:lpstr>Income Statement</vt:lpstr>
      <vt:lpstr>Parcel Report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Hâssâñ Ñâveed</dc:creator>
  <cp:lastModifiedBy>Hassan</cp:lastModifiedBy>
  <cp:lastPrinted>2016-08-07T15:21:14Z</cp:lastPrinted>
  <dcterms:created xsi:type="dcterms:W3CDTF">2015-09-24T06:00:07Z</dcterms:created>
  <dcterms:modified xsi:type="dcterms:W3CDTF">2016-09-01T19:09:00Z</dcterms:modified>
</cp:coreProperties>
</file>